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体检版" sheetId="3" r:id="rId1"/>
    <sheet name="Sheet1" sheetId="6" r:id="rId2"/>
  </sheets>
  <definedNames>
    <definedName name="_xlnm._FilterDatabase" localSheetId="0" hidden="1">体检版!$A$3:$D$124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<sst xmlns="http://schemas.openxmlformats.org/spreadsheetml/2006/main" count="350" uniqueCount="296">
  <si>
    <t>附件：</t>
  </si>
  <si>
    <t>拟聘用人员名单</t>
  </si>
  <si>
    <t>序号</t>
  </si>
  <si>
    <t>招聘单位</t>
  </si>
  <si>
    <t>岗位代码</t>
  </si>
  <si>
    <t>姓名</t>
  </si>
  <si>
    <t>内乡县纪检监察宣传教育基地</t>
  </si>
  <si>
    <t>刘珂成</t>
  </si>
  <si>
    <t>内乡县效能服务中心</t>
  </si>
  <si>
    <t>陈靖依</t>
  </si>
  <si>
    <t>韩永辉</t>
  </si>
  <si>
    <t>内乡县精神文明建设促进中心</t>
  </si>
  <si>
    <t>余梦婕</t>
  </si>
  <si>
    <t>内乡县平安建设促进中心</t>
  </si>
  <si>
    <t>王守佳</t>
  </si>
  <si>
    <t>内乡县社会工作发展服务中心</t>
  </si>
  <si>
    <t>韩俊喆</t>
  </si>
  <si>
    <t>林子涵</t>
  </si>
  <si>
    <t>中共内乡县委党校（内乡行政学院）</t>
  </si>
  <si>
    <t>陈睿</t>
  </si>
  <si>
    <t>内乡县机构编制数据中心</t>
  </si>
  <si>
    <t>张燕斐</t>
  </si>
  <si>
    <t>内乡县机构编制评估中心</t>
  </si>
  <si>
    <t>靳萌</t>
  </si>
  <si>
    <t>内乡县服务牧原产业发展中心</t>
  </si>
  <si>
    <t>闫爽</t>
  </si>
  <si>
    <t>李胜敏</t>
  </si>
  <si>
    <t>内乡县融媒体中心（内乡县广播电视台）</t>
  </si>
  <si>
    <t>孙博</t>
  </si>
  <si>
    <t>郭涵蓉</t>
  </si>
  <si>
    <t>内乡县机关事务中心</t>
  </si>
  <si>
    <t>于弘洋</t>
  </si>
  <si>
    <t>陈思博</t>
  </si>
  <si>
    <t>内乡县青少年发展服务中心</t>
  </si>
  <si>
    <t>曲艺繁</t>
  </si>
  <si>
    <t>内乡县劳动人事争议仲裁院</t>
  </si>
  <si>
    <t>李祎曦</t>
  </si>
  <si>
    <t>内乡县耕地保护中心</t>
  </si>
  <si>
    <t>王熙喆</t>
  </si>
  <si>
    <t>内乡县林业发展服务中心</t>
  </si>
  <si>
    <t>刘妍洋</t>
  </si>
  <si>
    <t>内乡县国家储备林建设服务中心</t>
  </si>
  <si>
    <t>姬衍卿</t>
  </si>
  <si>
    <t>伏牛山世界地质公园内乡服务中心</t>
  </si>
  <si>
    <t>苗艺佳</t>
  </si>
  <si>
    <t>内乡县科技创新暨成果转化促进中心</t>
  </si>
  <si>
    <t>李杰</t>
  </si>
  <si>
    <t>关芳媛</t>
  </si>
  <si>
    <t>市政环卫服务中心</t>
  </si>
  <si>
    <t>王翔宇</t>
  </si>
  <si>
    <t>郭咏琪</t>
  </si>
  <si>
    <t>内乡县粮食和物资储备中心</t>
  </si>
  <si>
    <t>王前</t>
  </si>
  <si>
    <t>内乡县财税发展服务中心</t>
  </si>
  <si>
    <t>李虎秋</t>
  </si>
  <si>
    <t>内乡县农业技术推广中心</t>
  </si>
  <si>
    <t>刘祖斌</t>
  </si>
  <si>
    <t>内乡县经济作物推广中心</t>
  </si>
  <si>
    <t>姚梦</t>
  </si>
  <si>
    <t>内乡县人工影响天气服务中心</t>
  </si>
  <si>
    <t>封世洋</t>
  </si>
  <si>
    <t>王旋</t>
  </si>
  <si>
    <t>王松科</t>
  </si>
  <si>
    <t>内乡县产品质量检验检测中心</t>
  </si>
  <si>
    <t>张沛颖</t>
  </si>
  <si>
    <t>桑浩博</t>
  </si>
  <si>
    <t>陈英洁</t>
  </si>
  <si>
    <t>高世新</t>
  </si>
  <si>
    <t>陈智帅</t>
  </si>
  <si>
    <t>宋梓若</t>
  </si>
  <si>
    <t>徐梦矫</t>
  </si>
  <si>
    <t>赵金明</t>
  </si>
  <si>
    <t>杨轲</t>
  </si>
  <si>
    <t>内乡县河湖事务中心</t>
  </si>
  <si>
    <t>褚旭冲</t>
  </si>
  <si>
    <t>王震宇</t>
  </si>
  <si>
    <t>内乡县打磨岗水库灌区运行保障中心</t>
  </si>
  <si>
    <t>伍宗浩</t>
  </si>
  <si>
    <t>内乡县斩龙岗水库灌区运行保障中心</t>
  </si>
  <si>
    <t>庞美琪</t>
  </si>
  <si>
    <t>内乡县烈士陵园</t>
  </si>
  <si>
    <t>严梦兰</t>
  </si>
  <si>
    <t>内乡县人民政府应急指挥中心</t>
  </si>
  <si>
    <t>雷闯</t>
  </si>
  <si>
    <t>内乡县招商服务中心</t>
  </si>
  <si>
    <t>孙琰</t>
  </si>
  <si>
    <t>车欣怡</t>
  </si>
  <si>
    <t>金霖</t>
  </si>
  <si>
    <t>江佳闰</t>
  </si>
  <si>
    <t>裴久阳</t>
  </si>
  <si>
    <t>内乡县政务服务中心</t>
  </si>
  <si>
    <t>邵韬帆</t>
  </si>
  <si>
    <t>王晓静</t>
  </si>
  <si>
    <t>林艳延</t>
  </si>
  <si>
    <t>内乡县城关镇行政审批服务中心</t>
  </si>
  <si>
    <t>李豪洁</t>
  </si>
  <si>
    <t>杨骞</t>
  </si>
  <si>
    <t>内乡县湍东镇行政审批
服务中心</t>
  </si>
  <si>
    <t>樊许可</t>
  </si>
  <si>
    <t>陈娟</t>
  </si>
  <si>
    <t>刘斌</t>
  </si>
  <si>
    <t>周子玥</t>
  </si>
  <si>
    <t>张金坤</t>
  </si>
  <si>
    <t>陈冲</t>
  </si>
  <si>
    <t>刘卓</t>
  </si>
  <si>
    <t>内乡县大桥乡行政审批服务中心</t>
  </si>
  <si>
    <t>胡万龙</t>
  </si>
  <si>
    <t>内乡县大桥乡财政所</t>
  </si>
  <si>
    <t>王林翰</t>
  </si>
  <si>
    <t>内乡县灌涨镇行政审批服务中心</t>
  </si>
  <si>
    <t>涂海洋</t>
  </si>
  <si>
    <t>内乡县马山口镇行政审批服务中心</t>
  </si>
  <si>
    <t>魏潇南</t>
  </si>
  <si>
    <t>马奔</t>
  </si>
  <si>
    <t>内乡县师岗镇行政审批服务中心</t>
  </si>
  <si>
    <t>赵玉茹</t>
  </si>
  <si>
    <t>内乡县桃溪镇行政审批服务中心</t>
  </si>
  <si>
    <t>张培</t>
  </si>
  <si>
    <t>内乡县桃溪镇平安建设办公室</t>
  </si>
  <si>
    <t>邢壮</t>
  </si>
  <si>
    <t>内乡县板场乡行政审批服务中心</t>
  </si>
  <si>
    <t>侯彬</t>
  </si>
  <si>
    <t>内乡县七里坪乡平安建设办公室</t>
  </si>
  <si>
    <t>李想</t>
  </si>
  <si>
    <t>李文麒</t>
  </si>
  <si>
    <t>内乡县七里坪乡综合行政执法大队</t>
  </si>
  <si>
    <t>杨凌志</t>
  </si>
  <si>
    <t>内乡县瓦亭镇行政审批服务中心</t>
  </si>
  <si>
    <t>马萌</t>
  </si>
  <si>
    <t>内乡县夏馆镇综合行政执法大队</t>
  </si>
  <si>
    <t>李佳航</t>
  </si>
  <si>
    <t>内乡县夏馆镇平安建设办公室</t>
  </si>
  <si>
    <t>刘星星</t>
  </si>
  <si>
    <t>内乡县夏馆镇行政审批服务中心</t>
  </si>
  <si>
    <t>吕亚洁</t>
  </si>
  <si>
    <t>邵冰</t>
  </si>
  <si>
    <t>内乡县夏馆镇财政所</t>
  </si>
  <si>
    <t>闫予诺</t>
  </si>
  <si>
    <t>内乡县余关镇行政审批服务中心</t>
  </si>
  <si>
    <t>樊怡君</t>
  </si>
  <si>
    <t>余丽莎</t>
  </si>
  <si>
    <t>内乡县赵店乡综合行政执法大队</t>
  </si>
  <si>
    <t>周迪珊</t>
  </si>
  <si>
    <t>内乡县赵店乡行政审批服务中心</t>
  </si>
  <si>
    <t>赵仵迪</t>
  </si>
  <si>
    <t>内乡县岞曲镇行政审批服务中心</t>
  </si>
  <si>
    <t>刘洋</t>
  </si>
  <si>
    <t>内乡县岞曲镇综合行政执法大队</t>
  </si>
  <si>
    <t>李西</t>
  </si>
  <si>
    <t>内乡县岞曲镇平安建设办公室</t>
  </si>
  <si>
    <t>张若森</t>
  </si>
  <si>
    <t>刘晓东</t>
  </si>
  <si>
    <t>内乡县岞曲镇财政所</t>
  </si>
  <si>
    <t>于恒</t>
  </si>
  <si>
    <t>内乡县人民医院</t>
  </si>
  <si>
    <t>刘晓</t>
  </si>
  <si>
    <t>石晓冰</t>
  </si>
  <si>
    <t>贾志斐</t>
  </si>
  <si>
    <t>江飞阳</t>
  </si>
  <si>
    <t>卢青</t>
  </si>
  <si>
    <t>内乡县妇幼保健院</t>
  </si>
  <si>
    <t>王博</t>
  </si>
  <si>
    <t>内乡县第二人民医院</t>
  </si>
  <si>
    <t>范汶</t>
  </si>
  <si>
    <t>黄飞雪</t>
  </si>
  <si>
    <t>内乡县马山口镇卫生院</t>
  </si>
  <si>
    <t>李锦浩</t>
  </si>
  <si>
    <t>董明姗</t>
  </si>
  <si>
    <t>赵唯汝</t>
  </si>
  <si>
    <t>杨一品</t>
  </si>
  <si>
    <t>内乡县疾病预防控制中心</t>
  </si>
  <si>
    <t>李肖肖</t>
  </si>
  <si>
    <t>王静</t>
  </si>
  <si>
    <t>廖婧祺</t>
  </si>
  <si>
    <t>蔡天凤</t>
  </si>
  <si>
    <t>内乡县赵店乡卫生院</t>
  </si>
  <si>
    <t>裴晓庆</t>
  </si>
  <si>
    <t>内乡县城关镇卫生院</t>
  </si>
  <si>
    <t>张丽</t>
  </si>
  <si>
    <t>秦正杰</t>
  </si>
  <si>
    <t>内乡县师岗镇卫生院</t>
  </si>
  <si>
    <t>邹雅静</t>
  </si>
  <si>
    <t>郭晓佩</t>
  </si>
  <si>
    <t>贾文康</t>
  </si>
  <si>
    <t>赵娜</t>
  </si>
  <si>
    <t>李娜</t>
  </si>
  <si>
    <t>范彬</t>
  </si>
  <si>
    <t>内乡县桃溪镇卫生院</t>
  </si>
  <si>
    <t>许凯诺</t>
  </si>
  <si>
    <t>刘叶</t>
  </si>
  <si>
    <t>内乡县岞曲镇卫生院</t>
  </si>
  <si>
    <t>侯丹丹</t>
  </si>
  <si>
    <t>内乡县瓦亭镇卫生院</t>
  </si>
  <si>
    <t>朱文晓</t>
  </si>
  <si>
    <t>身份证号码</t>
  </si>
  <si>
    <t>政治面貌</t>
  </si>
  <si>
    <t>学历</t>
  </si>
  <si>
    <t>毕业时间</t>
  </si>
  <si>
    <t>毕业院校</t>
  </si>
  <si>
    <t>所学专业</t>
  </si>
  <si>
    <t>通讯地址</t>
  </si>
  <si>
    <t>专业技术职务任职资格证书或执业资格证书</t>
  </si>
  <si>
    <t>个人简历</t>
  </si>
  <si>
    <t>="201309-201606  河南牧业经济学院 房地产经营与估价（全日制大专）
202109-202401 天津大学  工商管理（在职本科）
201511—201602  郑州中都人才咨询服务有限公司  实习
201606—201703  郑州同峰地产顾问有限公司  置业顾问
201704—201707  待业
201708—201905  河南易居房地产顾问有限公司  营销策划
201906  待业
201907—201909  河南易居房地产顾问有限公司  营销策划
201910—202008  待业
202009—202010  深圳市保安服务有限公司(劳务派遣至深圳市公安局公交分局机动训练大队) 队员
2020.11  待业
202012—202203  深圳市公安局龙岗分局  辅警
202204—202301  待业
202302—202401  深圳市鸿博人力资源有限公司（劳务派遣至深圳市福田区梅林街道办事处 ）  执法辅助岗（外勤）
202402——至今  待业
"</t>
  </si>
  <si>
    <t>="2023.09- 2025.07    商丘学院志愿服务团队负责人活动策划与执行：负责规划并实施多项社区支教及环保宣传活动，有效整合社区资源，确保活动顺利进行，累计贡献服务时长逾 200 小时，展现出色的项目管理能力。团队建设与管理：领导并激励团队成员，提升团队协作效率，通过定期培训与交流，增强团队凝聚力，共同推动志愿服务项目的持续优化与创新。影响力与成果：带领团队荣获“最佳志愿服务团队”称号，个人因在志愿服务中的杰出表现被授予“志愿服务之星”，有效提升了公众对社会责任的认识与参与度，彰显了强大的社会责任感及成果导向能力。"</t>
  </si>
  <si>
    <t>="201109-201407濮阳职业技术学院就读建筑工程技术专业，同年201412拿到郑州大学建筑工程专业自考本科毕业证。201410入职上海建科工程咨询有限公司、201410-201611在郑州地铁五号线09/10标段担任专业监理工程师，201612-201804在武汉杨春湖房建项目担任专业监理工程师，201805-202007在洛阳龙门交通枢纽机电安装标担任暖通专业监理工程师，202008-202204在郑州建业J18项目担任暖通监理工程师，202005-202302在深圳太子湾大厦06项目担任暖通监理工程师，202303-202501在西安咸阳机场二期扩建工程项目担任给排水专业监理工程师。202502-202507在镇平县待业"</t>
  </si>
  <si>
    <t>="2017.09-2022.07  东北大学江河建筑学院城乡规划专业全日制就读。
2022.08-2023.01平顶山公路交通勘察设计研究院规划师参与规划与咨询分院污水处理厂控规、内蒙古村庄规划等工作。
2023.02-2024.08郑州大学城市规划设计研究院有限公司规划师参与河南省试点村村庄规划、历史街区保护规划、中小学布局规划、红色纪念设施专项规划、村庄规划等项目，主要工作内容如下:河南省试点村村庄规划:村庄前期调研、土地方面图纸绘制、产业规划方案、多次代项目负责人与相关部门单位对接等;历史文化街区保护规划:实地调研、前期分析、街区评估、平面图绘制设施规划、文本说明书编制等;郑州市中小学布局规划:郑州市中小学布局规划:新郑市和航空港区中小学幼儿园现状数据整理、现状图制作、规划方案各种数据评估;红色纪念设施专项规划:现状图纸绘制、问题理分析、规划保护策略等;村庄规划:目前独立已负责三个村庄规划编制项目。自毕业以来，一直在规划设计院进行项目实践，能够熟练利用PS、ArCGIS、CAD、SU、A1、ID等软件绘图、排图，曾参与多个实际项目的方案设计，包括村庄规划、传统村落保护、历史街区保护、历史文化名城保护、文保单位保护规划等，积累了较为丰富的项目实践经验。
2024.08-至今北京汉通建筑规划设计有限公司技术员外派至规划和自然资源委员会平谷分局，负责实施科规划综合实施方案的合规性审查，审查内容包括上位规划、区域未编控规的衔接性审查，数据测算等内容，入职以来经手了10个规综的审查报审流程。期间撰写规划审查意见、会议纪要、工作总结等公文，负责科室汇报ppt制作。"</t>
  </si>
  <si>
    <t>="1.2021年10月  获得“蓝天奖学金”（常州工学院）
2.2022年7月   大学生三下乡活动获得优秀个人（西峡县共青团委）
3.2022年8月   向基层报道获得优秀志愿者（西峡县共青团委）
4.2023年8 月  “青春正当时 一起向未来”社会见习实践荣获先进个人（江苏省委员会高校工作部委会）
5.2023年11月   获国家励志奖学金（江苏省教育厅）
6.2024年1月    常工院微视频比赛获得三等奖 （常州工学院）
7.2024年5月    优秀共青团员
8.2024年6月    被评为优秀学生助理                                     9.2024年7月荣获优秀新生班助   "</t>
  </si>
  <si>
    <t>="2010年9月至2012年7月  河南省南阳市内乡县赤眉一中
2012年9月至2013年7月在河南省南阳市内乡县第一中学学习；
2013年9月至2014年7月在河南省南阳市内乡县第一中学学习；
2014年9月至2015年7月在河南省南阳市内乡县第一中学学习；
2015年7月至2016年7月在河南省南阳市内乡县第一中学学习；
2016年9月至2017年7月在河南省洛阳市洛阳师范学院学习；
2017年7月至2017年9月在河南省信阳市碧桂园小区进行工地实习；
2017年9月至2018年7月在河南省平顶山市河南城建学院学习；
2018年7月至2018年9月在广东省广州市建材集团进行实习；
2018年9月至2020年7月在河南省平顶山市河南城建学院学习；
2020年7月至2020年9月在福建省宁德市北京市政所联合的PPP物流园项目进行实习；
2020年9月至2021年7月在河南省平顶山市河南城建学院学习毕业；
2021年8月至2023年2月在福建省福州市仓山区萧宏建设工作。
大学毕业至今在福建省福州市仓山区萧宏建设的连坂六标污水管网建设，进行工作；道路施工、沉井建设、顶管施工（熟悉地质以及施工技术）以及现场管理。"</t>
  </si>
  <si>
    <t>="201609-202007  华北水利水电大学  就读劳动与社会保障专业（全日制）
202007-202008  校招入职中建七局建筑装饰工程有限公司
202008-202012  轮岗至装饰幕墙分公司项目管理部  见习生
202101-202111  河南农业大学龙子湖校区河南粮食作物协同创新中心大厦工程  综合管理员员岗位
202112-202204  梅河芳邻公共租赁住房项目  综合管理员员岗位
202205-202206  郑州第一人民医院南院区医学隔离改造项目  综合管理员员岗位
202207-202210  机电安装预算培训
2022.11-202212  郑州航空港区富士康公寓隔离应急抢险工程  预算岗（机电）
202212-202310  咸宁高新区棚户区（甘鲁片区）改造项目装饰工程  预算岗（装饰）
202311-至今    郑州市第六人民医院传染病综合救治楼项目装饰装修及安装工程  商务工程师（机电、装饰）
"</t>
  </si>
  <si>
    <t>="2011年9月-2012年7月 郑州市第二外国语中学就读
2012年9月-2015年7月 郑州大学 建筑设计技术专业就读（全日制）
2015年7月-2016年2月 家中待业
2016年3月-2021年12月 郑州市上街区政务服务和大数据管理局工作
2017年11月-2020年12月	河南科技大学 园林专业就读（非全日制）
2022年1月-2023年4月 家中待业
2023年5月-2024年6月 郑州市公安局经济技术开发区分局工作
2024年7月-2025年3月 郑州银行上街支行工作
2025年4月至今 家中待业"</t>
  </si>
  <si>
    <t>="学习
2002年9月-2005年7月  中卫市第二中学        学生  (初中)
2005年9月-2010年7月  银川科技职业学院    学生（大专、初中起点五年制大专、全日制）
2013年9月-2016年 1月  国家开放大学           学生（本科、开放教育、非全日制）
工作
2010年8月 -2013年4月     （宁夏回族自治区中卫市待业）
2013年5月 -2013年10月    宁夏中卫广汇能源发展有限公司（职员）
2013年11月-2014年6月    （宁夏回族自治区中卫市待业）
2014年7月  -2015年8月      宁夏海悦建国饭店有限公司(职员)
2015年9月                        （宁夏回族自治区中卫市待业）
2015年10月-2016年12月    中卫市公安局交通警察支队（科员）
2017年1月  -2017年6月    （宁夏回族自治区中卫市待业）
2017年7月  -2017年9月      北京花开影视制作有限公司（职员）
2017年10月-2017年10月    北京若森数字科技股份有限公司（职员）
2017年11月-2018年1月     （宁夏回族自治区中卫市待业）
2018年2月  -2019年5月       安徽松鼠娱乐有限公司（职员）
2019年6月- 至今              （宁夏回族自治区中卫市待业)
"</t>
  </si>
  <si>
    <t>="2010.09-2013.07  三门峡职业技术学院就读 电气工程系供用电技术（专科)，全日制
2013.07-2014.08  在三门峡家中待业
2014.08-2015.01  林州德丰村镇银行（后改名林州中原村镇银行）培训实习
2015.01-2017.11  林州中原村镇银行营业部柜员
2017.11-2018.05  林州中原村镇银行临淇支行支行主管
2018.05-2019.05  林州中原村镇银行振林支行支行主管
2019.05-2020.12  林州中原村镇银行法律保全部清收经理
2020.12-2021.07  林州中原村镇银行信贷部信贷经理
2021.07-2022.03  平安普惠三门峡分公司
2022.04-2022.09  在三门峡家中待业
2022.10-2024.11   三门峡市国有资产运营管理有限公司下属子公司河南国创新材料科技发展有限公司  融资专员
2024.11-至今  在三门峡家中待业"</t>
  </si>
  <si>
    <t>="2013.09-2017.06 ：重庆工商大学，环境工程专业，本科，学士
2017.10-2018.10 ：河南环源环保有限公司 环保技术员
2018.10-2019.03 : 考研
2019.04-2020.04 ：河南中西母亲教育有限公司  课程顾问
2020.04-2021.07 ：郑州作业帮科技教育有限公司 辅导老师
2021.08-2022.01 ：考研
2022.04-2023.05 ：郑州爱酷体育科技有限公司 课程顾问
2023.09-2023.10 ：河南粤发人力资源开发有限公司  代课老师
2023.12-2025.06 ：南阳北冥鱼科技有限公司 "</t>
  </si>
  <si>
    <t>="201209-201507 在郑州财经学院工程造价专业就读，普通全日制；
201210-201512 在郑州中原工学院工程造价管理专业就读，独立本科段；
201603-201805 在郑州天河装饰公司工作，我参与了某小区的硬装施工项目，并领导小组齐心协力完成任务；
201806-202106 我在南阳市大统商城担任管理层的职务。
202107-202108 家中备考教师资格证；
202109-202407 在蒲山镇大庄小学担任教导处职务以及教师一职；
2024 年  8 月 -2025 年 6 月个人兼职零工并备考；"</t>
  </si>
  <si>
    <t>="2019.06-2022.06全日制南阳医专中职	中医保健康复	2016.06-2019.06全日制河南推拿职业技术学院 康复治疗主修课程:康复医学 在校经历:参加康复技能大赛取得优异成绩;连续两年获得三等奖学金。
实习经历
2021/04-2022/12	万和医院	康复科治疗师
2018/06-2019/03	南阳中心医院	康复科实习生
工作经验:为脑溢血术后病人进行肢体活动和康复评定
自我评价
1.性格外向、坦诚自信，乐观进取，高度的工作热情;
2.品学兼优，政治素质良好，具有较强的学习能力、沟通能力和团队协作精神，有意愿从事专业化、节 、自我高要求服务工作 适应能力较强并能承受一定的工作压力。"</t>
  </si>
  <si>
    <t>="教育：
201009-201207  郑州轻工业学院  全日制  计算机网络技术      大专
201403-201701 北京大学    非全日制（成人教育）  财务管理     本科     学士
工作：
2012.08-2012.11 海辉集团有限公司   工作
2012.12-2013.03  北京阳光创景企业管理咨询有限公司    工作
201.3 04 -2014.03 北京无限新锐网络科技有限公司    工作
2014 04- 2014.10   北京瑞友科技股份有限公司  工作
2014.11 北京待业
2014.12 -2015.04  国广星空视频科技（北京）有限公司  工作
2015.05 北京待业
2015.06-2015.12   北京网信通新融技术服务有限公司  工作
2016.01 北京待业
2016.02-  2017.05  北京金山安全软件有限公司   工作
2017.06-2017.07  北京待业
2017.08- 2017.09  杭州生命海网络科技有限公司北京分公司    工作
2017.10-11 北京新明星电子技术开发有限公司   工作
2017.12-2020.05 北京三快在线科技有限公司   工作
2020.05-2021.12  北京待业
2021.01 天津神州数码信息科技服务有限公司北京分公司   工作
2021.02-2021.06  北京待业
2021.07-2022.02 北京微淼财商科技有限公司  工作
2022.03-2022.08  北京待业
2022.09-2023.02 凯捷咨询（中国）有限公司北京分公司  工作
2023.03-2023.10  郑州待业
2023.10-2025.05 数字马力（郑州）信息技术有限公司  工作
2025.05-至今  郑州待业
"</t>
  </si>
  <si>
    <t>="201409-201807上海政法学院经济管理学院工商管理专业就读，全日制学历
201807-201905上海豪普生达商业管理有限公司
201906-202205河南濮阳待业
202206-202303恒桥碳素（天津）有限公司
202304-202304天津待业
202305-202308建支国际贸易（天津）有限公司
202309-202402天津待业
202403-202407天津永城诉讼保全业务代理有限公司
202408-202410天津富思智能科技有限公司
202411-至今河南濮阳待业"</t>
  </si>
  <si>
    <t>="201609-201906 南阳医专国际教育学院医学检验班学习                                                                                   201907-202001   待业                                                                                           202002至今       淅川县毛堂卫生院工作（期间，于2020.3-2023.1在新乡医学院继续教育学院取得本科学历）"</t>
  </si>
  <si>
    <t>="201609-202006     兰州大学 生命科学学院 生态学专业 就读
202006-202106     家中待业
202106-202108     润加物业服务（深圳）有限公司  安全员
202108-202110     宏远达环境工程高科集团有限公司行政助理
202110-202210     家中待业
202210-202505     南阳市瑞鑫劳务派遣有限公司内乡分公司（劳务派遣至内乡县综合应急救援队）
202505至今           南阳市优合人力资源服务有限公司（劳务派遣至内乡县综合应急救援队）
 "</t>
  </si>
  <si>
    <t>="200909-201207 郑州旅游职业学院 旅游管理 全日制大专
201303-201507 洛阳师范学院 汉语言文学 业余本科
201207-201802 中移在线服务有限公司 坐席代表
201802-202101 洛阳易道房地产营销策划有限公司 销售客服
202102-202109 偃师区待业
202110-202210 偃师区人力资源和社会保障局 办公室文员
202211-202305 偃师区待业
202305-202309 洛阳市西工区纪委监委 宣传部文员
202309-202404洛阳银翔车业有限公司 宣传员
202405-至今 洛阳星大洲摩托车销售有限公司 宣传部主管
"</t>
  </si>
  <si>
    <t>="201009-201406 ：郑州华信学院   艺术系  艺术设计专业   全日制
201407-201802：待业
201803-201810：郑州道路交通安全协会
201811-202010：平安普惠信息服务有限公司郑州花园路第一分公司
202011-202103：平安普惠信息服务有限公司武汉分公司
202103-202104：待业
202105-202303：太平洋财产保险河南分公司郑州中心支公司
202304-202307：待业
202308-202312：中华联合财产保险股份有限公司河南分公司
202401-至今：待业"</t>
  </si>
  <si>
    <t>="教育经历
2021.9-2025.6	周口师范学院
数学与统计学院  信息与计算科学 | 全日制本科
工作经历
2021.9-2023.9	周口师范学院
生活委员 | 班干部
R26;	活动统筹与文化建设：策划执行系列宿舍文化节活动，通过创新形式提升学生归属感与团队协作意识，参与率达90%以上。
R26;	卫生管理体系构建：建立定期检查与激励机制，推动整体卫生合格率连续3学期超95%。
R26;	资产运营机制创新：创建公共财产管理标准流程，实现物资损耗率下降与使用周期延长。
R26;	需求响应系统优化：搭建分级响应机制处理维修、调换等诉求，形成长效服务跟踪模式。
2022.5-2022.6	志愿者
志愿者 | 学校教育
R26;	新生接待：累计服务200+人次，覆盖校内及校外迎新全流程工作
R26;	站点运营：主导校外迎新站点全周期运作，优化物资调配与动线设计
R26;	团队协作：协调其他志愿者分工，建立轮岗机制提升服务连续性
R26;	服务保障：完成新生引导、咨询答疑、行李搬运等全环节支持
2024.9-2024.11	周口市移动公司
电话客服 | 通信/网络设备
R26;	客户服务与业务支持：处理日常业务咨询，精准识别用户需求并提供解决方案
R26;	需求分析与流程优化：通过深度沟通收集用户痛点，优化服务响应机制提升办理效率
R26;	满意度管理与转化：运用专业话术解决客户异议，提升服务满意度，促进业务转化
2024.10-2024.12	家教
一对一初中数学辅导老师 | 学校教育
R26;	教学成果：学生数学阶段性测评成绩提升，获家长高度认可并主动延长辅导周期至学期结束。
R26;	个性化教学：通过学情诊断制定专项提升计划，针对多个核心薄弱环节设计分层训练方案。
R26;	教学方法：运用"知识点回溯-真题透析"教学法，结合思维导图与生活案例强化理解应用。
R26;	职业素养：严守授课时间与课堂纪律，全程保持教学专注度，建立专业可信赖的师生关系。
2025.4-2025.4	周口市体育中心
测试员 | 学校教育
R26;	测试执行规范：每日提前校准测试仪器，优化学生进场动线，保障每场测试高效运行。
R26;	安全应急响应：快速处置多起突发安全事件，建立医疗点快速对接机制，全程零事故。
R26;	数据质量控制：严格执行标准化操作流程，实现体测数据100%准确录入。
R26;	考生服务优化：主动指导设备佩戴技巧，通过预演测试缓解80%考生紧张情绪。
2025.6-2025.7	学中教育
初中数学老师 | 学校教育
R26;	课程体系开发：完成六本教材模块化教案设计，精准覆盖中考高频考点及易错题型
R26;	专业能力提升：通过练习真题模拟题，大幅提升个人专业能力
R26;	家校协同优化：建立定期反馈机制，与学生及其家长深度沟通，指出学生问题，提出针对性的改进方案
相关技能
英语四级证书，普通话二级甲等
"</t>
  </si>
  <si>
    <t>="201409-201807 沈阳农业大学，计算机科学与技术专业，取得本科学历，工学学士学位；
201808-202104 辽宁创胜网络科技有限公司，技术经理，从事游戏开发设计工作；
202105-202208 杭州美创科技有限公司，C++研发工程师，从事数据安全产品开发设计工作；
202209-202310 阜博集团，技术专家，从事音视频版权保护工作；
202311-202404 浙江畅唐网络股份有限公司，全栈开发工程师，从事休闲游戏开发设计工作；
202405-202409 上海怿星电子科技有限公司，汽车车机中间件开发，从事汽车智能座舱开发设计工作。
202409-至今 创业，杭州，从事软件开发设计。"</t>
  </si>
  <si>
    <t>="
学习经历： 2015年9月-2019年6月就读于喀什大学 工学类本科专业土木工程 
工作经历:2020年11月-2022年10月就职于江西同济建设项目管理股份有限公司 任专业监理工程师一职。负责项目:江西天然气乐-德-婺支线项目工程以及上 饶广丰区城乡新能源项目建设工程。工作内容：主要负责工程日常施工进度质 量安全。参照相关法律规范对工程施工质量进行监督，确保工程质量符合标准 和要求；材料进场验收，检查材料进场的检测报告等证件，进行工序验收。重 要工序旁站记录。审核施工单位报送资料，督促施工单位过程资料自检。 2023年1月-2024年10月就职于上海同济工程项目管理咨询有限公司任专业监理 工程师一职 。 负责项目：华为上海青浦研发生产项目AB组团 A 区 总设计面 积194981㎡，B区总设计面积214438㎡。工作内容：主要负责监督AB区施工质 量、协调沟通工作，协调各施工单位的交叉施工工作，协助甲方管理处理矛盾 。解决与图纸不符的施工情况，根据合同条款对施工单位监督处罚。重要工序旁站，工序验收，收集汇总监理资料及编辑周报月报；向总监理工程师汇报监理 工作实施情况；对施工过程中出现的问题进行分析评价及技术性指导管控；问 题整改跟进；定期检查承包商施工过程资料，不符要求的让其整改；组织召开 问题销项会；组织本专业每周监理例会；开展重要问题研讨会。督促承包商自 我质量管理规范性检查执行进度。"</t>
  </si>
  <si>
    <t>="201109 - 201407 郑州职业技术学院 汽车工程系 汽车电子专业（全日制）
201403 - 201502 旅行社实习
201503 - 201803 南阳市人力资源和社会保障局
201804 - 201910 南阳众磊鑫商贸有限公司
201911 - 202003 郑州市中原区商都社会工作服务中心
202004 - 202105 南阳虹志企业孵化器有限公司
202106 - 202206 南阳市-待业
202207 - 202312 南阳市人力资源协会
202312 - 202406 俏米科技（河南）有限责任公司
202407 - 202503 河南神匠教育科技有限公司
202504 - 202504 南阳市-待业
202505 - 至今 安徽三酉电子商务有限公司南阳分公司"</t>
  </si>
  <si>
    <t>="20110901--20140701 郑州交通学院，经济管理系，会计专业；
20140901--20160701 安阳工学院，经济管理系，财务管理专业；
20160717--20160923 想念食品股份有限公司，财务部，电商主办会计；
20160923--20170618 想念食品股份有限公司，人力资源部，人力资源主管；
20170618--20240701 想念食品股份有限公司，纪检监察部，纪检监察部负责人；
20240701--20250218 想念食品股份有限公司，财务部，应收账款负责人；
20250218--至今 学习备考。"</t>
  </si>
  <si>
    <t>="2020.12-2023.07  云南经贸外事职业学院  就读 全日制 计算机应用技术
2022.03-2023.10  润建股份有限公司         就职 Java开发工程师
2021.03-2022.03  广西和湛科技有限公司  就职 Java开发工程师
2018.04-2021.03  昆明联鹏科技有限公司  就职 Java开发工程师
2017.04-2018.04  昆明雷脉科技有限公司  就职 Java开发工程师
2016.04-2017.04  昆明建设银行                就职 加钞员
2010.12-2015.12  75571部队                     服役 班长/代理排长
2007.09-2010.06  云南工业技师学院 就读 电气专业 全日制"</t>
  </si>
  <si>
    <t>="2019年9月～2022年7月 辽宁职业学院运动休闲与健康学院高尔夫球运动与管理专业     证明人：樊志超
2020年8月~2021年8月 辽宁职业学院 第五届青年马克思主义学习研究会实践部部长
2021年11月~ 2023年4月 伊通满族自治县伊通镇推敲名字广告制作堂 法定代表人
2023年1月~2025年7月 北华大学文学院汉语言文学专业函授在读
2023年5月~2023年8月 待业
2023年9月~至今 广西壮族自治区柳州市三江侗族自治县和平乡人民政府 三支一扶志愿者 乡村建设综合保障中心工作人员"</t>
  </si>
  <si>
    <t>="2001.09-2007.07就读于南召县白土岗镇完小
2007.09-2010.07就读于南召县白土岗镇一初中
2010.09-2012.06就读于南召县现代中学
2018.03-2020.07在南阳师范学院就读行政管理专业（函授大专）
2018.07-2020.06捷信消费金融有限公司南阳分公司&amp;#160;
2020.07-2021.02就职于广发银行南阳分行&amp;#160;
2021.03-2023.07在南阳师范学院就读财务管理专业（函授本科）
2021.03-2024.04在南召县白土岗镇人民政府任办事员
2024.04-至今  在河南辰博盛速物流有限公司（美团南召代理公司）就职"</t>
  </si>
  <si>
    <t>="2010年9月1日-2014年7月1日 河南大学，全日制学历；
2014年7月1日-2016年2月29日 待业；
2016年3月1日-2017年2月28日 郑州南北财务服务有限公司，会计岗位，从事会计工作；
2017年3月1日-2017年4月4日 待业；
2017年4月5日-2020年6月30日 郑州宏生服装工艺有限公司，会计岗位，从事会计工作；
2020年7月1日-2021年4月14日 郑州诚晓纺织品有限公司，会计岗位，从事会计工作；
2021年4月19日-2024年9月8日 南京盛庄市场管理有限公司，会计岗位，从事会计工作；
2024年9月9日-今 待业。"</t>
  </si>
  <si>
    <t>="201809-202007，在三门峡职业技术学院就读，专业为计算机应用技术，学制为2年，学习形式为普通全日制。
202009-202112，在苏州天立达精密科技有限公司工作，岗位是仓管。
202202-202307，在郑州学习西点烘焙
202310-202402，在南阳飞龙汽车零部件有限公司工作，岗位是检验员
202403-202408，在德物肉牛养殖内乡县有限公司工作，岗位是办公室统计员，主要负责完成老板交代的任务，统计养殖场日常消耗和协助厂长维护养殖场的正常运转以及员工招聘和物资采购等工作。
202409-202507，在中原银行股份有限公司内乡支行工作，主要负责住房公积金项目的业务办理。
"</t>
  </si>
  <si>
    <t>="201309-201706 吉林化工学院 资源与环境工程学院 环境科学与工程 就读 属全日制学历 学士学位 
201707-201803 苏州市高新区自来水有限公司  水质化验员
201804-201812 深圳市清研环境科技有限公司 科研助理工程师
201901-201909 苏州科文环境科技有限公司 环保工程师
201910-202307 诚通人力资源有限公司 调试经理、副项目经理
202308-202505 诚通互联（北京）科技有限公司 调试经理、副项目经理
202506-至今 河南省信阳市潢川县弋阳街道 待业"</t>
  </si>
  <si>
    <t>="201109-201507在南阳师范学院计科系软件工程专业就读，是全日制学历。
201508-201604在家待业。
201605-201803在郑州中软任职用户交互界面设计。
201804-201806在中移在线洛阳分公司任职客服代表。
201807-201808在富联裕展任职职工。
201809-202006在家待业。
202007-202109在河南立早人任职客服代表。
202110-202111在家待业。
202112-202202在河南新阳任职审核员。
202203-202308在洛阳云阔任职教师。
202309-202406在家待业。
202407-202502在企晟融汇任职审核员。
202503-202505在北京江河润泽任职项目助理。"</t>
  </si>
  <si>
    <t>="201009-201407 就读于西安石油大学经济管理学院人力资源管理专业，全日制本科
201407-201709 甘肃第七建设集团股份有限公司五公司 综合办干事
201710-201809 于陕西省宝鸡市凤翔区柳林镇邱村一组待业
201810-201905 尧柏特种水泥集团有限公司销售总公司 文秘主管
201906-202011 凤翔韵达商贸公司 西大街片区负责人
202012-202107 于陕西省宝鸡市凤翔区柳林镇邱村一组待业
202108-202411 陕西西凤酒股份有限公司 酿酒工
202412至今       于陕西省宝鸡市凤翔区柳林镇邱村一组待业"</t>
  </si>
  <si>
    <t>="2014年9月——2017年7月，辽宁省辽阳市职业技术学院文经系学习会计电算化毕业，                                           
 2016年2月-2016年9月，台湾侨光科技大学，交流生学习经济学、国际法律结业                                                                                      2016年10月-2017年1月，上海匹匹扣旅游圈有限公司实习，
2019年3月-2021年7月，河南大学，会计学毕业（函授）                                                                   2017年元月在南阳市官庄工区财金事务局工作工作至今，从事局机关办公室、机关财务、国有公司事物管理等工作。"</t>
  </si>
  <si>
    <t>="2011.08 –2015.07
黑龙江东方学院
本科
建筑学专业
2016.09–2019.06
河北工程大学
硕士研究生
建筑学专业
2016.1 –2016.7
河南省南阳市内乡县审计局
2019.06-2022.04郑州大学建筑设计研究院工作
2022.04-2024.12邓宛工程咨询有限公司
2025.01-至今 河南省南阳市内乡县审计局
获奖经历
2011 年 校级建筑学专业工程字竞赛一等奖
2012 年 校级迎新体育比赛全校乒乓球第二名
2011-2012 年 校级一等奖学金
2012-2013 年 校级三等奖学金
2013 年 校级优秀代理班长
2013 年 全国大学生英语竞赛三等奖
2013-2014 年 校级优秀团干部
2015 年 校级优秀毕业生
2017/2018/2019 年 校级一等、二等奖学金
2019 年 发表一篇北大核心期刊"</t>
  </si>
  <si>
    <t>="2020.09- 2023.06 南阳农业职业学院园林  专科
主修课程： 园林规划设计、测量学、工程施工与管理、植物病虫害防治、园林树木、园林花卉、植物室内设计等。
学分绩点：GPA ： 3.57/4.0TOP：5%
特殊荣誉：年度优秀学生奖学金一等奖 校级优秀毕业生称号
2023.09— 2025.06 信阳农林学院  农学  本科
主修课程：作物栽培学、作物育种学、田间试验与统计分析、种子学、耕作学、
植物保护学、植物生理学、农业推广学、信息农业技术、农资营销学等。
学分绩点：GPA ：3.79/5.0TOP :20%"</t>
  </si>
  <si>
    <t>="一、河南省川豫情食品科技股份有限公司   2025.2-2025.6
    任职会计：应收账款，银行往来，费用审核，发票开具，信贷融资等。
二、南阳标点食品有限公司               2024.3-2024.9
    任职会计：应收账款，银行往来，费用审核，发票开具，信贷融资，纳税申报，账目往来，财务报表等。
三、镇平枣园志伟实验学校               2022.2-2024.1
  任职教师：小学语文英语及班主任。
四、郑州三一外语培训中心               2021.2-2021.12
    任职助教老师
五、郑州龙宝行汽车销售有限公司         2019.11-2020.12
任职行政兼人事"</t>
  </si>
  <si>
    <t>="2002.09-2008.08 正宁县山河小学
2008.09-2011.08 正宁县山河初中
2011.09-2014.08 正宁县一中（高中）
2014.09-2018.06 海口经济学院 酒店管理专业 全日制学历 获得管理学学士学位
2018.07-2019.01 上海海伯高斯管理咨询公司 猎头助理顾问
2019.03-2021.07 杭州大厦劳力士（ROLEX） 销售顾问
2021.08-2022.07 杭州万象城卡地亚（CARTIER） 销售顾问
2022.11-2023.02 甘肃省庆阳市西峰区人民检察院 书记员（合同工）
2023.03-目前  在甘肃省庆阳市正宁县待业 备考中"</t>
  </si>
  <si>
    <t>="201509-201906 长沙理工大学设计艺术学院环境设专业就读。
201907-202011 中建八局第一建设有限公司任专业工程师职位参与正弘国际广场项目及杭州奥体项目装饰装修
202012-202103 在河南南阳待业
202104-202110 中建二局第二建设有限公司任责任工程师职位，参与羊台书苑房地产项目
202111-202203在河南南阳待业
202204-202410 中铁建工集团第四建设有限公司任项目总工职位，参与福州南新建高铁站项目及义乌高铁站项目
202411-202503在河南南阳待业
202504-202507河南汉都人实业发展有限公司任设计师职位"</t>
  </si>
  <si>
    <t>="2016-09 -- 2019-07西京学院建设工程管理专业大专学习
2019-07 -- 2021-06九冶建设有限公司第五工程公司咸阳启点科技城项目部（E地块）技术员
2021-06 -- 2021-07九冶建设有限公司第五工程公司咸阳启点科技城项目部技术员、（E地块）技术员
2021-07 -- 2021-09九冶建设有限公司第五工程公司保集E智谷健康科创园项目部技术员、咸阳启点科技城项目部技术员、咸阳启点科技城项目部（E地块）技术员
2021-09 -- 2023-05九冶建设有限公司第五工程公司保集E智谷健康科创园项目部技术员 （2020.03--2022.07西安工业大学土木工程专业在职本科学习）
2023-05 -- 2024-03九冶建设有限公司第五工程公司党群工作部（人力资源部）业务员
2024-03 -- 2024-07九冶建设有限公司第五工程公司党群工作部（人力资源部）业务员、法律合规部（纪委工作部）业务员
2024-07 -- 至今九冶建设有限公司新能源公司项目管理组业务经理"</t>
  </si>
  <si>
    <t>="2011.09-2014.06    浙江水利水电学院给排水工程技术专业就读、全日制大专学历
2014.06-2014.08    浙江省省直建设工程监理有限公司监理员
2014.08-2019.12    中国人民解放军63660部队服役（其中2016.03--2018.07河海大学水利水电工程专业函授专升本学习、毕业，2018年12月取得工学学士学位）
2019.12-2020.05    内乡县消防救援大队消防员
2020.05-2021.01    内乡县应急管理局防汛办 
2021.01-至今          西峡县农业农村局农田建设管理股（农田建设服务心）职员"</t>
  </si>
  <si>
    <t>="201909-202306在黄淮学院动画学院就读，属于全日制本科，担任班长一职，荣获两次国家励志奖学金，多次参与工作室与校外公司的项目工作。202303-202307在上海维塔士软件有限公司实习培训。202307-202408就职于隆峰医疗器械有限公司，担任三维模型组组长，组织制作产品可视化应用三维场景以及产品展示动画。202409-202411就职于天津傲梦文化有限公司，担任三维模型动画师，参与制作布达拉宫纪录片拍摄工作，202411-202503就职于天津自如，担任房屋管家。202503-202506待业于南阳。"</t>
  </si>
  <si>
    <t>="201009-201306武汉铁路职业技术学院运输与管理工程系铁道交通运营管理专业全日制201307-201709成都铁路局西昌车务段桐子林站连结员201710-201802成都铁路局西昌车务段青杠站连结员201803-201805成都铁路局西昌车务段青杠站学习调车长201805-202301中国铁路成都局集团有限公司西昌车务段青杠站调车长202302--202401中国铁路成都局集团有限公司西昌车务段青杠站学习助理值班员202402-202408中国铁路成都局集团有限公司西昌车务段青杠站助理值班员202409-至今中国铁路成都局集团有限公司西昌车务段弯丘站助理值班员"</t>
  </si>
  <si>
    <t>="2006年9月至2009年7月，河南省光山县马畈镇高级中学，学习
2009年9月至2012年7月，河南省登封市嵩山少林武术职业学院，学习
2012年7月至2013年8月，河南省信阳市光山县马畈镇云山大道，在家待业
2017年3月至2019年7月，南阳师范学院，参加成人高等教育，学习
2013年8月至2013年12月，南京市南京消防士官学校，消防部队新兵
2013年12月至2014年2月，河南省平顶山市消防支队特勤大队，实习消防士官
2014年2月至2018年10月，河南省洛阳市消防支队洛龙大队体育中心中队，现役消防士官
2018年10月至2022年11月，河南省洛阳市消防支队洛龙大队五环街消防救援站，国家队消防员
2022年11月至2023年2月，河南省信阳市光山县马畈镇云山大道，在家待业
2023年2月至今，河南省信阳市光山县消防救援大队，合同工"</t>
  </si>
  <si>
    <t>="201209-201607 郑州科技学院就读 全日制本科
201607-201612 河南省栾川县待业
201701-202001 洛阳昶威机械制造安装有限公司任职技术员
202001-202007 河南省栾川县待业
202008-202012 河南省确山县留庄镇人民政府事业编制工作人员
202101-202212 中建七局总承包公司河南分公司任职安全员
202301-202305 河南省栾川县待业
202305-202310 中建三局华南公司任职机械管理员
202311-202403 河南省栾川县待业
202404-202410 上海晟鑫永安全技术工程有限公司任职安全工程师
202411-至今 河南省栾川县待业
"</t>
  </si>
  <si>
    <t>="1、201209-201309  在河南财政金融学院体育教育专业就读。（全日制大专，未毕业，退学参军。）
2、201309--201509 在新疆军区步兵十一团服兵役。 
3、201603--201907 在郑州大学网络教育专业就读。（非全日制）
4、201909--2020.03 在广州大学会展管理专业就读。（非全日制）
5、201609-201809  在驻马店市上蔡县消防救援大队工作、201809-202209 在郑州航空港区消防救援支队工作、202212-至今在南阳汇霖园林工程有限公司工作。
"</t>
  </si>
  <si>
    <t>="201209-201507西峡第二高级中学就读                                                  201509-201807三门峡职业技术学院道路与桥梁系就读 ，全日制                                    
2018.09-2020.07郑州工业应用技术学院土木工程系就读 ，全日制                            
2020.08-2020.10待业                                                                
2020.11至今河南省中州公路工程试验检测有限公司职员"</t>
  </si>
  <si>
    <t>="201309-201606山东交通学院 大专 会计专业 201608-201808釜山外国语大学 本科 会计税务行政学专业 201809-201902待业  201903-201907北京中公教育科技有限公司山东分公司 市场专员 201908-202005待业 202006-202010北京课观天下教育科技有限公司山东分公司 运营专员 202011-202012待业 202101-202203济南神州工商技工学校 办公室文员 202204-202207山东诺达管理咨询有限公司 用工单位：国药控股（山东）医疗器械有限公司 项目专员202208-202301 待业 202302-202305济南顺通人力资源管理服务有限公司 用工单位：山东华盛设计集团有限公司 后勤司机 202306-202308济南泉之韵人力资源有限公司 用工单位：山东华盛设计集团有限公司 后勤司机 202309至今 待业"</t>
  </si>
  <si>
    <t>="201309-201707新乡学院就读人力资源管理专业
201707-202003江苏恒立液压股份有限公司 职员
202004-202008牧原集团 职员
202009-202012 西峡待业 
202101-202201上海梁玉玺实业集团有限公司 职员
202201-202203 上海全乐制药 职员
202204-202304 上海梁玉玺实业集团有限公司职员
202305-202501  浙江卡拉扬集团有限公司 职员
202502-202503   河南宛宝制药有限公司 职员
202504  内乡县畅兴设备有限公司  
202505-至今 西峡待业"</t>
  </si>
  <si>
    <t>="2015.09-2019.06 于兰州财经大学长青学院 工商管理专业、全日制本科就读；
2020.04-2020.06就职于中国平安人寿保险股份有限公司西安电销中心 ；
2020.08-2020.12就职于网易有道精品课 ；
2021.01-2021.04就职于作业帮教育科技有限公司 ；
2021.06-2021.10就职于一起学网校；
2022.08-2022.12就职于网易有道精品课；
2023.01-2024.02西安待业 
2024.03-2025.01.01上海维音信息技术股份有限公司
2025.02-至今 西安待业"</t>
  </si>
  <si>
    <t>="200809-201107在河南检察职业学院工商管理专业就读，全日制学历，期间加入中国共产党，考取大学英语四级证书
201109-201307在中原工学院信息商务学院工商管理专业就读，全日制学历，期间担任学习委员，考取普通话一级乙等证书、C1驾驶证
201307-201511在河南省今世福珠宝有限公司担任柜组长，考取会计从业资格证书
201511-201604 郑州市待业
201604-201904在郑州载物企业管理咨询有限公司，担任投资顾问
201905-202205在河南省华锐光电产业有限公司，担任制费固资高级专员
202205-至今 郑州市待业"</t>
  </si>
  <si>
    <t>="201009-201406 吉林财经大学，国际经济贸易学院，国际经济与贸易（俄语）专业，全日制本科
201407-201602 正泰电气股份有限公司，独联体业务部，外贸业务员，主要负责外贸业务拓展工作；
201603-201703 河南保税物流中心有限公司，关务部，报关员，负责保税区进出区报关工作；
201704-201905 恒大地产集团郑州有限公司，销售部，回款专员，负责按揭款回款工作；
201905-202106 建业住宅集团南阳置业有限公司，公园里项目部，销售内业，负责按揭款回款工作；
202107-202310 中光学集团股份有限公司（河南中富康数显有限公司），业务二部，ODM大客户经理，负责ODM项目业务跟进及交付；
202401-至今 卧龙电气南阳防爆集团股份有限公司，系统解决方案项目部，销售内勤，销售工作日常运营管理"</t>
  </si>
  <si>
    <t>="2010.09-2012.07南阳理工学院软件学院软件技术（.NET）专业就读，全日制专科；
2012.08-2016.10北京六合伟业科技股份有限公司工作；
2016.11-2017.03待业；
2017.04-2017.07南阳私塾国际学府教学；
2018.06-2018.02待业；
2018.03-2018.04南阳明星高考学校教学；
2018.05-2019.12北京六合伟业科技股份有限公司工作；
2019.12-2020.10南阳奥思书院教学；
2020.10-2021.07南阳市民进学校教学；
2021.08-2024.08南阳市宛城区豫阳外国语学校教学；
2022.03-2024.07河南财经政法大学继续教育学院会计学专业业余就读，函授本科（非全日制本科）；
2024.09-2025.02待业；
2025.02-2025.06南阳市天韵培训机构；
2025.07-待业。"</t>
  </si>
  <si>
    <t>="201009-101406  云南农业大学经济与管理学院就读经济学专业；
201409-201609 武警贵州省总队黔东南州支队麻江县中队中队部文书；
201609-201702 在家待业；    
201702-201709 云南鸿翔一心堂 云南公司行政部 行政核查员；
201709-201803 中建四局第五建筑工程有限公司云南分公司蓝光天悦城项目办公室主任 （其中2017.09--2020.01山东大学-中药学  获得理学   学士学位）；
201803-201903 中建四局第五建筑工程有限公司云南分公司党群工作部纪检监督员；
201903-202305 中建四局第五建筑工程有限公司云南分公司综合办公室（党委办公室、档案室）机关第三支部书记、企划管理负责人、信息化管理负责人、行政管理员（其中2020.03--2022.06  武汉理工大学-土木工程 ）；
202305-202412  中建四局第五建筑工程有限公司西南分公司泰康之家滇园项目综合办主任；
202412-202501  中建四局交通投资建设有限公司西南分公司泰康之家滇园项目综合办主任；
202501-至今  中建四局交通投资建设有限公司综合运营管理部综合事务岗。"</t>
  </si>
  <si>
    <t>="2016年7月        2016年8月        北京市西城区学而思培训学校        辅导老师        
2016年11月        2017年4月        北京高思博乐教育科技股份有限公司        主讲老师        
2017年12月        2020年10月        北京学而思教育科技有限公司        教研老师        
2017年5月        2017年8月        小船出海教育科技（北京）有限公司        辅导老师        
2017年9月        2017年11月        卓越光大（北京）科技有限公司(已注销)        运营        
2020年11月        2021年2月        北京新唐思创教育科技有限公司        主讲老师        
2021年3月        2021年3月        北京森域网络科技有限公司丰台分公司        运营        
2021年4月        2022年6月        北京有竹居网络技术有限公司        教研老师        
2022年7月        2022年7月        北京森合润田网络科技有限公司朝阳分公司(已注销)        运营        
2022年8月        2024年7月        网易有道信息技术（北京）有限公司        教研老师        
2024年8月        2025年2月        北京猿辅导线上学科培训学校        教研老师
2025年2月至今   无业"</t>
  </si>
  <si>
    <t>="201209-201507于许昌职业技术学院财务管理专业就读，全日制专科
201603-201807于周口师范学院财务管理专业就读，非全日制本科
201507-201707于北京番茄山谷健康科技有限公司担任总账会计
201707-202008于河南宏韬会计师事务所（普通合伙）做审计工作
202008-202302在家待业，带小孩
202302-202403于河南正发房地产开发有限公司担任总账会计
202403-202411备考中级会计职称
202411-202507于河南长寅税务所有限公司做清算/审计业务"</t>
  </si>
  <si>
    <t>="1、2017年6月-2021年6月
①学习经历：在湖南农业大学就读，成绩优异，以专业成绩前10%毕业，期间获得国家励志奖学金。并在校级和院级组织担任学生干部，组织并参与7次活动；
②实习经历：2020年，两次参与湖南省贫困县退出评估调研项目，通过实地走访、问卷调查、翻阅资料，整理分析湖南湘西贫困县脱贫覆盖率，及帮扶机制落地程度，后期跟随导师进行数据整理及资料反馈，支撑农业农村局的数据调研项目。
2、2021年7月-至今：
①在牧原肉食品有限公司担任运营计划工作，擅长生猪行情、猪肉屠宰、产品成本及定价、产品知识、日常工厂运营等工作；
②责任感强：曾多次支撑新屠宰厂运营工作，目前牧原肉食从最初的2厂发展为全国10厂，并逐步实现盈利，有丰厚计划排产和行情研判工作经验；
③数据分析能力强：日常处理工厂生产及客户信息较多，对于数据归纳分析，文件审核有较强工作能力；
④组织沟通能力：运营工作需要多方协同，经过4年工作配合，目前个人组织沟通能力显著提升，善于带领团队完成目标。
"</t>
  </si>
  <si>
    <t>="201109-201407   平顶山工业职业技术学院       就读；
201407-201606   在家（洛阳市栾川县潭头镇）待业；
201606-201811   洛阳市香江万基铝业有限公司    就业；
201811-202012   在家（洛阳市栾川县潭头镇）待业；
202012-202305   栾川县应急管理局（劳务派遣） 就业；
202305-202308   在家（洛阳市栾川县潭头镇）待业；
202308-202403   栾川县栾灵金矿有限公司       就业；
202403-至今        栾川县宏邦矿业有限公司       就业。"</t>
  </si>
  <si>
    <t>="201409-201607在郑州职业技术学院汽车检车与维修技术专业就读大专，是全日制学历 。201607-201703在老家河南省泌阳县待业，201703-201909在河南省驻马店市待业，201909-202108在河南省泌阳县待业，202109-202305在河南省泌阳县花园街道办工作，202305-202401在上海佩琪公司工作（公司组织培训考证到202312正式上岗), 202402-202403在老家泌阳县待业，202404-202405在深圳通过中介到福田当话务员，202406-202407深圳宏泰安保公司工作，202407-202409泌阳县待业，202410-202507在深圳龙华民治保安公司上班。      "</t>
  </si>
  <si>
    <t>="2018.6-2019.2 郑州鸿盛数码科技股份有限公司 平面设计
负责独立完成公司的花印设计、以及制作（布艺物品）及个别海报图文处理；
分析理解客户意图，正确把握客户的需求，设计创作符合客户需求；
负责公司日常宣传设计制作、标识标牌设计；
2019.3-2022.3 郑州爱上零食屋有限公司 微信公众号运营
负责维护直营门店微信群，两个部门每期公众号文章的发布及维护，文案策划；宣传视剪辑；负责与抖频的拍摄，音团购直播以及其他平台负责人对接
负责店铺日常宣传活动物料设计制作、标识标牌设计、氛围物料设计等；
负责直营门店督导工作，店铺活动方案拟定并执行，增加店铺顾客流量，拉高客单价，提高门店顾客转换率；
负责门店部分产品采购，与产品供应商沟通及汇款；
2022.4-2022.10 河南天冰冷饮有限公司 市场部文案策划
负责独立完成公司的海报图文处理及门店外宣情况抽查并审核；
 对接所负责大区的宣传工作，协助团队完成直播；
负责品牌公众制作并宣传"</t>
  </si>
  <si>
    <t>="学习简历：
2006年09月-2010年07月 独山高中 学生
2010年09月-2011年07月 城南高中 学生
2011年09月-2014年07月 合肥财经职业学院 建筑工程技术 团支书 全日制 安徽省六安市
2014年09月-2016年07月 宿州学院 测绘工程 学生 全日制 安徽省六安市
2019年03月-2021年07月 皖西学院 汉语言文学  学生 函授本科 安徽省六安市
2022年03月-2024年07月 长江大学 环境工程 学生 函授本科 安徽省六安市
工作简历：
2016年07月-2018年02月 自由职业 社会人员
2018年02月-至今安徽省地矿局313地质队 工作人员
"</t>
  </si>
  <si>
    <t>="2015.9-2020.6   在杭州技师学院  汽车运用与维修专业 全日制高级工班
2019.2-2021.6  在 长沙理工大学  汽车检测与维修技术专业  非全日制
2020.9-2022.9   在中国人民解放军陆军80集团军服役  职务战士
2022.10-2023.1   在玖融营销策划公司工作 职务 销售内勤
2023.2- 2023.4    在齿逸口腔工作 职务市场营销经理
2023.4-2023.6  在悦迪比亚迪4s店工作  职务服务顾问
2023.6-2024.11  在乐清市人才有限公司 工作 派遣至司法局  职务警车驾驶员
2024.11-至今    在温州鸿雅人力资源有限公司工作 派遣至司法局 职务警车驾驶员"</t>
  </si>
  <si>
    <t>="201609-201706在郑州工业应用技术学院建筑工程学院土木工程专业就读，全日制学历；
201709-201802在成都就业；
201803-201807在上海就业；
201809-201906在郑州工业应用技术学院建筑工程学院土木工程专业就读，全日制学历；
201909-202109在河北保定高碑店某部服役；
202109-202306在郑州工业应用技术学院建筑工程学院土木工程专业就读，全日制学历；
202309-202402在许昌就业；
202404-202502在牧原内乡实验室就业；
202503-至今在家待业。"</t>
  </si>
  <si>
    <t>="200809-201106 湖南铁路科技职业技术学院 物流管理专业全日制就读
201107-201212 深圳市众合宏图电子有限公司 操作员
201301-201302 待业
2013.03-2014.02 深圳华新创展商贸有限公司 仓管员
201403-201704 深圳华润三九医药贸易有限公司 仓管员
201705-201706 深圳金一文化发展有限公司 物流专员
201707-201812 富士康科技集团 交付保障
201901-201902 待业
201903-202503 湖南长远锂科新能源有限公司 仓管员
202504-至今 待业"</t>
  </si>
  <si>
    <t>="200909-201306在中国石油大学（华东）土木工程系就读，全日制本科。201307-201504在天津天一建设集团有限公司就职；201504-201508在家待业；201509-2105-12在河南三建建设集团有限公司就职；201601-201604在家待业；201605-201906在昊华骏华集团就职；201907-202211在碧桂园集团河南区域就职；202211-202303在家待业；202304-202309在碧桂园集团豫东区域就职；202310-202411在河南蕴农植保科技有限公司就职；202411-202507在家待业。"</t>
  </si>
  <si>
    <t>="学习经历：2013年9月-2016年6月 河北对外经贸职业学院 西语系 应用德语 无学位 全日制
2021年3月-2023年6月 华北理工大学 本科 无学位 计算机科学与技术 非全日制
工作经历：2017年7月-2018年6月 北京看看车科技有限公司 区域运营主管
2018年6月-2019年9月 团车互联网信息服务（北京）有限公司运营主管
2019年10月-2020年4月 待业
2020年5月-2021年3月 东风畅行科技有限公司产品经理
2021年4月-2024年2月 柯莱特科技有限责任公司产品经理
2024年2月-至今 待业"</t>
  </si>
  <si>
    <t>="202507-201707 武警北京市总队第九支队 战士
201708-201709 河南省社旗县下洼镇赵庄村 待业
201710-202112 北京保安服务总公司特保安检分公司 员工
201903-2021-06 中国地质大学（北京）网络教育电气自动化技术专业就读，非全日制
202201-202202 河南省社旗县下洼镇赵庄村 待业 
202203-202204 恒英人力资源服务（宁波）有限公司北京顺义分公司 员工 
202205-202207 河南省社旗县下洼镇赵庄村 待业
202208-至今 南阳万杰劳务咨询有限公司 员工
202304-202507 南阳师范学院继续教育学院法学专业就读，非全日制"</t>
  </si>
  <si>
    <t>="2010年9月至2013年6月，武汉航海职业技术学院，就读酒店管理专业，全日制。
2013年7月至11月，待业
2013年12月至2014年12月，武汉德源堂有限公司，任职总经理助理职位
2015年1月至2016年8月，武汉中金联金融服务有限公司，任职金融服务经理职位
2016年9月至2017年3月，待业
2017年4月至2020年5月，建始县三网通讯有限公司，任职电信业务专员职位
2020年6月至2021年8月，待业
2021年9月至2025年6月，建始县博爱社会工作服务中心，任职专职社会工作人员职位
2025年7月至今，待业
(其中，2022年3月至2025年7月，武汉科技大学，就读计算机科学与技术专业，函授本科）"</t>
  </si>
  <si>
    <t>="受教育状况：
2012.09-2015.07  郑州财经学院-市场营销专业-（是全日制）
2012.09-2015.10 河南财政政法大学-市场营销专业-自考本科（否全日制）
工作经历：
2015.11-2020.04  牧原食品股份有限公司-财务部-业务督导岗
2020.05-2021.09 河南恒辉实业有限公司-工程管理部-子公司业务经理
2021.10-2024.02 河南金冠电力工程有限公司-销售中心-项目助理
2024.05-2025.07 城发水务（内乡）有限公司-生产运营部-运行工"</t>
  </si>
  <si>
    <t>="201009-201406    吉林建筑大学城建学院就读 管理系工商管理专业
201407-201603    河南省南阳市内乡县待业
201604-201709    同程国际旅行社昆明分公司   旅游顾问
201710-201812    陕西省西安市待业
201901-202004    北京众信国际旅行社西安分公司  旅游顾问
202005-202201    河南牧原物流有限公司     办公室
202202-202205     河南兴华器械设备有限公司  办公室
202206-20250730  河南省南阳市待业
"</t>
  </si>
  <si>
    <t>="201909-202207年在信阳职业技术学院就读医学影像技术专业，是全日制学历。
202208 - 2024.06 卧龙车站医院 放射科技师
在工作期间，接待病人对常见疾病的咨询，配合诊断医师完成报告，负责常规摄影工作，与相关医护人员配合完成造影。熟练掌握胸片、四肢的摄影独立操作CT及DR。严格按照操作规程完成摄影工作，提醒病人穿戴防护用具，防止事故发生。获得放射技士证，普通话甲级证书，公共营养师等证书
202409-202507在恩大医院任职放射科技师，本人医学影像技术毕业，具有坚实的医学影像学知识基础，并进行实习和工作，在一年多的实际工作经历中，学习能力快速，具备良好的组织管理、执行能力及协调能力，能够与患者良好的沟通，帮助患者解决问题。在工作期间，协助老师进行体位摆放及机器操作，熟练導握CT、DR的影像技术检查操作技能，可以独立操作完成病号的各个部位检查，进行修剪图像，完成片子的打印。"</t>
  </si>
  <si>
    <t>="2012年9月-2016年6月  华中科技大学 电子信息工程 本科
2016年7月-2017年12月  北京市西城区学而思培训学校    职务：教师
2018年1月-2020年12月  欣欣相融教育科技（北京）有限公司 职务：运营主管
2021年1月-2022年 2月  北京有竹居网络技术有限公司  职务：运营主管
2022年3月-2022年 4月  北京豆豆狐线上学科培训学校   职务：运营主管
2022年5月-2022年11月  北京高途云集教育科技有限公司  职务：运营主管
2022年12月至今        待业"</t>
  </si>
  <si>
    <t>="
201009 - 201307安徽电气工程职业技术学院 电厂热能动力装置  全日制专科学历
201308- 201508安徽省合肥市宝宸时代花园 待业 
201509-201904合肥市包河区城管局滨湖城管办公室 职工 
201703 - 201907 中国地质大学（武汉）工商管理  非全日制本科学历
201904 - 202106宿迁东源投资开发公司 泵站运行工作 
202107 - 202409 中国南水北调集团东线公司 泵站运行
202410-202505安徽省合肥市宝宸时代花园 待业
202506-至今  宿迁产发派遣至宿迁信访局工作"</t>
  </si>
  <si>
    <t>="200509-201007在河南交通职业技术学院道路桥梁工程技术专业就读，全日制学历；
201007-201010孟州市待业；
201010-201212在孟州市工作，就职于太平洋建设集团；
201212-201303孟州市待业；
201303-201312在汝州市工作，就职于今日汝州报社；
201312-201401孟州市待业；
201401-201508在孟州市工作，就职于焦作市泰安建设监理公司；
201508-201509孟州市待业；
2015.9~2020.4 在孟州市工作，就职于孟州市第一汽车运输公司；
注：201403-201607在周口师范学院，播音与主持艺术专业就读，非全日制学历；"</t>
  </si>
  <si>
    <t>="201503-201707河南工业职业技术学院 广告设计与制作专业就读，非全日制学历。
201509-201710服役于中国人民解放军31670部队
201710-201806在河南省南阳市宛城区赵营社区瓦房庄家中待业
201807-201912 在南阳市森林公安局工作（公益性岗位）
201912-202006在南阳市高速交警支队工作（辅警）
201903-202107在南阳师范学院法学专业 非全日制
202006-202208河南省南阳市宛城区赵营社区瓦房庄家中待业
2022.08-至今 在南阳市城乡一体化示范区公安分局工作"</t>
  </si>
  <si>
    <t>="2009.09-2012.06 南阳市五中；学生
2012.09-2016.07 新乡学院；建筑环境与设备工程；学士学位
2016.07-2017.09 于南阳市备考研究生
2017.09-2020.07 西安工程大学；供热、供燃气通风及空调工程；硕士学位
2020.7-2020.11：工作于成都基准方中建筑设计有限公司郑州分公司，担任暖通设计师职位。
2020.11-2021.03：于郑州待业
2021.03-2022.06：工作于中建设计集团有限公司河南分公司，担任暖通设计师职位。
2022.06-2024.02：工作于管城回族区城市管理局，任职于局机关科室，负责办公室日常工作及领导交办的其他工作。并作为专班成员参与了市政基础能力提升项目（省重点督导项目），负责项目日常工作管理、项目进度把控、资料编写整理以及与参建各方的沟通协调
2024.02至今：于郑州待业备考"</t>
  </si>
  <si>
    <t>="201507-201907 信阳学院 艺术系美术学就读 为本科全日制学历
201907-201910 郑州点染外包特效有限公司（实习）
202001-202003 赴上海晶核学习虚幻引擎开发（UE5）
202004-202101 广州大唐云科技有限公司UI设计（实习）
202102-202201 镇平外贸公司网络采购
202201-202308 拼多多网店运营个体户
202308-202409 联通公司门店营销员
202409-202503 镇平县玉都派出所所招辅警
202503-202507 镇平县联通公司智家工程师（实习）"</t>
  </si>
  <si>
    <t>="201309-201706 广西科技大学 就读
201707-201802 郑州市金水区鹤鸣社会工作服务中心 项目社工
201803-201904 锦州市首佳教育咨询有限公司 讲师
201905-202003 郑州市二七区灯塔社会工作服务中心 项目主管
202003-202205 唐河牧原农牧有限公司 人力资源管理师
202206-202305 南阳市近邻社会工作服务中心 项目主管
202306-202404 南阳东方雨虹建材科技有限公司 行政专员
202405-至今 南阳宛美大寨文旅有限公司 行政专员"</t>
  </si>
  <si>
    <t>="20120301-20140701 南阳理工学院机械制造与自动化专业函授毕业 
20140702-20180801 东莞正扬电子机械有限公司任职模具工程师
20180802-20210801 南阳宏邦集团宛骏红旗汽车销售服务有限公司任职汽车销售顾问
20210802-20220801 南阳宛德宝汽车销售服务有限公司任职汽车销售顾问
20220802-20240801 南阳新凯迪汽车销售服务有限公司任职汽车销售顾问
20240801-20250401 南阳盛开比亚迪汽车销售有限公司任职汽车销售顾问
20250401-至今在南阳家中待业"</t>
  </si>
  <si>
    <t>="201409-201807  南阳师范学院 化学与制药工程学院
201807-201810  摩帝孚-南阳师范学院再生油利用联合实验室	实验室研究员 利用前处理装置与加氢实验装置开展废润滑油综合利用技术的研发，对工业化最优条件进行摸索。
201810-201907 摩力孚环保科技有限公司岳阳研究院	第一研发部加氢评价 进行加氢工艺改进研究与加氢实验装置操作。
201907-201910 河南省三门峡市卢氏县城关镇待业					
201910-202109 洛阳嘉清检测技术有限公司 检测部检测员
202109-202409 河南省三门峡市卢氏县城关镇待业
202409-至今	卢氏县留置看护大队"</t>
  </si>
  <si>
    <t>="201209-201707南阳师范学院全日制语文教育专业就读
201707-201911在河南省西峡县待业
201912-202004在西峡县西坪镇派出所任协警
202004-202209在西峡县待业
202209-202301在西峡县五里桥镇中心小学代课
202103-202307在河南工程学院函授本科行政管理专业就读
202301-202305在福建省福安市青拓集团任质检员
202306-202310在西峡县待业
202311-202407在河南省西峡县龙成集团任采购员
202407-202506在西峡县待业
202507至今在西峡县五里桥供电所任抢修员"</t>
  </si>
  <si>
    <t>="2012.9-2015.7&amp;#160;&amp;#160;池州市第三中学&amp;#160;&amp;#160;学生
2015.9-2016.7&amp;#160;&amp;#160;池州市第八中学&amp;#160;&amp;#160;&amp;#160;学生
2016.9-2020.7&amp;#160;&amp;#160;巢湖学院机电学院&amp;#160;&amp;#160;学生
2020.9-2024.12&amp;#160;&amp;#160;73049部队&amp;#160;&amp;#160;&amp;#160;&amp;#160;&amp;#160;&amp;#160;军士
2024.12-至今&amp;#160;&amp;#160;&amp;#160;&amp;#160;&amp;#160;待业"</t>
  </si>
  <si>
    <t>="2010年9月至2014年7月，安阳工学院
2014年8月，河南省邓州市待业
2014年9月至2015年3月，广东小天才科技有限公司
2015年4月至2016年4月，河南省邓州市待业
2016年5月至2016年11月，拉扎斯网络科技（上海）有限公司杭州分公司
2016年12月至2017年5月，河南省邓州市待业
2017年6月至2020年6月，河南黄国粮业股份有限公司
2020年7月至2020年10月，河南省郑州市待业
2020年11月至2021年3月，郑州中远防务材料有限公司
2021年4月至2021年8月，河南省邓州市待业
2021年9月至今，邓州市金碧生物材料科技有限公司"</t>
  </si>
  <si>
    <t>="2005.09-2009.06 鄢陵县高中，学生
2009.09-2013.07 郑州大学软件学院，计算机科学与技术(计算机辅助设计)专业，全日制本科学生
2013.07-2014.06 上海吉星家具有限公司，职员(无社保)
2014.07-2014.11 上海美勒森家居科技有限公司，职员
2014.12-2015.08 上海吉星家具有限公司，职员(无社保)
2015.09-2016.04 上海新寅实业有限公司，职员
2016.05-2016.08 上海吉星家具有限公司，职员(无社保)
2016.09-2016.12 上海吉星家具有限公司，职员
2017.01-2017.02 金螳螂（上海）装饰设计有限公司，职员(无社保)
2017.03 -2017.03 金螳螂（上海）装饰设计有限公司，职员
2017.04-2017.07 上海子诚建筑装饰有限公司，职员
2017.08-2018.09 上海子诚建筑装饰有限公司，职员(无社保)
2018.10-2019.08 上海一墨十方室内装饰设计有限公司，职员
2019.10-2022.02 上海大悦实业发展有限公司，职员
2022.03-2022.03 上海威昱网络科技有限公司，职员
2022.04-2022.05 上海昆仑劳务输出有限公司，职员(无社保)
2022.06-2022.06 上海昆仑劳务输出有限公司，职员
2022.08-2023.07 上海无间建筑设计有限公司，职员
2023.08-2023.08 上海岳蒙设计有限公司，职员
2023.09-2023.11 上海集间家居科技有限公司，职员
2023.12-至今 安徽省六安市叶集区待业"</t>
  </si>
  <si>
    <t>="201609-202006 福建工程学院 数理学院 信息与计算科学专业就读，全日制本科学历；
202007-202101 莆田市欣源昇贸易有限公司就业，担任跨境电商运营职位；
202102-202106 在南阳待业
202107-202109 南阳新田叁陆零商贸有限公司就业，担任运营专员职位；
202109-202202 在南阳待业；
202203-202308 南阳意谷科技服务有限公司就业，担任招商运营专员职位；
202309-202505 宛恩药业（河南）有限公司就业，担任总经理助理职位；
202506-至今 中兴新力科技（河南）有限公司就业，担任总经理助理职位。"</t>
  </si>
  <si>
    <t>="201609-201906 河南农业职业学院  财会金融学院 会计专业就读 全日制学历
201909-202107 商丘工学院 经济与管理学院 会计学专业就读 全日制学历
202103-202208 东唯石业（上海）有限公司 会计助理
202209-202301 在家待业
202302-202306 南阳中扬光电科技有限公司 统计员
202307-202404 南阳市世丰汽车销售服务有限责任公司 售后会计
202405-202406 在家待业
202407-至今 内乡县臻旺机械设备有限公司 费用会计
"</t>
  </si>
  <si>
    <t>="201209-201606 中央民族大学就读人力资源管理专业
2016-07-01 ~ 2016-10-14   鸿泰鼎石资产管理有限责任公司  催收员
2016-12-26 ~ 2017-01-27  世纪文都教育科技集团股份有限公司  招聘专员
2017-02-16 ~ 2017-03-31  文思海辉技术有限公司  招聘专员
2017-06-19 ~ 2017-10-27  北京天和国兴国际咨询有限公司  招聘专员
201711-201809  黑龙江省齐齐哈尔市梅里斯区卧牛吐镇待业
2018-10-22 ~ 2021-04-30  北京趣活科技有限公司  薪酬专员
2021-08-02 ~ 2021-10-29  北京华图卓坤教育科技有限公司  薪酬专员
2021-11-08 ~ 2022-01-28  御天太和人力资源管理技术有限公司  薪酬专员
2022-04-18 ~ 2024-09-10  北京燕赵伟业人力资源咨询服务有限公司（后转到北京宏浩易成企业管理服务有限公司，系同一公司）薪酬专员
202409-现在  黑龙江省齐齐哈尔市梅里斯区卧牛吐镇待业"</t>
  </si>
  <si>
    <t>="201109-201507黄河科技学院就读，计算机科学与技术软件开发方向专业，大学本科全日制学历，学士学位。
201508-201810 郑州威科姆科技工作，软件开发工程师岗位。
201808-201911 郑州中科宇图工作，软件开发工程师岗位。
201912-202008 中电金信工作，软件开发工程师岗位。
202009-202308 郑州新开普电子工作，软件开发工程师岗位。
202312-2024011 郑州威科姆科技工作，软件开发工程师岗位。
202412-至今 北京极简智能，研发工程师岗位。"</t>
  </si>
  <si>
    <t>="201109-201406郑州电力职业技术学院，机电工程系，模具设计与制造专业就读，全日制大专
21407-201506郑州新华重型机械有限公司，质检员
201507-201512苏州施强医疗器械有限公司，操作工
201601-201607河南仙鹤特种浆纸有限公司，调机工
201608-201805南阳市飞龙汽车零部件有限公司，操作工
201806-201909南阳市仁创再生资源有限公司，操作工
201910-202501内乡县公安局特巡警大队，辅警
202502-至今河南牧原食品内乡二十一场，养殖技工
2013-20241230河南科技大学机械设计制造及其自动化，自学考试本科学历，非全日制"</t>
  </si>
  <si>
    <t>="201009--201207&amp;#160;河南工业大学计算机信息管理专业学习（全日制）；
201208--201505 待业；
201506--201605&amp;#160;郑州市职业介绍中心&amp;#160;社保窗口办事员；
201606--202005&amp;#160;灵活就业者；
202006--202205&amp;#160;甘肃黄河首曲国家级自然保护区管护中心&amp;#160;办公室科员；
202206--202405灵活就业者；
202406--202410&amp;#160;洛阳市童趣小镇亲子主题乐园&amp;#160;职工；
202411--202505&amp;#160;洛阳原辰智能网络科技有限公司&amp;#160;行政兼人事专员；
202506--至今 洛阳市伊川县向阳学校"</t>
  </si>
  <si>
    <t>="201109—2014007  漯河职业技术学院 经管系 市场营销专业就读 是全日制学历
201404—201409  河南龙大牧原肉食品有限公司  职工
201410—201508  在内乡县家里  待业
201509—201808  内乡县企业养老保险管理局  职工
201809—201911  在内乡县家里  待业
201912—202105  灌涨镇人民政府  职工
202106—202303  在内乡县家里  待业
202304—202402  内乡县科工局  职工
202402—至今  内乡县临湍建筑建材有限责任公司  职工"</t>
  </si>
  <si>
    <t>="2009年9月至2013年6月，河北科技大学理工学院，国际经济与贸易专业，学生；
2013年6月至2014年6月，待业；
2014年7月至2016年6月，南京中原房地产营销顾问有限公司，财务管理；
2016年7月至2017年9月，待业；
2017年9月至2018年9月，中石化国际事业南京有限公司，电子商务（劳务派遣用工）;
2018年9月至2018年11月，待业；
2018年11月至2019年9月，国元期货有限公司，开户岗；
2019年9月至2019年10月，待业；
2019年10月至2020年3月，北京首创期货有限责任公司，法律合规稽核；
2020年4月至2020年6月，待业；
2020年6月至2023年5月，山重融资租赁有限公司，业务管理；           
2023年5月至2023年11月，合利科技发展有限公司，体系专员；
2023年11月至2025年7月，待业。            "</t>
  </si>
  <si>
    <t>="201609-201907 河南医学高等专科学校 医学检验技术专业就读 全日制
201909-202107 新乡医学院三全学院 医学检验技术专业就读 全日制
202107-202304 郑州核子华曦医学检验实验室     实验员
202304-202308 郑州市陇海马路社区卫生服务中心 实验员
202309-202404 郑州博奥医学检验所有限公司     实验员
202404-202408 在郑州待业
202408-202412 郑州康桥社区卫生院 实验员
202412-202505 河南省智正生物科技有限公司 实验员
202505-202507 在郑州待业"</t>
  </si>
  <si>
    <t>="201009-201307  在河南医学高等专科学校  护理系   护理专业 就读，是全日制学历。 201306-201706  自学考取郑州大学护理学本科学历。                                                                          201207-201304   在郑州市中心医院实习 。                                               201310-202501  在郑州市 管城区马大夫诊所任职护士。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</si>
</sst>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26"/>
      <color theme="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3" fillId="0" borderId="0">
      <alignment vertical="center"/>
    </xf>
    <xf numFmtId="0" fontId="4" fillId="0" borderId="0">
      <alignment vertical="center"/>
    </xf>
    <xf numFmtId="0" fontId="0" fillId="3" borderId="2">
      <alignment vertical="center"/>
    </xf>
    <xf numFmtId="0" fontId="5" fillId="0" borderId="0">
      <alignment vertical="center"/>
    </xf>
    <xf numFmtId="0" fontId="6" fillId="0" borderId="0">
      <alignment vertical="center"/>
    </xf>
    <xf numFmtId="0" fontId="7" fillId="0" borderId="0">
      <alignment vertical="center"/>
    </xf>
    <xf numFmtId="0" fontId="8" fillId="0" borderId="3">
      <alignment vertical="center"/>
    </xf>
    <xf numFmtId="0" fontId="9" fillId="0" borderId="3">
      <alignment vertical="center"/>
    </xf>
    <xf numFmtId="0" fontId="10" fillId="0" borderId="4">
      <alignment vertical="center"/>
    </xf>
    <xf numFmtId="0" fontId="10" fillId="0" borderId="0">
      <alignment vertical="center"/>
    </xf>
    <xf numFmtId="0" fontId="11" fillId="4" borderId="5">
      <alignment vertical="center"/>
    </xf>
    <xf numFmtId="0" fontId="12" fillId="5" borderId="6">
      <alignment vertical="center"/>
    </xf>
    <xf numFmtId="0" fontId="13" fillId="5" borderId="5">
      <alignment vertical="center"/>
    </xf>
    <xf numFmtId="0" fontId="14" fillId="6" borderId="7">
      <alignment vertical="center"/>
    </xf>
    <xf numFmtId="0" fontId="15" fillId="0" borderId="8">
      <alignment vertical="center"/>
    </xf>
    <xf numFmtId="0" fontId="16" fillId="0" borderId="9">
      <alignment vertical="center"/>
    </xf>
    <xf numFmtId="0" fontId="17" fillId="7" borderId="0">
      <alignment vertical="center"/>
    </xf>
    <xf numFmtId="0" fontId="18" fillId="8" borderId="0">
      <alignment vertical="center"/>
    </xf>
    <xf numFmtId="0" fontId="19" fillId="9" borderId="0">
      <alignment vertical="center"/>
    </xf>
    <xf numFmtId="0" fontId="20" fillId="10" borderId="0">
      <alignment vertical="center"/>
    </xf>
    <xf numFmtId="0" fontId="21" fillId="11" borderId="0">
      <alignment vertical="center"/>
    </xf>
    <xf numFmtId="0" fontId="21" fillId="12" borderId="0">
      <alignment vertical="center"/>
    </xf>
    <xf numFmtId="0" fontId="20" fillId="13" borderId="0">
      <alignment vertical="center"/>
    </xf>
    <xf numFmtId="0" fontId="20" fillId="14" borderId="0">
      <alignment vertical="center"/>
    </xf>
    <xf numFmtId="0" fontId="21" fillId="15" borderId="0">
      <alignment vertical="center"/>
    </xf>
    <xf numFmtId="0" fontId="21" fillId="16" borderId="0">
      <alignment vertical="center"/>
    </xf>
    <xf numFmtId="0" fontId="20" fillId="17" borderId="0">
      <alignment vertical="center"/>
    </xf>
    <xf numFmtId="0" fontId="20" fillId="18" borderId="0">
      <alignment vertical="center"/>
    </xf>
    <xf numFmtId="0" fontId="21" fillId="19" borderId="0">
      <alignment vertical="center"/>
    </xf>
    <xf numFmtId="0" fontId="21" fillId="20" borderId="0">
      <alignment vertical="center"/>
    </xf>
    <xf numFmtId="0" fontId="20" fillId="21" borderId="0">
      <alignment vertical="center"/>
    </xf>
    <xf numFmtId="0" fontId="20" fillId="22" borderId="0">
      <alignment vertical="center"/>
    </xf>
    <xf numFmtId="0" fontId="21" fillId="23" borderId="0">
      <alignment vertical="center"/>
    </xf>
    <xf numFmtId="0" fontId="21" fillId="24" borderId="0">
      <alignment vertical="center"/>
    </xf>
    <xf numFmtId="0" fontId="20" fillId="25" borderId="0">
      <alignment vertical="center"/>
    </xf>
    <xf numFmtId="0" fontId="20" fillId="26" borderId="0">
      <alignment vertical="center"/>
    </xf>
    <xf numFmtId="0" fontId="21" fillId="27" borderId="0">
      <alignment vertical="center"/>
    </xf>
    <xf numFmtId="0" fontId="21" fillId="28" borderId="0">
      <alignment vertical="center"/>
    </xf>
    <xf numFmtId="0" fontId="20" fillId="29" borderId="0">
      <alignment vertical="center"/>
    </xf>
    <xf numFmtId="0" fontId="20" fillId="30" borderId="0">
      <alignment vertical="center"/>
    </xf>
    <xf numFmtId="0" fontId="21" fillId="31" borderId="0">
      <alignment vertical="center"/>
    </xf>
    <xf numFmtId="0" fontId="21" fillId="32" borderId="0">
      <alignment vertical="center"/>
    </xf>
    <xf numFmtId="0" fontId="20" fillId="33" borderId="0">
      <alignment vertical="center"/>
    </xf>
  </cellStyleXfs>
  <cellXfs count="12">
    <xf numFmtId="0" fontId="0" fillId="0" borderId="0" xfId="0" applyAlignment="1">
      <alignment vertical="center"/>
    </xf>
    <xf numFmtId="0" fontId="0" fillId="0" borderId="0" xfId="0">
      <alignment vertical="center"/>
    </xf>
    <xf numFmtId="0" fontId="0" fillId="2" borderId="0" xfId="0" applyFill="1">
      <alignment vertical="center"/>
    </xf>
    <xf numFmtId="0" fontId="0" fillId="0" borderId="0" xfId="0" applyAlignment="1">
      <alignment vertical="center" wrapText="1"/>
    </xf>
    <xf numFmtId="0" fontId="0" fillId="0" borderId="0" xfId="0" applyFill="1" applyAlignment="1">
      <alignment vertical="center"/>
    </xf>
    <xf numFmtId="0" fontId="0" fillId="0" borderId="0" xfId="0" applyFill="1" applyAlignment="1">
      <alignment horizontal="center" vertical="center"/>
    </xf>
    <xf numFmtId="0" fontId="1" fillId="0" borderId="0" xfId="0" applyFont="1" applyFill="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0" fillId="0" borderId="1" xfId="0" applyNumberFormat="1" applyFill="1" applyBorder="1" applyAlignment="1">
      <alignment horizontal="center" vertical="center"/>
    </xf>
    <xf numFmtId="0"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24"/>
  <sheetViews>
    <sheetView tabSelected="1" zoomScale="90" zoomScaleNormal="90" workbookViewId="0">
      <selection activeCell="F125" sqref="F125"/>
    </sheetView>
  </sheetViews>
  <sheetFormatPr defaultColWidth="9" defaultRowHeight="13.5" outlineLevelCol="3"/>
  <cols>
    <col min="1" max="1" width="7" style="5" customWidth="1"/>
    <col min="2" max="2" width="35.625" style="5" customWidth="1"/>
    <col min="3" max="3" width="14.625" style="4" customWidth="1"/>
    <col min="4" max="4" width="9.5" style="4" customWidth="1"/>
    <col min="5" max="16384" width="9" style="4"/>
  </cols>
  <sheetData>
    <row r="1" ht="30" customHeight="1" spans="1:1">
      <c r="A1" s="5" t="s">
        <v>0</v>
      </c>
    </row>
    <row r="2" ht="96" customHeight="1" spans="1:4">
      <c r="A2" s="6" t="s">
        <v>1</v>
      </c>
      <c r="B2" s="6"/>
      <c r="C2" s="6"/>
      <c r="D2" s="6"/>
    </row>
    <row r="3" s="4" customFormat="1" ht="39" customHeight="1" spans="1:4">
      <c r="A3" s="7" t="s">
        <v>2</v>
      </c>
      <c r="B3" s="7" t="s">
        <v>3</v>
      </c>
      <c r="C3" s="8" t="s">
        <v>4</v>
      </c>
      <c r="D3" s="8" t="s">
        <v>5</v>
      </c>
    </row>
    <row r="4" s="4" customFormat="1" ht="23" customHeight="1" spans="1:4">
      <c r="A4" s="7">
        <v>1</v>
      </c>
      <c r="B4" s="7" t="s">
        <v>6</v>
      </c>
      <c r="C4" s="9">
        <v>24001001011</v>
      </c>
      <c r="D4" s="7" t="s">
        <v>7</v>
      </c>
    </row>
    <row r="5" s="4" customFormat="1" ht="23" customHeight="1" spans="1:4">
      <c r="A5" s="7">
        <v>2</v>
      </c>
      <c r="B5" s="7" t="s">
        <v>8</v>
      </c>
      <c r="C5" s="9">
        <v>24002001011</v>
      </c>
      <c r="D5" s="7" t="s">
        <v>9</v>
      </c>
    </row>
    <row r="6" s="4" customFormat="1" ht="23" customHeight="1" spans="1:4">
      <c r="A6" s="7">
        <v>3</v>
      </c>
      <c r="B6" s="7" t="s">
        <v>8</v>
      </c>
      <c r="C6" s="9">
        <v>24002001021</v>
      </c>
      <c r="D6" s="7" t="s">
        <v>10</v>
      </c>
    </row>
    <row r="7" s="4" customFormat="1" ht="23" customHeight="1" spans="1:4">
      <c r="A7" s="7">
        <v>4</v>
      </c>
      <c r="B7" s="7" t="s">
        <v>11</v>
      </c>
      <c r="C7" s="9">
        <v>24003001011</v>
      </c>
      <c r="D7" s="7" t="s">
        <v>12</v>
      </c>
    </row>
    <row r="8" s="4" customFormat="1" ht="23" customHeight="1" spans="1:4">
      <c r="A8" s="7">
        <v>5</v>
      </c>
      <c r="B8" s="7" t="s">
        <v>13</v>
      </c>
      <c r="C8" s="9">
        <v>24004001021</v>
      </c>
      <c r="D8" s="7" t="s">
        <v>14</v>
      </c>
    </row>
    <row r="9" s="4" customFormat="1" ht="23" customHeight="1" spans="1:4">
      <c r="A9" s="7">
        <v>6</v>
      </c>
      <c r="B9" s="7" t="s">
        <v>15</v>
      </c>
      <c r="C9" s="9">
        <v>24005001011</v>
      </c>
      <c r="D9" s="7" t="s">
        <v>16</v>
      </c>
    </row>
    <row r="10" s="4" customFormat="1" ht="23" customHeight="1" spans="1:4">
      <c r="A10" s="7">
        <v>7</v>
      </c>
      <c r="B10" s="7" t="s">
        <v>15</v>
      </c>
      <c r="C10" s="9">
        <v>24005001011</v>
      </c>
      <c r="D10" s="7" t="s">
        <v>17</v>
      </c>
    </row>
    <row r="11" s="4" customFormat="1" ht="23" customHeight="1" spans="1:4">
      <c r="A11" s="7">
        <v>8</v>
      </c>
      <c r="B11" s="7" t="s">
        <v>18</v>
      </c>
      <c r="C11" s="9">
        <v>24006001011</v>
      </c>
      <c r="D11" s="7" t="s">
        <v>19</v>
      </c>
    </row>
    <row r="12" s="4" customFormat="1" ht="23" customHeight="1" spans="1:4">
      <c r="A12" s="7">
        <v>9</v>
      </c>
      <c r="B12" s="7" t="s">
        <v>20</v>
      </c>
      <c r="C12" s="9">
        <v>24007001011</v>
      </c>
      <c r="D12" s="7" t="s">
        <v>21</v>
      </c>
    </row>
    <row r="13" s="4" customFormat="1" ht="23" customHeight="1" spans="1:4">
      <c r="A13" s="7">
        <v>10</v>
      </c>
      <c r="B13" s="7" t="s">
        <v>22</v>
      </c>
      <c r="C13" s="9">
        <v>24007001031</v>
      </c>
      <c r="D13" s="7" t="s">
        <v>23</v>
      </c>
    </row>
    <row r="14" s="4" customFormat="1" ht="23" customHeight="1" spans="1:4">
      <c r="A14" s="7">
        <v>11</v>
      </c>
      <c r="B14" s="7" t="s">
        <v>24</v>
      </c>
      <c r="C14" s="9">
        <v>24008001021</v>
      </c>
      <c r="D14" s="7" t="s">
        <v>25</v>
      </c>
    </row>
    <row r="15" s="4" customFormat="1" ht="23" customHeight="1" spans="1:4">
      <c r="A15" s="7">
        <v>12</v>
      </c>
      <c r="B15" s="7" t="s">
        <v>24</v>
      </c>
      <c r="C15" s="9">
        <v>24008001031</v>
      </c>
      <c r="D15" s="7" t="s">
        <v>26</v>
      </c>
    </row>
    <row r="16" s="4" customFormat="1" ht="23" customHeight="1" spans="1:4">
      <c r="A16" s="7">
        <v>13</v>
      </c>
      <c r="B16" s="7" t="s">
        <v>27</v>
      </c>
      <c r="C16" s="9">
        <v>24008002011</v>
      </c>
      <c r="D16" s="7" t="s">
        <v>28</v>
      </c>
    </row>
    <row r="17" s="4" customFormat="1" ht="23" customHeight="1" spans="1:4">
      <c r="A17" s="7">
        <v>14</v>
      </c>
      <c r="B17" s="7" t="s">
        <v>27</v>
      </c>
      <c r="C17" s="9">
        <v>24008002021</v>
      </c>
      <c r="D17" s="7" t="s">
        <v>29</v>
      </c>
    </row>
    <row r="18" s="4" customFormat="1" ht="23" customHeight="1" spans="1:4">
      <c r="A18" s="7">
        <v>15</v>
      </c>
      <c r="B18" s="7" t="s">
        <v>30</v>
      </c>
      <c r="C18" s="9">
        <v>24008003021</v>
      </c>
      <c r="D18" s="7" t="s">
        <v>31</v>
      </c>
    </row>
    <row r="19" s="4" customFormat="1" ht="23" customHeight="1" spans="1:4">
      <c r="A19" s="7">
        <v>16</v>
      </c>
      <c r="B19" s="7" t="s">
        <v>30</v>
      </c>
      <c r="C19" s="9">
        <v>24008003031</v>
      </c>
      <c r="D19" s="7" t="s">
        <v>32</v>
      </c>
    </row>
    <row r="20" s="4" customFormat="1" ht="23" customHeight="1" spans="1:4">
      <c r="A20" s="7">
        <v>17</v>
      </c>
      <c r="B20" s="7" t="s">
        <v>33</v>
      </c>
      <c r="C20" s="9">
        <v>24009001011</v>
      </c>
      <c r="D20" s="7" t="s">
        <v>34</v>
      </c>
    </row>
    <row r="21" s="4" customFormat="1" ht="23" customHeight="1" spans="1:4">
      <c r="A21" s="7">
        <v>18</v>
      </c>
      <c r="B21" s="7" t="s">
        <v>35</v>
      </c>
      <c r="C21" s="9">
        <v>24010001011</v>
      </c>
      <c r="D21" s="7" t="s">
        <v>36</v>
      </c>
    </row>
    <row r="22" s="4" customFormat="1" ht="23" customHeight="1" spans="1:4">
      <c r="A22" s="7">
        <v>19</v>
      </c>
      <c r="B22" s="7" t="s">
        <v>37</v>
      </c>
      <c r="C22" s="9">
        <v>24012001011</v>
      </c>
      <c r="D22" s="7" t="s">
        <v>38</v>
      </c>
    </row>
    <row r="23" s="4" customFormat="1" ht="23" customHeight="1" spans="1:4">
      <c r="A23" s="7">
        <v>20</v>
      </c>
      <c r="B23" s="7" t="s">
        <v>39</v>
      </c>
      <c r="C23" s="9">
        <v>24013001011</v>
      </c>
      <c r="D23" s="7" t="s">
        <v>40</v>
      </c>
    </row>
    <row r="24" s="4" customFormat="1" ht="23" customHeight="1" spans="1:4">
      <c r="A24" s="7">
        <v>21</v>
      </c>
      <c r="B24" s="7" t="s">
        <v>41</v>
      </c>
      <c r="C24" s="9">
        <v>24013002011</v>
      </c>
      <c r="D24" s="7" t="s">
        <v>42</v>
      </c>
    </row>
    <row r="25" s="4" customFormat="1" ht="23" customHeight="1" spans="1:4">
      <c r="A25" s="7">
        <v>22</v>
      </c>
      <c r="B25" s="7" t="s">
        <v>43</v>
      </c>
      <c r="C25" s="9">
        <v>24013003011</v>
      </c>
      <c r="D25" s="7" t="s">
        <v>44</v>
      </c>
    </row>
    <row r="26" s="4" customFormat="1" ht="23" customHeight="1" spans="1:4">
      <c r="A26" s="7">
        <v>23</v>
      </c>
      <c r="B26" s="7" t="s">
        <v>45</v>
      </c>
      <c r="C26" s="9">
        <v>24014001011</v>
      </c>
      <c r="D26" s="7" t="s">
        <v>46</v>
      </c>
    </row>
    <row r="27" s="4" customFormat="1" ht="23" customHeight="1" spans="1:4">
      <c r="A27" s="7">
        <v>24</v>
      </c>
      <c r="B27" s="7" t="s">
        <v>45</v>
      </c>
      <c r="C27" s="9">
        <v>24014001011</v>
      </c>
      <c r="D27" s="7" t="s">
        <v>47</v>
      </c>
    </row>
    <row r="28" s="4" customFormat="1" ht="23" customHeight="1" spans="1:4">
      <c r="A28" s="7">
        <v>25</v>
      </c>
      <c r="B28" s="7" t="s">
        <v>48</v>
      </c>
      <c r="C28" s="9">
        <v>24015001011</v>
      </c>
      <c r="D28" s="7" t="s">
        <v>49</v>
      </c>
    </row>
    <row r="29" s="4" customFormat="1" ht="23" customHeight="1" spans="1:4">
      <c r="A29" s="7">
        <v>26</v>
      </c>
      <c r="B29" s="7" t="s">
        <v>48</v>
      </c>
      <c r="C29" s="9">
        <v>24015001021</v>
      </c>
      <c r="D29" s="7" t="s">
        <v>50</v>
      </c>
    </row>
    <row r="30" s="4" customFormat="1" ht="23" customHeight="1" spans="1:4">
      <c r="A30" s="7">
        <v>27</v>
      </c>
      <c r="B30" s="7" t="s">
        <v>51</v>
      </c>
      <c r="C30" s="9">
        <v>24016001011</v>
      </c>
      <c r="D30" s="7" t="s">
        <v>52</v>
      </c>
    </row>
    <row r="31" s="4" customFormat="1" ht="23" customHeight="1" spans="1:4">
      <c r="A31" s="7">
        <v>28</v>
      </c>
      <c r="B31" s="7" t="s">
        <v>53</v>
      </c>
      <c r="C31" s="9">
        <v>24017001011</v>
      </c>
      <c r="D31" s="7" t="s">
        <v>54</v>
      </c>
    </row>
    <row r="32" s="4" customFormat="1" ht="23" customHeight="1" spans="1:4">
      <c r="A32" s="7">
        <v>29</v>
      </c>
      <c r="B32" s="7" t="s">
        <v>55</v>
      </c>
      <c r="C32" s="9">
        <v>24018001011</v>
      </c>
      <c r="D32" s="7" t="s">
        <v>56</v>
      </c>
    </row>
    <row r="33" s="4" customFormat="1" ht="23" customHeight="1" spans="1:4">
      <c r="A33" s="7">
        <v>30</v>
      </c>
      <c r="B33" s="7" t="s">
        <v>57</v>
      </c>
      <c r="C33" s="9">
        <v>24018002011</v>
      </c>
      <c r="D33" s="7" t="s">
        <v>58</v>
      </c>
    </row>
    <row r="34" s="4" customFormat="1" ht="23" customHeight="1" spans="1:4">
      <c r="A34" s="7">
        <v>31</v>
      </c>
      <c r="B34" s="7" t="s">
        <v>59</v>
      </c>
      <c r="C34" s="7">
        <v>24018003011</v>
      </c>
      <c r="D34" s="7" t="s">
        <v>60</v>
      </c>
    </row>
    <row r="35" s="4" customFormat="1" ht="23" customHeight="1" spans="1:4">
      <c r="A35" s="7">
        <v>32</v>
      </c>
      <c r="B35" s="7" t="s">
        <v>59</v>
      </c>
      <c r="C35" s="9">
        <v>24018003011</v>
      </c>
      <c r="D35" s="7" t="s">
        <v>61</v>
      </c>
    </row>
    <row r="36" s="4" customFormat="1" ht="23" customHeight="1" spans="1:4">
      <c r="A36" s="7">
        <v>33</v>
      </c>
      <c r="B36" s="7" t="s">
        <v>59</v>
      </c>
      <c r="C36" s="9">
        <v>24018004011</v>
      </c>
      <c r="D36" s="7" t="s">
        <v>62</v>
      </c>
    </row>
    <row r="37" s="4" customFormat="1" ht="23" customHeight="1" spans="1:4">
      <c r="A37" s="7">
        <v>34</v>
      </c>
      <c r="B37" s="7" t="s">
        <v>63</v>
      </c>
      <c r="C37" s="9">
        <v>24019001011</v>
      </c>
      <c r="D37" s="7" t="s">
        <v>64</v>
      </c>
    </row>
    <row r="38" s="4" customFormat="1" ht="23" customHeight="1" spans="1:4">
      <c r="A38" s="7">
        <v>35</v>
      </c>
      <c r="B38" s="7" t="s">
        <v>63</v>
      </c>
      <c r="C38" s="9">
        <v>24019001021</v>
      </c>
      <c r="D38" s="7" t="s">
        <v>65</v>
      </c>
    </row>
    <row r="39" s="4" customFormat="1" ht="23" customHeight="1" spans="1:4">
      <c r="A39" s="7">
        <v>36</v>
      </c>
      <c r="B39" s="7" t="s">
        <v>63</v>
      </c>
      <c r="C39" s="9">
        <v>24019001031</v>
      </c>
      <c r="D39" s="7" t="s">
        <v>66</v>
      </c>
    </row>
    <row r="40" s="4" customFormat="1" ht="23" customHeight="1" spans="1:4">
      <c r="A40" s="7">
        <v>37</v>
      </c>
      <c r="B40" s="7" t="s">
        <v>63</v>
      </c>
      <c r="C40" s="9">
        <v>24019001031</v>
      </c>
      <c r="D40" s="7" t="s">
        <v>67</v>
      </c>
    </row>
    <row r="41" s="4" customFormat="1" ht="23" customHeight="1" spans="1:4">
      <c r="A41" s="7">
        <v>38</v>
      </c>
      <c r="B41" s="7" t="s">
        <v>63</v>
      </c>
      <c r="C41" s="9">
        <v>24019001041</v>
      </c>
      <c r="D41" s="7" t="s">
        <v>68</v>
      </c>
    </row>
    <row r="42" s="4" customFormat="1" ht="23" customHeight="1" spans="1:4">
      <c r="A42" s="7">
        <v>39</v>
      </c>
      <c r="B42" s="7" t="s">
        <v>63</v>
      </c>
      <c r="C42" s="9">
        <v>24019001041</v>
      </c>
      <c r="D42" s="7" t="s">
        <v>69</v>
      </c>
    </row>
    <row r="43" s="4" customFormat="1" ht="23" customHeight="1" spans="1:4">
      <c r="A43" s="7">
        <v>40</v>
      </c>
      <c r="B43" s="7" t="s">
        <v>63</v>
      </c>
      <c r="C43" s="9">
        <v>24019001051</v>
      </c>
      <c r="D43" s="7" t="s">
        <v>70</v>
      </c>
    </row>
    <row r="44" s="4" customFormat="1" ht="23" customHeight="1" spans="1:4">
      <c r="A44" s="7">
        <v>41</v>
      </c>
      <c r="B44" s="7" t="s">
        <v>63</v>
      </c>
      <c r="C44" s="7">
        <v>24019001061</v>
      </c>
      <c r="D44" s="7" t="s">
        <v>71</v>
      </c>
    </row>
    <row r="45" s="4" customFormat="1" ht="23" customHeight="1" spans="1:4">
      <c r="A45" s="7">
        <v>42</v>
      </c>
      <c r="B45" s="7" t="s">
        <v>63</v>
      </c>
      <c r="C45" s="9">
        <v>24019001061</v>
      </c>
      <c r="D45" s="7" t="s">
        <v>72</v>
      </c>
    </row>
    <row r="46" s="4" customFormat="1" ht="23" customHeight="1" spans="1:4">
      <c r="A46" s="7">
        <v>43</v>
      </c>
      <c r="B46" s="7" t="s">
        <v>73</v>
      </c>
      <c r="C46" s="9">
        <v>24020001011</v>
      </c>
      <c r="D46" s="7" t="s">
        <v>74</v>
      </c>
    </row>
    <row r="47" s="4" customFormat="1" ht="23" customHeight="1" spans="1:4">
      <c r="A47" s="7">
        <v>44</v>
      </c>
      <c r="B47" s="7" t="s">
        <v>73</v>
      </c>
      <c r="C47" s="9">
        <v>24020001021</v>
      </c>
      <c r="D47" s="7" t="s">
        <v>75</v>
      </c>
    </row>
    <row r="48" s="4" customFormat="1" ht="23" customHeight="1" spans="1:4">
      <c r="A48" s="7">
        <v>45</v>
      </c>
      <c r="B48" s="7" t="s">
        <v>76</v>
      </c>
      <c r="C48" s="9">
        <v>24020002011</v>
      </c>
      <c r="D48" s="7" t="s">
        <v>77</v>
      </c>
    </row>
    <row r="49" s="4" customFormat="1" ht="23" customHeight="1" spans="1:4">
      <c r="A49" s="7">
        <v>46</v>
      </c>
      <c r="B49" s="7" t="s">
        <v>78</v>
      </c>
      <c r="C49" s="9">
        <v>24020003011</v>
      </c>
      <c r="D49" s="7" t="s">
        <v>79</v>
      </c>
    </row>
    <row r="50" s="4" customFormat="1" ht="23" customHeight="1" spans="1:4">
      <c r="A50" s="7">
        <v>47</v>
      </c>
      <c r="B50" s="7" t="s">
        <v>80</v>
      </c>
      <c r="C50" s="9">
        <v>24021001011</v>
      </c>
      <c r="D50" s="7" t="s">
        <v>81</v>
      </c>
    </row>
    <row r="51" s="4" customFormat="1" ht="23" customHeight="1" spans="1:4">
      <c r="A51" s="7">
        <v>48</v>
      </c>
      <c r="B51" s="7" t="s">
        <v>82</v>
      </c>
      <c r="C51" s="9">
        <v>24023001011</v>
      </c>
      <c r="D51" s="7" t="s">
        <v>83</v>
      </c>
    </row>
    <row r="52" s="4" customFormat="1" ht="23" customHeight="1" spans="1:4">
      <c r="A52" s="7">
        <v>49</v>
      </c>
      <c r="B52" s="7" t="s">
        <v>84</v>
      </c>
      <c r="C52" s="9">
        <v>24024001011</v>
      </c>
      <c r="D52" s="7" t="s">
        <v>85</v>
      </c>
    </row>
    <row r="53" s="4" customFormat="1" ht="23" customHeight="1" spans="1:4">
      <c r="A53" s="7">
        <v>50</v>
      </c>
      <c r="B53" s="7" t="s">
        <v>84</v>
      </c>
      <c r="C53" s="9">
        <v>24024001011</v>
      </c>
      <c r="D53" s="7" t="s">
        <v>86</v>
      </c>
    </row>
    <row r="54" s="4" customFormat="1" ht="23" customHeight="1" spans="1:4">
      <c r="A54" s="7">
        <v>51</v>
      </c>
      <c r="B54" s="7" t="s">
        <v>84</v>
      </c>
      <c r="C54" s="9">
        <v>24024001021</v>
      </c>
      <c r="D54" s="7" t="s">
        <v>87</v>
      </c>
    </row>
    <row r="55" s="4" customFormat="1" ht="23" customHeight="1" spans="1:4">
      <c r="A55" s="7">
        <v>52</v>
      </c>
      <c r="B55" s="7" t="s">
        <v>84</v>
      </c>
      <c r="C55" s="7">
        <v>24024001021</v>
      </c>
      <c r="D55" s="7" t="s">
        <v>88</v>
      </c>
    </row>
    <row r="56" s="4" customFormat="1" ht="23" customHeight="1" spans="1:4">
      <c r="A56" s="7">
        <v>53</v>
      </c>
      <c r="B56" s="7" t="s">
        <v>84</v>
      </c>
      <c r="C56" s="9">
        <v>24024001031</v>
      </c>
      <c r="D56" s="7" t="s">
        <v>89</v>
      </c>
    </row>
    <row r="57" s="4" customFormat="1" ht="23" customHeight="1" spans="1:4">
      <c r="A57" s="7">
        <v>54</v>
      </c>
      <c r="B57" s="7" t="s">
        <v>90</v>
      </c>
      <c r="C57" s="9">
        <v>24025001011</v>
      </c>
      <c r="D57" s="7" t="s">
        <v>91</v>
      </c>
    </row>
    <row r="58" s="4" customFormat="1" ht="23" customHeight="1" spans="1:4">
      <c r="A58" s="7">
        <v>55</v>
      </c>
      <c r="B58" s="7" t="s">
        <v>90</v>
      </c>
      <c r="C58" s="7">
        <v>24025001011</v>
      </c>
      <c r="D58" s="7" t="s">
        <v>92</v>
      </c>
    </row>
    <row r="59" s="4" customFormat="1" ht="23" customHeight="1" spans="1:4">
      <c r="A59" s="7">
        <v>56</v>
      </c>
      <c r="B59" s="7" t="s">
        <v>90</v>
      </c>
      <c r="C59" s="9">
        <v>24025001021</v>
      </c>
      <c r="D59" s="7" t="s">
        <v>93</v>
      </c>
    </row>
    <row r="60" s="4" customFormat="1" ht="23" customHeight="1" spans="1:4">
      <c r="A60" s="7">
        <v>57</v>
      </c>
      <c r="B60" s="7" t="s">
        <v>94</v>
      </c>
      <c r="C60" s="9">
        <v>24026001011</v>
      </c>
      <c r="D60" s="7" t="s">
        <v>95</v>
      </c>
    </row>
    <row r="61" s="4" customFormat="1" ht="23" customHeight="1" spans="1:4">
      <c r="A61" s="7">
        <v>58</v>
      </c>
      <c r="B61" s="7" t="s">
        <v>94</v>
      </c>
      <c r="C61" s="9">
        <v>24026001021</v>
      </c>
      <c r="D61" s="7" t="s">
        <v>96</v>
      </c>
    </row>
    <row r="62" s="4" customFormat="1" ht="23" customHeight="1" spans="1:4">
      <c r="A62" s="7">
        <v>59</v>
      </c>
      <c r="B62" s="7" t="s">
        <v>97</v>
      </c>
      <c r="C62" s="9">
        <v>24027001011</v>
      </c>
      <c r="D62" s="7" t="s">
        <v>98</v>
      </c>
    </row>
    <row r="63" s="4" customFormat="1" ht="23" customHeight="1" spans="1:4">
      <c r="A63" s="7">
        <v>60</v>
      </c>
      <c r="B63" s="7" t="s">
        <v>97</v>
      </c>
      <c r="C63" s="9">
        <v>24027001021</v>
      </c>
      <c r="D63" s="7" t="s">
        <v>99</v>
      </c>
    </row>
    <row r="64" s="4" customFormat="1" ht="23" customHeight="1" spans="1:4">
      <c r="A64" s="7">
        <v>61</v>
      </c>
      <c r="B64" s="7" t="s">
        <v>97</v>
      </c>
      <c r="C64" s="9">
        <v>24027001031</v>
      </c>
      <c r="D64" s="7" t="s">
        <v>100</v>
      </c>
    </row>
    <row r="65" s="4" customFormat="1" ht="23" customHeight="1" spans="1:4">
      <c r="A65" s="7">
        <v>62</v>
      </c>
      <c r="B65" s="7" t="s">
        <v>97</v>
      </c>
      <c r="C65" s="9">
        <v>24027001041</v>
      </c>
      <c r="D65" s="7" t="s">
        <v>101</v>
      </c>
    </row>
    <row r="66" s="4" customFormat="1" ht="23" customHeight="1" spans="1:4">
      <c r="A66" s="7">
        <v>63</v>
      </c>
      <c r="B66" s="7" t="s">
        <v>97</v>
      </c>
      <c r="C66" s="9">
        <v>24027001051</v>
      </c>
      <c r="D66" s="7" t="s">
        <v>102</v>
      </c>
    </row>
    <row r="67" s="4" customFormat="1" ht="23" customHeight="1" spans="1:4">
      <c r="A67" s="7">
        <v>64</v>
      </c>
      <c r="B67" s="7" t="s">
        <v>97</v>
      </c>
      <c r="C67" s="9">
        <v>24027001061</v>
      </c>
      <c r="D67" s="7" t="s">
        <v>103</v>
      </c>
    </row>
    <row r="68" s="4" customFormat="1" ht="23" customHeight="1" spans="1:4">
      <c r="A68" s="7">
        <v>65</v>
      </c>
      <c r="B68" s="7" t="s">
        <v>97</v>
      </c>
      <c r="C68" s="9">
        <v>24027001081</v>
      </c>
      <c r="D68" s="7" t="s">
        <v>104</v>
      </c>
    </row>
    <row r="69" s="4" customFormat="1" ht="23" customHeight="1" spans="1:4">
      <c r="A69" s="7">
        <v>66</v>
      </c>
      <c r="B69" s="7" t="s">
        <v>105</v>
      </c>
      <c r="C69" s="9">
        <v>24028001011</v>
      </c>
      <c r="D69" s="7" t="s">
        <v>106</v>
      </c>
    </row>
    <row r="70" s="4" customFormat="1" ht="23" customHeight="1" spans="1:4">
      <c r="A70" s="7">
        <v>67</v>
      </c>
      <c r="B70" s="7" t="s">
        <v>107</v>
      </c>
      <c r="C70" s="9">
        <v>24028001021</v>
      </c>
      <c r="D70" s="7" t="s">
        <v>108</v>
      </c>
    </row>
    <row r="71" s="4" customFormat="1" ht="23" customHeight="1" spans="1:4">
      <c r="A71" s="7">
        <v>68</v>
      </c>
      <c r="B71" s="7" t="s">
        <v>109</v>
      </c>
      <c r="C71" s="9">
        <v>24029001011</v>
      </c>
      <c r="D71" s="7" t="s">
        <v>110</v>
      </c>
    </row>
    <row r="72" s="4" customFormat="1" ht="23" customHeight="1" spans="1:4">
      <c r="A72" s="7">
        <v>69</v>
      </c>
      <c r="B72" s="7" t="s">
        <v>111</v>
      </c>
      <c r="C72" s="9">
        <v>24030001011</v>
      </c>
      <c r="D72" s="7" t="s">
        <v>112</v>
      </c>
    </row>
    <row r="73" s="4" customFormat="1" ht="23" customHeight="1" spans="1:4">
      <c r="A73" s="7">
        <v>70</v>
      </c>
      <c r="B73" s="7" t="s">
        <v>111</v>
      </c>
      <c r="C73" s="9">
        <v>24030001021</v>
      </c>
      <c r="D73" s="7" t="s">
        <v>113</v>
      </c>
    </row>
    <row r="74" s="4" customFormat="1" ht="23" customHeight="1" spans="1:4">
      <c r="A74" s="7">
        <v>71</v>
      </c>
      <c r="B74" s="7" t="s">
        <v>114</v>
      </c>
      <c r="C74" s="9">
        <v>24031001011</v>
      </c>
      <c r="D74" s="7" t="s">
        <v>115</v>
      </c>
    </row>
    <row r="75" s="4" customFormat="1" ht="23" customHeight="1" spans="1:4">
      <c r="A75" s="7">
        <v>72</v>
      </c>
      <c r="B75" s="7" t="s">
        <v>116</v>
      </c>
      <c r="C75" s="9">
        <v>24032001011</v>
      </c>
      <c r="D75" s="7" t="s">
        <v>117</v>
      </c>
    </row>
    <row r="76" s="4" customFormat="1" ht="23" customHeight="1" spans="1:4">
      <c r="A76" s="7">
        <v>73</v>
      </c>
      <c r="B76" s="7" t="s">
        <v>118</v>
      </c>
      <c r="C76" s="9">
        <v>24032002011</v>
      </c>
      <c r="D76" s="7" t="s">
        <v>119</v>
      </c>
    </row>
    <row r="77" s="4" customFormat="1" ht="23" customHeight="1" spans="1:4">
      <c r="A77" s="7">
        <v>74</v>
      </c>
      <c r="B77" s="7" t="s">
        <v>120</v>
      </c>
      <c r="C77" s="9">
        <v>24033002011</v>
      </c>
      <c r="D77" s="7" t="s">
        <v>121</v>
      </c>
    </row>
    <row r="78" s="4" customFormat="1" ht="23" customHeight="1" spans="1:4">
      <c r="A78" s="7">
        <v>75</v>
      </c>
      <c r="B78" s="7" t="s">
        <v>122</v>
      </c>
      <c r="C78" s="9">
        <v>24034001011</v>
      </c>
      <c r="D78" s="7" t="s">
        <v>123</v>
      </c>
    </row>
    <row r="79" s="4" customFormat="1" ht="23" customHeight="1" spans="1:4">
      <c r="A79" s="7">
        <v>76</v>
      </c>
      <c r="B79" s="7" t="s">
        <v>122</v>
      </c>
      <c r="C79" s="9">
        <v>24034001021</v>
      </c>
      <c r="D79" s="7" t="s">
        <v>124</v>
      </c>
    </row>
    <row r="80" s="4" customFormat="1" ht="23" customHeight="1" spans="1:4">
      <c r="A80" s="7">
        <v>77</v>
      </c>
      <c r="B80" s="7" t="s">
        <v>125</v>
      </c>
      <c r="C80" s="9">
        <v>24034001031</v>
      </c>
      <c r="D80" s="7" t="s">
        <v>126</v>
      </c>
    </row>
    <row r="81" s="4" customFormat="1" ht="23" customHeight="1" spans="1:4">
      <c r="A81" s="7">
        <v>78</v>
      </c>
      <c r="B81" s="7" t="s">
        <v>127</v>
      </c>
      <c r="C81" s="9">
        <v>24035001011</v>
      </c>
      <c r="D81" s="7" t="s">
        <v>128</v>
      </c>
    </row>
    <row r="82" s="4" customFormat="1" ht="23" customHeight="1" spans="1:4">
      <c r="A82" s="7">
        <v>79</v>
      </c>
      <c r="B82" s="7" t="s">
        <v>129</v>
      </c>
      <c r="C82" s="9">
        <v>24036001011</v>
      </c>
      <c r="D82" s="7" t="s">
        <v>130</v>
      </c>
    </row>
    <row r="83" s="4" customFormat="1" ht="23" customHeight="1" spans="1:4">
      <c r="A83" s="7">
        <v>80</v>
      </c>
      <c r="B83" s="7" t="s">
        <v>131</v>
      </c>
      <c r="C83" s="9">
        <v>24036002011</v>
      </c>
      <c r="D83" s="7" t="s">
        <v>132</v>
      </c>
    </row>
    <row r="84" s="4" customFormat="1" ht="23" customHeight="1" spans="1:4">
      <c r="A84" s="7">
        <v>81</v>
      </c>
      <c r="B84" s="7" t="s">
        <v>133</v>
      </c>
      <c r="C84" s="9">
        <v>24036003011</v>
      </c>
      <c r="D84" s="7" t="s">
        <v>134</v>
      </c>
    </row>
    <row r="85" s="4" customFormat="1" ht="23" customHeight="1" spans="1:4">
      <c r="A85" s="7">
        <v>82</v>
      </c>
      <c r="B85" s="7" t="s">
        <v>133</v>
      </c>
      <c r="C85" s="9">
        <v>24036003021</v>
      </c>
      <c r="D85" s="7" t="s">
        <v>135</v>
      </c>
    </row>
    <row r="86" s="4" customFormat="1" ht="23" customHeight="1" spans="1:4">
      <c r="A86" s="7">
        <v>83</v>
      </c>
      <c r="B86" s="7" t="s">
        <v>136</v>
      </c>
      <c r="C86" s="9">
        <v>24036004011</v>
      </c>
      <c r="D86" s="7" t="s">
        <v>137</v>
      </c>
    </row>
    <row r="87" s="4" customFormat="1" ht="23" customHeight="1" spans="1:4">
      <c r="A87" s="7">
        <v>84</v>
      </c>
      <c r="B87" s="7" t="s">
        <v>138</v>
      </c>
      <c r="C87" s="7">
        <v>24037001011</v>
      </c>
      <c r="D87" s="7" t="s">
        <v>139</v>
      </c>
    </row>
    <row r="88" s="4" customFormat="1" ht="23" customHeight="1" spans="1:4">
      <c r="A88" s="7">
        <v>85</v>
      </c>
      <c r="B88" s="7" t="s">
        <v>138</v>
      </c>
      <c r="C88" s="9">
        <v>24037001021</v>
      </c>
      <c r="D88" s="7" t="s">
        <v>140</v>
      </c>
    </row>
    <row r="89" s="4" customFormat="1" ht="23" customHeight="1" spans="1:4">
      <c r="A89" s="7">
        <v>86</v>
      </c>
      <c r="B89" s="7" t="s">
        <v>141</v>
      </c>
      <c r="C89" s="9">
        <v>24038001011</v>
      </c>
      <c r="D89" s="7" t="s">
        <v>142</v>
      </c>
    </row>
    <row r="90" s="4" customFormat="1" ht="23" customHeight="1" spans="1:4">
      <c r="A90" s="7">
        <v>87</v>
      </c>
      <c r="B90" s="7" t="s">
        <v>143</v>
      </c>
      <c r="C90" s="9">
        <v>24038002011</v>
      </c>
      <c r="D90" s="7" t="s">
        <v>144</v>
      </c>
    </row>
    <row r="91" s="4" customFormat="1" ht="23" customHeight="1" spans="1:4">
      <c r="A91" s="7">
        <v>88</v>
      </c>
      <c r="B91" s="7" t="s">
        <v>145</v>
      </c>
      <c r="C91" s="9">
        <v>24039001011</v>
      </c>
      <c r="D91" s="7" t="s">
        <v>146</v>
      </c>
    </row>
    <row r="92" s="4" customFormat="1" ht="23" customHeight="1" spans="1:4">
      <c r="A92" s="7">
        <v>89</v>
      </c>
      <c r="B92" s="7" t="s">
        <v>147</v>
      </c>
      <c r="C92" s="9">
        <v>24039002011</v>
      </c>
      <c r="D92" s="7" t="s">
        <v>148</v>
      </c>
    </row>
    <row r="93" s="4" customFormat="1" ht="23" customHeight="1" spans="1:4">
      <c r="A93" s="7">
        <v>90</v>
      </c>
      <c r="B93" s="7" t="s">
        <v>149</v>
      </c>
      <c r="C93" s="9">
        <v>24039003011</v>
      </c>
      <c r="D93" s="7" t="s">
        <v>150</v>
      </c>
    </row>
    <row r="94" s="4" customFormat="1" ht="23" customHeight="1" spans="1:4">
      <c r="A94" s="7">
        <v>91</v>
      </c>
      <c r="B94" s="7" t="s">
        <v>149</v>
      </c>
      <c r="C94" s="9">
        <v>24039003021</v>
      </c>
      <c r="D94" s="7" t="s">
        <v>151</v>
      </c>
    </row>
    <row r="95" s="4" customFormat="1" ht="23" customHeight="1" spans="1:4">
      <c r="A95" s="7">
        <v>92</v>
      </c>
      <c r="B95" s="7" t="s">
        <v>152</v>
      </c>
      <c r="C95" s="9">
        <v>24039004011</v>
      </c>
      <c r="D95" s="7" t="s">
        <v>153</v>
      </c>
    </row>
    <row r="96" s="4" customFormat="1" ht="23" customHeight="1" spans="1:4">
      <c r="A96" s="7">
        <v>93</v>
      </c>
      <c r="B96" s="7" t="s">
        <v>154</v>
      </c>
      <c r="C96" s="9">
        <v>24040001013</v>
      </c>
      <c r="D96" s="7" t="s">
        <v>155</v>
      </c>
    </row>
    <row r="97" s="4" customFormat="1" ht="23" customHeight="1" spans="1:4">
      <c r="A97" s="7">
        <v>94</v>
      </c>
      <c r="B97" s="7" t="s">
        <v>154</v>
      </c>
      <c r="C97" s="9">
        <v>24040001023</v>
      </c>
      <c r="D97" s="7" t="s">
        <v>156</v>
      </c>
    </row>
    <row r="98" s="4" customFormat="1" ht="23" customHeight="1" spans="1:4">
      <c r="A98" s="7">
        <v>95</v>
      </c>
      <c r="B98" s="7" t="s">
        <v>154</v>
      </c>
      <c r="C98" s="7">
        <v>24040001033</v>
      </c>
      <c r="D98" s="7" t="s">
        <v>157</v>
      </c>
    </row>
    <row r="99" s="4" customFormat="1" ht="23" customHeight="1" spans="1:4">
      <c r="A99" s="7">
        <v>96</v>
      </c>
      <c r="B99" s="7" t="s">
        <v>154</v>
      </c>
      <c r="C99" s="9">
        <v>24040001093</v>
      </c>
      <c r="D99" s="7" t="s">
        <v>158</v>
      </c>
    </row>
    <row r="100" s="4" customFormat="1" ht="23" customHeight="1" spans="1:4">
      <c r="A100" s="7">
        <v>97</v>
      </c>
      <c r="B100" s="7" t="s">
        <v>154</v>
      </c>
      <c r="C100" s="9">
        <v>24040001093</v>
      </c>
      <c r="D100" s="7" t="s">
        <v>159</v>
      </c>
    </row>
    <row r="101" s="4" customFormat="1" ht="23" customHeight="1" spans="1:4">
      <c r="A101" s="7">
        <v>98</v>
      </c>
      <c r="B101" s="7" t="s">
        <v>160</v>
      </c>
      <c r="C101" s="9">
        <v>24040002033</v>
      </c>
      <c r="D101" s="7" t="s">
        <v>161</v>
      </c>
    </row>
    <row r="102" s="4" customFormat="1" ht="23" customHeight="1" spans="1:4">
      <c r="A102" s="7">
        <v>99</v>
      </c>
      <c r="B102" s="7" t="s">
        <v>162</v>
      </c>
      <c r="C102" s="9">
        <v>24040003013</v>
      </c>
      <c r="D102" s="7" t="s">
        <v>163</v>
      </c>
    </row>
    <row r="103" s="4" customFormat="1" ht="23" customHeight="1" spans="1:4">
      <c r="A103" s="7">
        <v>100</v>
      </c>
      <c r="B103" s="7" t="s">
        <v>162</v>
      </c>
      <c r="C103" s="9">
        <v>24040003033</v>
      </c>
      <c r="D103" s="7" t="s">
        <v>164</v>
      </c>
    </row>
    <row r="104" s="4" customFormat="1" ht="23" customHeight="1" spans="1:4">
      <c r="A104" s="7">
        <v>101</v>
      </c>
      <c r="B104" s="7" t="s">
        <v>165</v>
      </c>
      <c r="C104" s="9">
        <v>24040004023</v>
      </c>
      <c r="D104" s="7" t="s">
        <v>166</v>
      </c>
    </row>
    <row r="105" s="4" customFormat="1" ht="23" customHeight="1" spans="1:4">
      <c r="A105" s="7">
        <v>102</v>
      </c>
      <c r="B105" s="7" t="s">
        <v>165</v>
      </c>
      <c r="C105" s="9">
        <v>24040004033</v>
      </c>
      <c r="D105" s="7" t="s">
        <v>167</v>
      </c>
    </row>
    <row r="106" s="4" customFormat="1" ht="23" customHeight="1" spans="1:4">
      <c r="A106" s="7">
        <v>103</v>
      </c>
      <c r="B106" s="7" t="s">
        <v>165</v>
      </c>
      <c r="C106" s="9">
        <v>24040004043</v>
      </c>
      <c r="D106" s="7" t="s">
        <v>168</v>
      </c>
    </row>
    <row r="107" s="4" customFormat="1" ht="23" customHeight="1" spans="1:4">
      <c r="A107" s="7">
        <v>104</v>
      </c>
      <c r="B107" s="7" t="s">
        <v>165</v>
      </c>
      <c r="C107" s="10">
        <v>24040004113</v>
      </c>
      <c r="D107" s="11" t="s">
        <v>169</v>
      </c>
    </row>
    <row r="108" s="4" customFormat="1" ht="23" customHeight="1" spans="1:4">
      <c r="A108" s="7">
        <v>105</v>
      </c>
      <c r="B108" s="7" t="s">
        <v>170</v>
      </c>
      <c r="C108" s="9">
        <v>24040006013</v>
      </c>
      <c r="D108" s="7" t="s">
        <v>171</v>
      </c>
    </row>
    <row r="109" s="4" customFormat="1" ht="23" customHeight="1" spans="1:4">
      <c r="A109" s="7">
        <v>106</v>
      </c>
      <c r="B109" s="7" t="s">
        <v>170</v>
      </c>
      <c r="C109" s="9">
        <v>24040006013</v>
      </c>
      <c r="D109" s="7" t="s">
        <v>172</v>
      </c>
    </row>
    <row r="110" s="4" customFormat="1" ht="23" customHeight="1" spans="1:4">
      <c r="A110" s="7">
        <v>107</v>
      </c>
      <c r="B110" s="7" t="s">
        <v>170</v>
      </c>
      <c r="C110" s="9">
        <v>24040006023</v>
      </c>
      <c r="D110" s="7" t="s">
        <v>173</v>
      </c>
    </row>
    <row r="111" s="4" customFormat="1" ht="23" customHeight="1" spans="1:4">
      <c r="A111" s="7">
        <v>108</v>
      </c>
      <c r="B111" s="7" t="s">
        <v>170</v>
      </c>
      <c r="C111" s="9">
        <v>24040006023</v>
      </c>
      <c r="D111" s="7" t="s">
        <v>174</v>
      </c>
    </row>
    <row r="112" s="4" customFormat="1" ht="23" customHeight="1" spans="1:4">
      <c r="A112" s="7">
        <v>109</v>
      </c>
      <c r="B112" s="7" t="s">
        <v>175</v>
      </c>
      <c r="C112" s="9">
        <v>24040007023</v>
      </c>
      <c r="D112" s="7" t="s">
        <v>176</v>
      </c>
    </row>
    <row r="113" s="4" customFormat="1" ht="23" customHeight="1" spans="1:4">
      <c r="A113" s="7">
        <v>110</v>
      </c>
      <c r="B113" s="7" t="s">
        <v>177</v>
      </c>
      <c r="C113" s="9">
        <v>24040008013</v>
      </c>
      <c r="D113" s="7" t="s">
        <v>178</v>
      </c>
    </row>
    <row r="114" s="4" customFormat="1" ht="23" customHeight="1" spans="1:4">
      <c r="A114" s="7">
        <v>111</v>
      </c>
      <c r="B114" s="7" t="s">
        <v>177</v>
      </c>
      <c r="C114" s="9">
        <v>24040008013</v>
      </c>
      <c r="D114" s="7" t="s">
        <v>179</v>
      </c>
    </row>
    <row r="115" s="4" customFormat="1" ht="23" customHeight="1" spans="1:4">
      <c r="A115" s="7">
        <v>112</v>
      </c>
      <c r="B115" s="7" t="s">
        <v>180</v>
      </c>
      <c r="C115" s="10">
        <v>24040009013</v>
      </c>
      <c r="D115" s="11" t="s">
        <v>181</v>
      </c>
    </row>
    <row r="116" s="4" customFormat="1" ht="23" customHeight="1" spans="1:4">
      <c r="A116" s="7">
        <v>113</v>
      </c>
      <c r="B116" s="7" t="s">
        <v>180</v>
      </c>
      <c r="C116" s="10">
        <v>24040009013</v>
      </c>
      <c r="D116" s="11" t="s">
        <v>182</v>
      </c>
    </row>
    <row r="117" s="4" customFormat="1" ht="23" customHeight="1" spans="1:4">
      <c r="A117" s="7">
        <v>114</v>
      </c>
      <c r="B117" s="7" t="s">
        <v>180</v>
      </c>
      <c r="C117" s="10">
        <v>24040009023</v>
      </c>
      <c r="D117" s="11" t="s">
        <v>183</v>
      </c>
    </row>
    <row r="118" s="4" customFormat="1" ht="23" customHeight="1" spans="1:4">
      <c r="A118" s="7">
        <v>115</v>
      </c>
      <c r="B118" s="7" t="s">
        <v>180</v>
      </c>
      <c r="C118" s="10">
        <v>24040009033</v>
      </c>
      <c r="D118" s="11" t="s">
        <v>184</v>
      </c>
    </row>
    <row r="119" s="4" customFormat="1" ht="23" customHeight="1" spans="1:4">
      <c r="A119" s="7">
        <v>116</v>
      </c>
      <c r="B119" s="7" t="s">
        <v>180</v>
      </c>
      <c r="C119" s="10">
        <v>24040009033</v>
      </c>
      <c r="D119" s="11" t="s">
        <v>185</v>
      </c>
    </row>
    <row r="120" s="4" customFormat="1" ht="23" customHeight="1" spans="1:4">
      <c r="A120" s="7">
        <v>117</v>
      </c>
      <c r="B120" s="7" t="s">
        <v>180</v>
      </c>
      <c r="C120" s="10">
        <v>24040009043</v>
      </c>
      <c r="D120" s="11" t="s">
        <v>186</v>
      </c>
    </row>
    <row r="121" s="4" customFormat="1" ht="23" customHeight="1" spans="1:4">
      <c r="A121" s="7">
        <v>118</v>
      </c>
      <c r="B121" s="7" t="s">
        <v>187</v>
      </c>
      <c r="C121" s="10">
        <v>24040010013</v>
      </c>
      <c r="D121" s="11" t="s">
        <v>188</v>
      </c>
    </row>
    <row r="122" s="4" customFormat="1" ht="23" customHeight="1" spans="1:4">
      <c r="A122" s="7">
        <v>119</v>
      </c>
      <c r="B122" s="7" t="s">
        <v>187</v>
      </c>
      <c r="C122" s="10">
        <v>24040010023</v>
      </c>
      <c r="D122" s="11" t="s">
        <v>189</v>
      </c>
    </row>
    <row r="123" s="4" customFormat="1" ht="23" customHeight="1" spans="1:4">
      <c r="A123" s="7">
        <v>120</v>
      </c>
      <c r="B123" s="7" t="s">
        <v>190</v>
      </c>
      <c r="C123" s="10">
        <v>24040011013</v>
      </c>
      <c r="D123" s="11" t="s">
        <v>191</v>
      </c>
    </row>
    <row r="124" s="4" customFormat="1" ht="23" customHeight="1" spans="1:4">
      <c r="A124" s="7">
        <v>121</v>
      </c>
      <c r="B124" s="7" t="s">
        <v>192</v>
      </c>
      <c r="C124" s="10">
        <v>24040012013</v>
      </c>
      <c r="D124" s="11" t="s">
        <v>193</v>
      </c>
    </row>
  </sheetData>
  <autoFilter xmlns:etc="http://www.wps.cn/officeDocument/2017/etCustomData" ref="A3:D124" etc:filterBottomFollowUsedRange="0">
    <extLst/>
  </autoFilter>
  <mergeCells count="1">
    <mergeCell ref="A2:D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111"/>
  <sheetViews>
    <sheetView workbookViewId="0">
      <selection activeCell="B1" sqref="B1:I1"/>
    </sheetView>
  </sheetViews>
  <sheetFormatPr defaultColWidth="9" defaultRowHeight="13.5"/>
  <cols>
    <col min="1" max="1" width="20.375" style="1" customWidth="1"/>
    <col min="2" max="2" width="9" style="1"/>
    <col min="3" max="3" width="10.875" style="1" customWidth="1"/>
    <col min="4" max="8" width="9" style="1"/>
    <col min="9" max="9" width="255.625" style="1" customWidth="1"/>
  </cols>
  <sheetData>
    <row r="1" spans="1:9">
      <c r="A1" s="1" t="s">
        <v>194</v>
      </c>
      <c r="B1" s="2" t="s">
        <v>195</v>
      </c>
      <c r="C1" s="2" t="s">
        <v>196</v>
      </c>
      <c r="D1" s="2" t="s">
        <v>197</v>
      </c>
      <c r="E1" s="2" t="s">
        <v>198</v>
      </c>
      <c r="F1" s="2" t="s">
        <v>199</v>
      </c>
      <c r="G1" s="2" t="s">
        <v>200</v>
      </c>
      <c r="H1" s="2" t="s">
        <v>201</v>
      </c>
      <c r="I1" s="2" t="s">
        <v>202</v>
      </c>
    </row>
    <row r="2" spans="1:9">
      <c r="A2" s="1" t="str">
        <f>"220203199503035910"</f>
        <v>220203199503035910</v>
      </c>
      <c r="B2" s="1" t="str">
        <f>"群众"</f>
        <v>群众</v>
      </c>
      <c r="C2" s="1" t="str">
        <f t="shared" ref="C2:C7" si="0">"本科"</f>
        <v>本科</v>
      </c>
      <c r="D2" s="1" t="str">
        <f>"20170623"</f>
        <v>20170623</v>
      </c>
      <c r="E2" s="1" t="str">
        <f>"内蒙古民族大学"</f>
        <v>内蒙古民族大学</v>
      </c>
      <c r="F2" s="1" t="str">
        <f>"应用化学"</f>
        <v>应用化学</v>
      </c>
      <c r="G2" s="1" t="str">
        <f>"河南省郑州市"</f>
        <v>河南省郑州市</v>
      </c>
      <c r="H2" s="1" t="str">
        <f t="shared" ref="H2:H7" si="1">"无"</f>
        <v>无</v>
      </c>
      <c r="I2" s="1" t="str">
        <f>"201309-201706 内蒙古民族大学化学化工学院应用化学专业就读，是全日制；201709-202007 辽宁师范大学化学化工学院物理化学专业就读，是全日制；202009-202108康龙化成（北京）新药技术股份有限公司；202109-202207长春吉大天元化学技术股份有限公司；202207-202410新天地医药技术研究院（郑州）有限公司；202410-至今 郑州待业"</f>
        <v>201309-201706 内蒙古民族大学化学化工学院应用化学专业就读，是全日制；201709-202007 辽宁师范大学化学化工学院物理化学专业就读，是全日制；202009-202108康龙化成（北京）新药技术股份有限公司；202109-202207长春吉大天元化学技术股份有限公司；202207-202410新天地医药技术研究院（郑州）有限公司；202410-至今 郑州待业</v>
      </c>
    </row>
    <row r="3" spans="1:9">
      <c r="A3" s="1" t="str">
        <f>"411327200105073936"</f>
        <v>411327200105073936</v>
      </c>
      <c r="B3" s="1" t="str">
        <f t="shared" ref="B3:B7" si="2">"共青团员"</f>
        <v>共青团员</v>
      </c>
      <c r="C3" s="1" t="str">
        <f t="shared" si="0"/>
        <v>本科</v>
      </c>
      <c r="D3" s="1" t="str">
        <f>"20220706"</f>
        <v>20220706</v>
      </c>
      <c r="E3" s="1" t="str">
        <f>"太原工业学院"</f>
        <v>太原工业学院</v>
      </c>
      <c r="F3" s="1" t="str">
        <f>"安全工程"</f>
        <v>安全工程</v>
      </c>
      <c r="G3" s="1" t="str">
        <f>"南阳市内乡县菊城豪庭"</f>
        <v>南阳市内乡县菊城豪庭</v>
      </c>
      <c r="H3" s="1" t="str">
        <f t="shared" si="1"/>
        <v>无</v>
      </c>
      <c r="I3" s="1" t="str">
        <f>"201809-202207, 在太原工业学院环境与安全工程系，安全工程专业就读为全日制学历，学士学位。
2021年在学校安排下于洛阳大阳汽车集团下属公司实习
202207-202312在河北吉诚新材料有限公司担任安全员"</f>
        <v>201809-202207, 在太原工业学院环境与安全工程系，安全工程专业就读为全日制学历，学士学位。
2021年在学校安排下于洛阳大阳汽车集团下属公司实习
202207-202312在河北吉诚新材料有限公司担任安全员</v>
      </c>
    </row>
    <row r="4" spans="1:9">
      <c r="A4" s="1" t="str">
        <f>"411524200110060840"</f>
        <v>411524200110060840</v>
      </c>
      <c r="B4" s="1" t="str">
        <f t="shared" si="2"/>
        <v>共青团员</v>
      </c>
      <c r="C4" s="1" t="str">
        <f t="shared" si="0"/>
        <v>本科</v>
      </c>
      <c r="D4" s="1" t="str">
        <f>"20250630"</f>
        <v>20250630</v>
      </c>
      <c r="E4" s="1" t="str">
        <f>"郑州财经学院"</f>
        <v>郑州财经学院</v>
      </c>
      <c r="F4" s="1" t="str">
        <f>"酒店管理"</f>
        <v>酒店管理</v>
      </c>
      <c r="G4" s="1" t="str">
        <f>"商城县佳和商城小区"</f>
        <v>商城县佳和商城小区</v>
      </c>
      <c r="H4" s="1" t="str">
        <f>"导游资格证"</f>
        <v>导游资格证</v>
      </c>
      <c r="I4" s="1" t="str">
        <f>"202009-202306开封大学就读旅游管理学院旅游管理专业全日制
202309-202506郑州财经学院就读管理学院酒店管理专业全日制"</f>
        <v>202009-202306开封大学就读旅游管理学院旅游管理专业全日制
202309-202506郑州财经学院就读管理学院酒店管理专业全日制</v>
      </c>
    </row>
    <row r="5" spans="1:9">
      <c r="A5" s="1" t="str">
        <f>"411324200303260055"</f>
        <v>411324200303260055</v>
      </c>
      <c r="B5" s="1" t="str">
        <f>"群众"</f>
        <v>群众</v>
      </c>
      <c r="C5" s="1" t="str">
        <f>"专科"</f>
        <v>专科</v>
      </c>
      <c r="D5" s="1" t="str">
        <f>"20240621"</f>
        <v>20240621</v>
      </c>
      <c r="E5" s="1" t="str">
        <f>"河南水利与环境职业学院"</f>
        <v>河南水利与环境职业学院</v>
      </c>
      <c r="F5" s="1" t="str">
        <f>"水利水电建筑工程"</f>
        <v>水利水电建筑工程</v>
      </c>
      <c r="G5" s="1" t="str">
        <f>"河南省南阳市镇平县"</f>
        <v>河南省南阳市镇平县</v>
      </c>
      <c r="H5" s="1" t="str">
        <f t="shared" si="1"/>
        <v>无</v>
      </c>
      <c r="I5" s="1" t="str">
        <f>"202109-202406河南水利与环境职业学院学校水利工程系水利水电建筑工程专业就读"</f>
        <v>202109-202406河南水利与环境职业学院学校水利工程系水利水电建筑工程专业就读</v>
      </c>
    </row>
    <row r="6" spans="1:9">
      <c r="A6" s="1" t="str">
        <f>"411327200203110024"</f>
        <v>411327200203110024</v>
      </c>
      <c r="B6" s="1" t="str">
        <f>"中共党员"</f>
        <v>中共党员</v>
      </c>
      <c r="C6" s="1" t="str">
        <f t="shared" si="0"/>
        <v>本科</v>
      </c>
      <c r="D6" s="1" t="str">
        <f>"20250701"</f>
        <v>20250701</v>
      </c>
      <c r="E6" s="1" t="str">
        <f>"河南财经政法大学"</f>
        <v>河南财经政法大学</v>
      </c>
      <c r="F6" s="1" t="str">
        <f>"会计学"</f>
        <v>会计学</v>
      </c>
      <c r="G6" s="1" t="str">
        <f>"河南省南阳市内乡县城关镇北关清心路60号"</f>
        <v>河南省南阳市内乡县城关镇北关清心路60号</v>
      </c>
      <c r="H6" s="1" t="str">
        <f>"初级会计专业技术资格证书"</f>
        <v>初级会计专业技术资格证书</v>
      </c>
      <c r="I6" s="1" t="str">
        <f>"202009-202107 河南财经政法大学  国际教育学院  少数民族预科班   是全日制学历
202109-202507 河南财经政法大学   会计学院        会计学   是全日制学历"</f>
        <v>202009-202107 河南财经政法大学  国际教育学院  少数民族预科班   是全日制学历
202109-202507 河南财经政法大学   会计学院        会计学   是全日制学历</v>
      </c>
    </row>
    <row r="7" spans="1:9">
      <c r="A7" s="1" t="str">
        <f>"411326200311023677"</f>
        <v>411326200311023677</v>
      </c>
      <c r="B7" s="1" t="str">
        <f t="shared" si="2"/>
        <v>共青团员</v>
      </c>
      <c r="C7" s="1" t="str">
        <f t="shared" si="0"/>
        <v>本科</v>
      </c>
      <c r="D7" s="1" t="str">
        <f>"20250614"</f>
        <v>20250614</v>
      </c>
      <c r="E7" s="1" t="str">
        <f>"信阳农林学院"</f>
        <v>信阳农林学院</v>
      </c>
      <c r="F7" s="1" t="str">
        <f>"数字媒体技术"</f>
        <v>数字媒体技术</v>
      </c>
      <c r="G7" s="1" t="str">
        <f>"河南省南阳市南召县南河店镇"</f>
        <v>河南省南阳市南召县南河店镇</v>
      </c>
      <c r="H7" s="1" t="str">
        <f t="shared" si="1"/>
        <v>无</v>
      </c>
      <c r="I7" s="1" t="str">
        <f>"于20210901-20250614 在信阳农林学院 信息工程学院 数字媒体技术专业就读，是全日制学历"</f>
        <v>于20210901-20250614 在信阳农林学院 信息工程学院 数字媒体技术专业就读，是全日制学历</v>
      </c>
    </row>
    <row r="8" spans="1:9">
      <c r="A8" s="1" t="str">
        <f>"411327200207020042"</f>
        <v>411327200207020042</v>
      </c>
      <c r="B8" s="1" t="str">
        <f>"群众"</f>
        <v>群众</v>
      </c>
      <c r="C8" s="1" t="str">
        <f>"专科"</f>
        <v>专科</v>
      </c>
      <c r="D8" s="1" t="str">
        <f>"20230701"</f>
        <v>20230701</v>
      </c>
      <c r="E8" s="1" t="str">
        <f>"许昌职业技术学院"</f>
        <v>许昌职业技术学院</v>
      </c>
      <c r="F8" s="1" t="str">
        <f>"小学教育（师范）"</f>
        <v>小学教育（师范）</v>
      </c>
      <c r="G8" s="1" t="str">
        <f>"河南省南阳市内乡县城关镇"</f>
        <v>河南省南阳市内乡县城关镇</v>
      </c>
      <c r="H8" s="1" t="str">
        <f>"全国计算机应用水平考试信息化办公证"</f>
        <v>全国计算机应用水平考试信息化办公证</v>
      </c>
      <c r="I8" s="1" t="str">
        <f>"202009-202307 就读于许昌职业技术学院人文系小学教育专业是全日制学历。
202311-至今 于内乡县复兴学校就业"</f>
        <v>202009-202307 就读于许昌职业技术学院人文系小学教育专业是全日制学历。
202311-至今 于内乡县复兴学校就业</v>
      </c>
    </row>
    <row r="9" spans="1:9">
      <c r="A9" s="1" t="str">
        <f>"41132720020928296X"</f>
        <v>41132720020928296X</v>
      </c>
      <c r="B9" s="1" t="str">
        <f t="shared" ref="B9:B11" si="3">"共青团员"</f>
        <v>共青团员</v>
      </c>
      <c r="C9" s="1" t="str">
        <f t="shared" ref="C9:C14" si="4">"本科"</f>
        <v>本科</v>
      </c>
      <c r="D9" s="1" t="str">
        <f>"20240701"</f>
        <v>20240701</v>
      </c>
      <c r="E9" s="1" t="str">
        <f>"新乡工程学院"</f>
        <v>新乡工程学院</v>
      </c>
      <c r="F9" s="1" t="str">
        <f>"市场营销"</f>
        <v>市场营销</v>
      </c>
      <c r="G9" s="1" t="str">
        <f>"河南省内乡县瓦亭镇黎家"</f>
        <v>河南省内乡县瓦亭镇黎家</v>
      </c>
      <c r="H9" s="1" t="str">
        <f t="shared" ref="H9:H20" si="5">"无"</f>
        <v>无</v>
      </c>
      <c r="I9" s="1" t="str">
        <f>"202009-202406新乡工程学院 工商管理系 市场营销专业"</f>
        <v>202009-202406新乡工程学院 工商管理系 市场营销专业</v>
      </c>
    </row>
    <row r="10" spans="1:9">
      <c r="A10" s="1" t="str">
        <f>"142701200010111518"</f>
        <v>142701200010111518</v>
      </c>
      <c r="B10" s="1" t="str">
        <f t="shared" si="3"/>
        <v>共青团员</v>
      </c>
      <c r="C10" s="1" t="str">
        <f t="shared" si="4"/>
        <v>本科</v>
      </c>
      <c r="D10" s="1" t="str">
        <f>"20220701"</f>
        <v>20220701</v>
      </c>
      <c r="E10" s="1" t="str">
        <f>"山西工程技术学院"</f>
        <v>山西工程技术学院</v>
      </c>
      <c r="F10" s="1" t="str">
        <f>"电气工程及其自动化"</f>
        <v>电气工程及其自动化</v>
      </c>
      <c r="G10" s="1" t="str">
        <f>"山西省运城市盐湖区空港南区嘉禾西班牙"</f>
        <v>山西省运城市盐湖区空港南区嘉禾西班牙</v>
      </c>
      <c r="H10" s="1" t="str">
        <f t="shared" si="5"/>
        <v>无</v>
      </c>
      <c r="I10" s="1" t="str">
        <f>"201809—202207 山西工程技术学院就读全日制本科
202207至今待业"</f>
        <v>201809—202207 山西工程技术学院就读全日制本科
202207至今待业</v>
      </c>
    </row>
    <row r="11" spans="1:9">
      <c r="A11" s="1" t="str">
        <f>"411327199708290635"</f>
        <v>411327199708290635</v>
      </c>
      <c r="B11" s="1" t="str">
        <f t="shared" si="3"/>
        <v>共青团员</v>
      </c>
      <c r="C11" s="1" t="str">
        <f t="shared" si="4"/>
        <v>本科</v>
      </c>
      <c r="D11" s="1" t="str">
        <f>"20210703"</f>
        <v>20210703</v>
      </c>
      <c r="E11" s="1" t="str">
        <f>"河南科技学院"</f>
        <v>河南科技学院</v>
      </c>
      <c r="F11" s="1" t="str">
        <f>"园艺师范"</f>
        <v>园艺师范</v>
      </c>
      <c r="G11" s="1" t="str">
        <f>"马山口镇"</f>
        <v>马山口镇</v>
      </c>
      <c r="H11" s="1" t="str">
        <f>"园艺师证"</f>
        <v>园艺师证</v>
      </c>
      <c r="I11" s="1" t="str">
        <f>"202204在内乡县公安局做辅警"</f>
        <v>202204在内乡县公安局做辅警</v>
      </c>
    </row>
    <row r="12" spans="1:9">
      <c r="A12" s="1" t="str">
        <f>"41132220031008101X"</f>
        <v>41132220031008101X</v>
      </c>
      <c r="B12" s="1" t="str">
        <f t="shared" ref="B12:B17" si="6">"群众"</f>
        <v>群众</v>
      </c>
      <c r="C12" s="1" t="str">
        <f t="shared" si="4"/>
        <v>本科</v>
      </c>
      <c r="D12" s="1" t="str">
        <f>"20250608"</f>
        <v>20250608</v>
      </c>
      <c r="E12" s="1" t="str">
        <f>"郑州轻工业大学"</f>
        <v>郑州轻工业大学</v>
      </c>
      <c r="F12" s="1" t="str">
        <f>"网络工程（智能物联）"</f>
        <v>网络工程（智能物联）</v>
      </c>
      <c r="G12" s="1" t="str">
        <f>"河南省南阳市方城县拐河镇二郎庙村"</f>
        <v>河南省南阳市方城县拐河镇二郎庙村</v>
      </c>
      <c r="H12" s="1" t="str">
        <f t="shared" si="5"/>
        <v>无</v>
      </c>
      <c r="I12" s="1" t="str">
        <f>"202109-202506 郑州轻工业大学 计算机科学与技术学院网络工程（智能物联专业）就读
201809-202106 方城县第五高级中学 就读
201509-201806 拐河镇第一初级中学 就读
200909-201506 拐河镇中心小学 就读"</f>
        <v>202109-202506 郑州轻工业大学 计算机科学与技术学院网络工程（智能物联专业）就读
201809-202106 方城县第五高级中学 就读
201509-201806 拐河镇第一初级中学 就读
200909-201506 拐河镇中心小学 就读</v>
      </c>
    </row>
    <row r="13" spans="1:9">
      <c r="A13" s="1" t="str">
        <f>"411325200108202921"</f>
        <v>411325200108202921</v>
      </c>
      <c r="B13" s="1" t="str">
        <f>"中共党员"</f>
        <v>中共党员</v>
      </c>
      <c r="C13" s="1" t="str">
        <f t="shared" si="4"/>
        <v>本科</v>
      </c>
      <c r="D13" s="1" t="str">
        <f>"20240607"</f>
        <v>20240607</v>
      </c>
      <c r="E13" s="1" t="str">
        <f>"河南牧业经济学院"</f>
        <v>河南牧业经济学院</v>
      </c>
      <c r="F13" s="1" t="str">
        <f>"动物科学"</f>
        <v>动物科学</v>
      </c>
      <c r="G13" s="1" t="str">
        <f>"河南省南阳市内乡县瓦亭镇袁营村"</f>
        <v>河南省南阳市内乡县瓦亭镇袁营村</v>
      </c>
      <c r="H13" s="1" t="str">
        <f t="shared" si="5"/>
        <v>无</v>
      </c>
      <c r="I13" s="1" t="str">
        <f>"202009-202406 河南牧业经济学院 动物科技学院 动物科学专业就读全日制本科
202407-202411在江苏正力新能电池技术股份有限公司就业
202412-至今在河南省南阳市内乡县待业"</f>
        <v>202009-202406 河南牧业经济学院 动物科技学院 动物科学专业就读全日制本科
202407-202411在江苏正力新能电池技术股份有限公司就业
202412-至今在河南省南阳市内乡县待业</v>
      </c>
    </row>
    <row r="14" spans="1:9">
      <c r="A14" s="1" t="str">
        <f>"411327200104124228"</f>
        <v>411327200104124228</v>
      </c>
      <c r="B14" s="1" t="str">
        <f>"共青团员"</f>
        <v>共青团员</v>
      </c>
      <c r="C14" s="1" t="str">
        <f t="shared" si="4"/>
        <v>本科</v>
      </c>
      <c r="D14" s="1" t="str">
        <f>"20230701"</f>
        <v>20230701</v>
      </c>
      <c r="E14" s="1" t="str">
        <f>"郑州财经学院"</f>
        <v>郑州财经学院</v>
      </c>
      <c r="F14" s="1" t="str">
        <f>"小学教育"</f>
        <v>小学教育</v>
      </c>
      <c r="G14" s="1" t="str">
        <f>"河南省南阳市内乡县余关镇李沟村华沟组"</f>
        <v>河南省南阳市内乡县余关镇李沟村华沟组</v>
      </c>
      <c r="H14" s="1" t="str">
        <f t="shared" si="5"/>
        <v>无</v>
      </c>
      <c r="I14" s="1" t="str">
        <f>"201909-202307郑州财经学院教育学院小学教育专业就读 全日制学历
202308-至今 待业"</f>
        <v>201909-202307郑州财经学院教育学院小学教育专业就读 全日制学历
202308-至今 待业</v>
      </c>
    </row>
    <row r="15" spans="1:9">
      <c r="A15" s="1" t="str">
        <f>"411328199008080094"</f>
        <v>411328199008080094</v>
      </c>
      <c r="B15" s="1" t="str">
        <f t="shared" si="6"/>
        <v>群众</v>
      </c>
      <c r="C15" s="1" t="str">
        <f>"专科"</f>
        <v>专科</v>
      </c>
      <c r="D15" s="1" t="str">
        <f>"2011.07"</f>
        <v>2011.07</v>
      </c>
      <c r="E15" s="1" t="str">
        <f>"平顶山学院"</f>
        <v>平顶山学院</v>
      </c>
      <c r="F15" s="1" t="str">
        <f>"计算机网络技术"</f>
        <v>计算机网络技术</v>
      </c>
      <c r="G15" s="1" t="str">
        <f>"新野县孟营社区"</f>
        <v>新野县孟营社区</v>
      </c>
      <c r="H15" s="1" t="str">
        <f t="shared" si="5"/>
        <v>无</v>
      </c>
      <c r="I15" s="1" t="str">
        <f>"200909-201107在平顶山学院计算机系计算机网络技术专业就读，全日制大专。"</f>
        <v>200909-201107在平顶山学院计算机系计算机网络技术专业就读，全日制大专。</v>
      </c>
    </row>
    <row r="16" spans="1:9">
      <c r="A16" s="1" t="str">
        <f>"412727200003193518"</f>
        <v>412727200003193518</v>
      </c>
      <c r="B16" s="1" t="str">
        <f t="shared" si="6"/>
        <v>群众</v>
      </c>
      <c r="C16" s="1" t="str">
        <f t="shared" ref="C16:C20" si="7">"本科"</f>
        <v>本科</v>
      </c>
      <c r="D16" s="1" t="str">
        <f>"20240601"</f>
        <v>20240601</v>
      </c>
      <c r="E16" s="1" t="str">
        <f>"塔里木大学"</f>
        <v>塔里木大学</v>
      </c>
      <c r="F16" s="1" t="str">
        <f>"园艺"</f>
        <v>园艺</v>
      </c>
      <c r="G16" s="1" t="str">
        <f>"河南省周口市淮阳区柳湖街道广商西大李"</f>
        <v>河南省周口市淮阳区柳湖街道广商西大李</v>
      </c>
      <c r="H16" s="1" t="str">
        <f t="shared" si="5"/>
        <v>无</v>
      </c>
      <c r="I16" s="1" t="str">
        <f>"202009-202406 塔里木大学 就读于园艺与林学学院 园艺专业 为全日制学历
202406-至今  待业
"</f>
        <v>202009-202406 塔里木大学 就读于园艺与林学学院 园艺专业 为全日制学历
202406-至今  待业
</v>
      </c>
    </row>
    <row r="17" spans="1:9">
      <c r="A17" s="1" t="str">
        <f>"411327199711292519"</f>
        <v>411327199711292519</v>
      </c>
      <c r="B17" s="1" t="str">
        <f t="shared" si="6"/>
        <v>群众</v>
      </c>
      <c r="C17" s="1" t="str">
        <f t="shared" si="7"/>
        <v>本科</v>
      </c>
      <c r="D17" s="1" t="str">
        <f>"20200701"</f>
        <v>20200701</v>
      </c>
      <c r="E17" s="1" t="str">
        <f>"中原工学院信息商务学院"</f>
        <v>中原工学院信息商务学院</v>
      </c>
      <c r="F17" s="1" t="str">
        <f>"工商管理"</f>
        <v>工商管理</v>
      </c>
      <c r="G17" s="1" t="str">
        <f>"河南省南阳市内乡县王店堰张王楼村"</f>
        <v>河南省南阳市内乡县王店堰张王楼村</v>
      </c>
      <c r="H17" s="1" t="str">
        <f t="shared" si="5"/>
        <v>无</v>
      </c>
      <c r="I17" s="1" t="str">
        <f>"201609 - 202007 中原工学院信息商务学院，工商管理专业就读，为全日制学历；
202007 - 202109 北京至远无限教育科技有限公司；
202110 -  至今  字节跳动 "</f>
        <v>201609 - 202007 中原工学院信息商务学院，工商管理专业就读，为全日制学历；
202007 - 202109 北京至远无限教育科技有限公司；
202110 -  至今  字节跳动 </v>
      </c>
    </row>
    <row r="18" spans="1:9">
      <c r="A18" s="1" t="str">
        <f>"411330199911231540"</f>
        <v>411330199911231540</v>
      </c>
      <c r="B18" s="1" t="str">
        <f>"共青团员"</f>
        <v>共青团员</v>
      </c>
      <c r="C18" s="1" t="str">
        <f t="shared" ref="C18:C23" si="8">"专科"</f>
        <v>专科</v>
      </c>
      <c r="D18" s="1" t="str">
        <f>"20210701"</f>
        <v>20210701</v>
      </c>
      <c r="E18" s="1" t="str">
        <f>"河南师范大学新联学院"</f>
        <v>河南师范大学新联学院</v>
      </c>
      <c r="F18" s="1" t="str">
        <f>"语文教育"</f>
        <v>语文教育</v>
      </c>
      <c r="G18" s="1" t="str">
        <f>"河南省南阳市西峡县城关镇建设路60号"</f>
        <v>河南省南阳市西峡县城关镇建设路60号</v>
      </c>
      <c r="H18" s="1" t="str">
        <f t="shared" si="5"/>
        <v>无</v>
      </c>
      <c r="I18" s="1" t="str">
        <f>"20180901-20210701   河南师范大学新联学院文学与传媒学院语文教育专业就读，是全日制学历。"</f>
        <v>20180901-20210701   河南师范大学新联学院文学与传媒学院语文教育专业就读，是全日制学历。</v>
      </c>
    </row>
    <row r="19" spans="1:9">
      <c r="A19" s="1" t="str">
        <f>"411324199609200025"</f>
        <v>411324199609200025</v>
      </c>
      <c r="B19" s="1" t="str">
        <f t="shared" ref="B19:B23" si="9">"群众"</f>
        <v>群众</v>
      </c>
      <c r="C19" s="1" t="str">
        <f t="shared" si="7"/>
        <v>本科</v>
      </c>
      <c r="D19" s="1" t="str">
        <f>"20200701"</f>
        <v>20200701</v>
      </c>
      <c r="E19" s="1" t="str">
        <f>"郑州航空工业管理学院"</f>
        <v>郑州航空工业管理学院</v>
      </c>
      <c r="F19" s="1" t="str">
        <f>"国际经济与贸易"</f>
        <v>国际经济与贸易</v>
      </c>
      <c r="G19" s="1" t="str">
        <f>"河南省南阳市镇平县新城广场"</f>
        <v>河南省南阳市镇平县新城广场</v>
      </c>
      <c r="H19" s="1" t="str">
        <f t="shared" si="5"/>
        <v>无</v>
      </c>
      <c r="I19" s="1" t="str">
        <f>"201509-201606少数民族预科班就读；
201609-202007郑州航空工业管理学院国际经济与贸易专业就读；202003-202010北京学而思教育科技有限公司就职；
202011-202208在家备考公务员；
202209-202401想念食品有限公司就职；
202402年后在郑州找工作；
202403月-至今河南白云牧港生物科技有限公司就职。"</f>
        <v>201509-201606少数民族预科班就读；
201609-202007郑州航空工业管理学院国际经济与贸易专业就读；202003-202010北京学而思教育科技有限公司就职；
202011-202208在家备考公务员；
202209-202401想念食品有限公司就职；
202402年后在郑州找工作；
202403月-至今河南白云牧港生物科技有限公司就职。</v>
      </c>
    </row>
    <row r="20" spans="1:9">
      <c r="A20" s="1" t="str">
        <f>"411402200207064510"</f>
        <v>411402200207064510</v>
      </c>
      <c r="B20" s="1" t="str">
        <f t="shared" si="9"/>
        <v>群众</v>
      </c>
      <c r="C20" s="1" t="str">
        <f t="shared" si="7"/>
        <v>本科</v>
      </c>
      <c r="D20" s="1" t="str">
        <f>"20250601"</f>
        <v>20250601</v>
      </c>
      <c r="E20" s="1" t="str">
        <f>"昌吉学院"</f>
        <v>昌吉学院</v>
      </c>
      <c r="F20" s="1" t="str">
        <f>"应用统计学"</f>
        <v>应用统计学</v>
      </c>
      <c r="G20" s="1" t="str">
        <f>"河南省商丘市梁园区"</f>
        <v>河南省商丘市梁园区</v>
      </c>
      <c r="H20" s="1" t="str">
        <f t="shared" si="5"/>
        <v>无</v>
      </c>
      <c r="I20" s="1" t="str">
        <f>"202109—202506 在昌吉学院数学系应用统计学专业就读。是全日制学历"</f>
        <v>202109—202506 在昌吉学院数学系应用统计学专业就读。是全日制学历</v>
      </c>
    </row>
    <row r="21" spans="1:9">
      <c r="A21" s="1" t="str">
        <f>"410425200012040010"</f>
        <v>410425200012040010</v>
      </c>
      <c r="B21" s="1" t="str">
        <f t="shared" si="9"/>
        <v>群众</v>
      </c>
      <c r="C21" s="1" t="str">
        <f t="shared" si="8"/>
        <v>专科</v>
      </c>
      <c r="D21" s="1" t="str">
        <f>"20231130"</f>
        <v>20231130</v>
      </c>
      <c r="E21" s="1" t="str">
        <f>"四川电影电视学院"</f>
        <v>四川电影电视学院</v>
      </c>
      <c r="F21" s="1" t="str">
        <f>"艺术设计"</f>
        <v>艺术设计</v>
      </c>
      <c r="G21" s="1" t="str">
        <f>"河南省平顶山市郏县龙山街道东城角路56号"</f>
        <v>河南省平顶山市郏县龙山街道东城角路56号</v>
      </c>
      <c r="H21" s="1" t="str">
        <f>"普通话证书二乙"</f>
        <v>普通话证书二乙</v>
      </c>
      <c r="I21" s="1" t="str">
        <f>"20190830-20231130四川电影电视学院就读，全日制学
2020年9月至2021年6月在河南平顶山郏县待业"</f>
        <v>20190830-20231130四川电影电视学院就读，全日制学
2020年9月至2021年6月在河南平顶山郏县待业</v>
      </c>
    </row>
    <row r="22" spans="1:9">
      <c r="A22" s="1" t="str">
        <f>"411327199803220619"</f>
        <v>411327199803220619</v>
      </c>
      <c r="B22" s="1" t="str">
        <f t="shared" si="9"/>
        <v>群众</v>
      </c>
      <c r="C22" s="1" t="str">
        <f t="shared" ref="C22:C35" si="10">"本科"</f>
        <v>本科</v>
      </c>
      <c r="D22" s="1" t="str">
        <f>"20240701"</f>
        <v>20240701</v>
      </c>
      <c r="E22" s="1" t="str">
        <f>"河南财经政法大学"</f>
        <v>河南财经政法大学</v>
      </c>
      <c r="F22" s="1" t="str">
        <f>"工商管理"</f>
        <v>工商管理</v>
      </c>
      <c r="G22" s="1" t="str">
        <f>"河南省南阳市内乡县"</f>
        <v>河南省南阳市内乡县</v>
      </c>
      <c r="H22" s="1" t="str">
        <f t="shared" ref="H22:H45" si="11">"无"</f>
        <v>无</v>
      </c>
      <c r="I22" s="1" t="str">
        <f>"2015年-2018年在郑州工业应用技术学院工程造价专业就读（全日制）
2018年-2019年在公路局就业
2019年至今在南阳村镇银行就业
2022年-2024年就读河南财经政法大学工商管理系(否全日制)"</f>
        <v>2015年-2018年在郑州工业应用技术学院工程造价专业就读（全日制）
2018年-2019年在公路局就业
2019年至今在南阳村镇银行就业
2022年-2024年就读河南财经政法大学工商管理系(否全日制)</v>
      </c>
    </row>
    <row r="23" spans="1:9">
      <c r="A23" s="1" t="str">
        <f>"411330199808141512"</f>
        <v>411330199808141512</v>
      </c>
      <c r="B23" s="1" t="str">
        <f t="shared" si="9"/>
        <v>群众</v>
      </c>
      <c r="C23" s="1" t="str">
        <f t="shared" si="8"/>
        <v>专科</v>
      </c>
      <c r="D23" s="1" t="str">
        <f>"20200701"</f>
        <v>20200701</v>
      </c>
      <c r="E23" s="1" t="str">
        <f>"河南工学院"</f>
        <v>河南工学院</v>
      </c>
      <c r="F23" s="1" t="str">
        <f>"市场营销"</f>
        <v>市场营销</v>
      </c>
      <c r="G23" s="1" t="str">
        <f>"河南省南阳市西峡县北二环与五里桥街交叉口东50米"</f>
        <v>河南省南阳市西峡县北二环与五里桥街交叉口东50米</v>
      </c>
      <c r="H23" s="1" t="str">
        <f t="shared" si="11"/>
        <v>无</v>
      </c>
      <c r="I23" s="1" t="str">
        <f>"201709-202007在河南工学院经贸系市场营销专业就读全日制专科
202007-至今在内乡赢信汽车销售服务有限公司就业"</f>
        <v>201709-202007在河南工学院经贸系市场营销专业就读全日制专科
202007-至今在内乡赢信汽车销售服务有限公司就业</v>
      </c>
    </row>
    <row r="24" spans="1:9">
      <c r="A24" s="1" t="str">
        <f>"412824199201016871"</f>
        <v>412824199201016871</v>
      </c>
      <c r="B24" s="1" t="str">
        <f t="shared" ref="B24:B30" si="12">"中共党员"</f>
        <v>中共党员</v>
      </c>
      <c r="C24" s="1" t="str">
        <f t="shared" si="10"/>
        <v>本科</v>
      </c>
      <c r="D24" s="1" t="str">
        <f>"20150701"</f>
        <v>20150701</v>
      </c>
      <c r="E24" s="1" t="str">
        <f>"信阳师范学院"</f>
        <v>信阳师范学院</v>
      </c>
      <c r="F24" s="1" t="str">
        <f>"土木工程"</f>
        <v>土木工程</v>
      </c>
      <c r="G24" s="1" t="str">
        <f>"河南省驻马店市西平县祥和路御都福邸"</f>
        <v>河南省驻马店市西平县祥和路御都福邸</v>
      </c>
      <c r="H24" s="1" t="str">
        <f t="shared" si="11"/>
        <v>无</v>
      </c>
      <c r="I24" s="1" t="str">
        <f>"201109-201507 在信阳师范学院土木工程院系土木工程专业就读，是全日制学历；
201508-201608 在河南省驻马店市西平县科学技术协会临时参与工作；
201609-202009 在西平中原村镇银行工作；
202010-202507 在河南省农业信贷担保有限责任公司工作。"</f>
        <v>201109-201507 在信阳师范学院土木工程院系土木工程专业就读，是全日制学历；
201508-201608 在河南省驻马店市西平县科学技术协会临时参与工作；
201609-202009 在西平中原村镇银行工作；
202010-202507 在河南省农业信贷担保有限责任公司工作。</v>
      </c>
    </row>
    <row r="25" spans="1:9">
      <c r="A25" s="1" t="str">
        <f>"411381200310108243"</f>
        <v>411381200310108243</v>
      </c>
      <c r="B25" s="1" t="str">
        <f>"共青团员"</f>
        <v>共青团员</v>
      </c>
      <c r="C25" s="1" t="str">
        <f t="shared" si="10"/>
        <v>本科</v>
      </c>
      <c r="D25" s="1" t="str">
        <f>"20250615"</f>
        <v>20250615</v>
      </c>
      <c r="E25" s="1" t="str">
        <f>"河南牧业经济学院"</f>
        <v>河南牧业经济学院</v>
      </c>
      <c r="F25" s="1" t="str">
        <f>"家政学"</f>
        <v>家政学</v>
      </c>
      <c r="G25" s="1" t="str">
        <f>"河南省邓州市汲滩镇张桥村刘张营"</f>
        <v>河南省邓州市汲滩镇张桥村刘张营</v>
      </c>
      <c r="H25" s="1" t="str">
        <f t="shared" si="11"/>
        <v>无</v>
      </c>
      <c r="I25" s="1" t="str">
        <f>"202109-202506  河南牧业经济学院 文法学院家政学专业就读
全日制本科"</f>
        <v>202109-202506  河南牧业经济学院 文法学院家政学专业就读
全日制本科</v>
      </c>
    </row>
    <row r="26" spans="1:9">
      <c r="A26" s="1" t="str">
        <f>"411327199201262512"</f>
        <v>411327199201262512</v>
      </c>
      <c r="B26" s="1" t="str">
        <f t="shared" si="12"/>
        <v>中共党员</v>
      </c>
      <c r="C26" s="1" t="str">
        <f t="shared" si="10"/>
        <v>本科</v>
      </c>
      <c r="D26" s="1" t="str">
        <f>"20240701"</f>
        <v>20240701</v>
      </c>
      <c r="E26" s="1" t="str">
        <f>"河南城建学院"</f>
        <v>河南城建学院</v>
      </c>
      <c r="F26" s="1" t="str">
        <f>"土木工程"</f>
        <v>土木工程</v>
      </c>
      <c r="G26" s="1" t="str">
        <f>"河南内乡"</f>
        <v>河南内乡</v>
      </c>
      <c r="H26" s="1" t="str">
        <f t="shared" si="11"/>
        <v>无</v>
      </c>
      <c r="I26" s="1" t="str">
        <f>"201009-201307郑州交通职业技术学院就读，202203-202407河南城建学院，202011就业于南阳菊苑建设有限公司"</f>
        <v>201009-201307郑州交通职业技术学院就读，202203-202407河南城建学院，202011就业于南阳菊苑建设有限公司</v>
      </c>
    </row>
    <row r="27" spans="1:9">
      <c r="A27" s="1" t="str">
        <f>"411327199709242512"</f>
        <v>411327199709242512</v>
      </c>
      <c r="B27" s="1" t="str">
        <f>"群众"</f>
        <v>群众</v>
      </c>
      <c r="C27" s="1" t="str">
        <f t="shared" si="10"/>
        <v>本科</v>
      </c>
      <c r="D27" s="1" t="str">
        <f>"20210701"</f>
        <v>20210701</v>
      </c>
      <c r="E27" s="1" t="str">
        <f>"河南城建学院"</f>
        <v>河南城建学院</v>
      </c>
      <c r="F27" s="1" t="str">
        <f>"化学工程与工艺"</f>
        <v>化学工程与工艺</v>
      </c>
      <c r="G27" s="1" t="str">
        <f>"河南省南阳市内乡县王店镇"</f>
        <v>河南省南阳市内乡县王店镇</v>
      </c>
      <c r="H27" s="1" t="str">
        <f t="shared" si="11"/>
        <v>无</v>
      </c>
      <c r="I27" s="1" t="str">
        <f>"201709—202107在河南城建学院，材料与化工学院，所学专业为化学工程与工艺，全日制本科；
202109至今，在内乡菊潭学校就业（九年级专任化学教师）"</f>
        <v>201709—202107在河南城建学院，材料与化工学院，所学专业为化学工程与工艺，全日制本科；
202109至今，在内乡菊潭学校就业（九年级专任化学教师）</v>
      </c>
    </row>
    <row r="28" spans="1:9">
      <c r="A28" s="1" t="str">
        <f>"411327200202122103"</f>
        <v>411327200202122103</v>
      </c>
      <c r="B28" s="1" t="str">
        <f>"共青团员"</f>
        <v>共青团员</v>
      </c>
      <c r="C28" s="1" t="str">
        <f t="shared" si="10"/>
        <v>本科</v>
      </c>
      <c r="D28" s="1" t="str">
        <f>"20240701"</f>
        <v>20240701</v>
      </c>
      <c r="E28" s="1" t="str">
        <f>"许昌学院"</f>
        <v>许昌学院</v>
      </c>
      <c r="F28" s="1" t="str">
        <f>"小学教育"</f>
        <v>小学教育</v>
      </c>
      <c r="G28" s="1" t="str">
        <f>"河南省南阳市内乡县师岗镇唐营村"</f>
        <v>河南省南阳市内乡县师岗镇唐营村</v>
      </c>
      <c r="H28" s="1" t="str">
        <f t="shared" si="11"/>
        <v>无</v>
      </c>
      <c r="I28" s="1" t="str">
        <f>"201909-202207郑州幼儿师范高等专科学校 音乐教育专业就读 全日制
202209-202407 许昌学院 教育系 小学教育专业就读 全日制
202407-至今在内乡县待业"</f>
        <v>201909-202207郑州幼儿师范高等专科学校 音乐教育专业就读 全日制
202209-202407 许昌学院 教育系 小学教育专业就读 全日制
202407-至今在内乡县待业</v>
      </c>
    </row>
    <row r="29" spans="1:9">
      <c r="A29" s="1" t="str">
        <f>"411330200304275512"</f>
        <v>411330200304275512</v>
      </c>
      <c r="B29" s="1" t="str">
        <f t="shared" si="12"/>
        <v>中共党员</v>
      </c>
      <c r="C29" s="1" t="str">
        <f t="shared" si="10"/>
        <v>本科</v>
      </c>
      <c r="D29" s="1" t="str">
        <f>"2025-06-21"</f>
        <v>2025-06-21</v>
      </c>
      <c r="E29" s="1" t="str">
        <f>"郑州大学"</f>
        <v>郑州大学</v>
      </c>
      <c r="F29" s="1" t="str">
        <f>"风景园林"</f>
        <v>风景园林</v>
      </c>
      <c r="G29" s="1" t="str">
        <f>"河南省南阳市西峡县二郎坪镇湾潭村沟口组"</f>
        <v>河南省南阳市西峡县二郎坪镇湾潭村沟口组</v>
      </c>
      <c r="H29" s="1" t="str">
        <f t="shared" si="11"/>
        <v>无</v>
      </c>
      <c r="I29" s="1" t="str">
        <f>"202109-202506 郑州大学建筑学院风景园林专业就读，是全日制"</f>
        <v>202109-202506 郑州大学建筑学院风景园林专业就读，是全日制</v>
      </c>
    </row>
    <row r="30" spans="1:9">
      <c r="A30" s="1" t="str">
        <f>"411381200109065341"</f>
        <v>411381200109065341</v>
      </c>
      <c r="B30" s="1" t="str">
        <f t="shared" si="12"/>
        <v>中共党员</v>
      </c>
      <c r="C30" s="1" t="str">
        <f t="shared" si="10"/>
        <v>本科</v>
      </c>
      <c r="D30" s="1" t="str">
        <f>"20240601"</f>
        <v>20240601</v>
      </c>
      <c r="E30" s="1" t="str">
        <f>"喀什大学"</f>
        <v>喀什大学</v>
      </c>
      <c r="F30" s="1" t="str">
        <f>"学前教育"</f>
        <v>学前教育</v>
      </c>
      <c r="G30" s="1" t="str">
        <f>"河南省邓州市高集镇杨营村杨营11号"</f>
        <v>河南省邓州市高集镇杨营村杨营11号</v>
      </c>
      <c r="H30" s="1" t="str">
        <f t="shared" si="11"/>
        <v>无</v>
      </c>
      <c r="I30" s="1" t="str">
        <f>"202009-202406 喀什大学教育科学学院学前教育专业就读
202406-202507 邓州市高集镇杨营村待业"</f>
        <v>202009-202406 喀什大学教育科学学院学前教育专业就读
202406-202507 邓州市高集镇杨营村待业</v>
      </c>
    </row>
    <row r="31" spans="1:9">
      <c r="A31" s="1" t="str">
        <f>"411324199610042212"</f>
        <v>411324199610042212</v>
      </c>
      <c r="B31" s="1" t="str">
        <f t="shared" ref="B31:B35" si="13">"群众"</f>
        <v>群众</v>
      </c>
      <c r="C31" s="1" t="str">
        <f t="shared" si="10"/>
        <v>本科</v>
      </c>
      <c r="D31" s="1" t="str">
        <f>"2022-07-01"</f>
        <v>2022-07-01</v>
      </c>
      <c r="E31" s="1" t="str">
        <f>"河南财经政法大学"</f>
        <v>河南财经政法大学</v>
      </c>
      <c r="F31" s="1" t="str">
        <f>"经济学"</f>
        <v>经济学</v>
      </c>
      <c r="G31" s="1" t="str">
        <f>"启福家园小区5号楼2单元602"</f>
        <v>启福家园小区5号楼2单元602</v>
      </c>
      <c r="H31" s="1" t="str">
        <f t="shared" si="11"/>
        <v>无</v>
      </c>
      <c r="I31" s="1" t="str">
        <f>"2016年09月-2018年07月河南财经政法大学专科计算机网络技术
2018年09月-2020年02月在郑州待业
2020年03月-2022年07月河南财经政法大学本科经济学
2022年09月-至今在镇平县待业"</f>
        <v>2016年09月-2018年07月河南财经政法大学专科计算机网络技术
2018年09月-2020年02月在郑州待业
2020年03月-2022年07月河南财经政法大学本科经济学
2022年09月-至今在镇平县待业</v>
      </c>
    </row>
    <row r="32" spans="1:9">
      <c r="A32" s="1" t="str">
        <f>"411327200310101123"</f>
        <v>411327200310101123</v>
      </c>
      <c r="B32" s="1" t="str">
        <f t="shared" ref="B32:B38" si="14">"共青团员"</f>
        <v>共青团员</v>
      </c>
      <c r="C32" s="1" t="str">
        <f t="shared" si="10"/>
        <v>本科</v>
      </c>
      <c r="D32" s="1" t="str">
        <f>"20250630"</f>
        <v>20250630</v>
      </c>
      <c r="E32" s="1" t="str">
        <f>"湖北科技学院"</f>
        <v>湖北科技学院</v>
      </c>
      <c r="F32" s="1" t="str">
        <f>"汉语言文学"</f>
        <v>汉语言文学</v>
      </c>
      <c r="G32" s="1" t="str">
        <f>"河南省南阳市内乡县赤眉镇福山村"</f>
        <v>河南省南阳市内乡县赤眉镇福山村</v>
      </c>
      <c r="H32" s="1" t="str">
        <f t="shared" si="11"/>
        <v>无</v>
      </c>
      <c r="I32" s="1" t="str">
        <f>"202109-202506在湖北科技学院人文与传媒学院汉语言文学专业就读，是全日制学历"</f>
        <v>202109-202506在湖北科技学院人文与传媒学院汉语言文学专业就读，是全日制学历</v>
      </c>
    </row>
    <row r="33" spans="1:9">
      <c r="A33" s="1" t="str">
        <f>"411327200207233515"</f>
        <v>411327200207233515</v>
      </c>
      <c r="B33" s="1" t="str">
        <f t="shared" si="13"/>
        <v>群众</v>
      </c>
      <c r="C33" s="1" t="str">
        <f t="shared" si="10"/>
        <v>本科</v>
      </c>
      <c r="D33" s="1" t="str">
        <f>"20250601"</f>
        <v>20250601</v>
      </c>
      <c r="E33" s="1" t="str">
        <f>"郑州工商学院"</f>
        <v>郑州工商学院</v>
      </c>
      <c r="F33" s="1" t="str">
        <f>"网络工程"</f>
        <v>网络工程</v>
      </c>
      <c r="G33" s="1" t="str">
        <f>"河南省南阳市内乡县板场乡玉皇村"</f>
        <v>河南省南阳市内乡县板场乡玉皇村</v>
      </c>
      <c r="H33" s="1" t="str">
        <f t="shared" si="11"/>
        <v>无</v>
      </c>
      <c r="I33" s="1" t="str">
        <f>"20210901-20250601在郑州工商学院的网络工程专业就读，是全日制本科"</f>
        <v>20210901-20250601在郑州工商学院的网络工程专业就读，是全日制本科</v>
      </c>
    </row>
    <row r="34" spans="1:9">
      <c r="A34" s="1" t="str">
        <f>"362424200005065413"</f>
        <v>362424200005065413</v>
      </c>
      <c r="B34" s="1" t="str">
        <f t="shared" si="14"/>
        <v>共青团员</v>
      </c>
      <c r="C34" s="1" t="str">
        <f t="shared" si="10"/>
        <v>本科</v>
      </c>
      <c r="D34" s="1" t="str">
        <f>"20230628"</f>
        <v>20230628</v>
      </c>
      <c r="E34" s="1" t="str">
        <f>"黑龙江工程学院"</f>
        <v>黑龙江工程学院</v>
      </c>
      <c r="F34" s="1" t="str">
        <f>"智能科学与技术"</f>
        <v>智能科学与技术</v>
      </c>
      <c r="G34" s="1" t="str">
        <f>"江西吉安"</f>
        <v>江西吉安</v>
      </c>
      <c r="H34" s="1" t="str">
        <f t="shared" si="11"/>
        <v>无</v>
      </c>
      <c r="I34" s="1" t="str">
        <f>"20190901-20230628，于黑龙江工程学院就读于计算机科学与技术学院智能科学与技术专业；
20230628-至今，待业中。"</f>
        <v>20190901-20230628，于黑龙江工程学院就读于计算机科学与技术学院智能科学与技术专业；
20230628-至今，待业中。</v>
      </c>
    </row>
    <row r="35" spans="1:9">
      <c r="A35" s="1" t="str">
        <f>"41132720000919202X"</f>
        <v>41132720000919202X</v>
      </c>
      <c r="B35" s="1" t="str">
        <f t="shared" si="13"/>
        <v>群众</v>
      </c>
      <c r="C35" s="1" t="str">
        <f t="shared" si="10"/>
        <v>本科</v>
      </c>
      <c r="D35" s="1" t="str">
        <f>"2023-06-30"</f>
        <v>2023-06-30</v>
      </c>
      <c r="E35" s="1" t="str">
        <f>"郑州升达经贸管理学院"</f>
        <v>郑州升达经贸管理学院</v>
      </c>
      <c r="F35" s="1" t="str">
        <f>"汉语言文学"</f>
        <v>汉语言文学</v>
      </c>
      <c r="G35" s="1" t="str">
        <f>"河南省南阳市内乡县城关镇灵山南路50号4楼"</f>
        <v>河南省南阳市内乡县城关镇灵山南路50号4楼</v>
      </c>
      <c r="H35" s="1" t="str">
        <f t="shared" si="11"/>
        <v>无</v>
      </c>
      <c r="I35" s="1" t="str">
        <f>"2018.09-2021.06就读于洛阳理工学院人文与社会科学学院文秘专业
2021.09-2023.06就读于郑州升达经贸管理学院文法学院汉语言文学专业
2023年至今待业"</f>
        <v>2018.09-2021.06就读于洛阳理工学院人文与社会科学学院文秘专业
2021.09-2023.06就读于郑州升达经贸管理学院文法学院汉语言文学专业
2023年至今待业</v>
      </c>
    </row>
    <row r="36" spans="1:9">
      <c r="A36" s="1" t="str">
        <f>"411502200002099029"</f>
        <v>411502200002099029</v>
      </c>
      <c r="B36" s="1" t="str">
        <f t="shared" si="14"/>
        <v>共青团员</v>
      </c>
      <c r="C36" s="1" t="str">
        <f>"硕士研究生"</f>
        <v>硕士研究生</v>
      </c>
      <c r="D36" s="1" t="str">
        <f>"20250701"</f>
        <v>20250701</v>
      </c>
      <c r="E36" s="1" t="str">
        <f>"江西师范大学"</f>
        <v>江西师范大学</v>
      </c>
      <c r="F36" s="1" t="str">
        <f>"金融"</f>
        <v>金融</v>
      </c>
      <c r="G36" s="1" t="str">
        <f>"河南省信阳市浉河区五星路报晓新村27号楼"</f>
        <v>河南省信阳市浉河区五星路报晓新村27号楼</v>
      </c>
      <c r="H36" s="1" t="str">
        <f t="shared" si="11"/>
        <v>无</v>
      </c>
      <c r="I36" s="1" t="str">
        <f>"201809-202206 信阳师范学院商学院就读金融工程专业，全日制 ，本科；
202209-202506 江西师范大学经济与管理学院就读金融专业，全日制，研究生。"</f>
        <v>201809-202206 信阳师范学院商学院就读金融工程专业，全日制 ，本科；
202209-202506 江西师范大学经济与管理学院就读金融专业，全日制，研究生。</v>
      </c>
    </row>
    <row r="37" spans="1:9">
      <c r="A37" s="1" t="str">
        <f>"410621199902245528"</f>
        <v>410621199902245528</v>
      </c>
      <c r="B37" s="1" t="str">
        <f t="shared" si="14"/>
        <v>共青团员</v>
      </c>
      <c r="C37" s="1" t="str">
        <f t="shared" ref="C37:C42" si="15">"本科"</f>
        <v>本科</v>
      </c>
      <c r="D37" s="1" t="str">
        <f>"20210607"</f>
        <v>20210607</v>
      </c>
      <c r="E37" s="1" t="str">
        <f>"河南师范大学新联学院"</f>
        <v>河南师范大学新联学院</v>
      </c>
      <c r="F37" s="1" t="str">
        <f>"电子信息工程"</f>
        <v>电子信息工程</v>
      </c>
      <c r="G37" s="1" t="str">
        <f>"河南省南阳市内乡县城关镇南关南方都市小区"</f>
        <v>河南省南阳市内乡县城关镇南关南方都市小区</v>
      </c>
      <c r="H37" s="1" t="str">
        <f t="shared" si="11"/>
        <v>无</v>
      </c>
      <c r="I37" s="1" t="str">
        <f>"201709—202107  河南师范大学新联学院电子信息工程专业全日制"</f>
        <v>201709—202107  河南师范大学新联学院电子信息工程专业全日制</v>
      </c>
    </row>
    <row r="38" spans="1:9">
      <c r="A38" s="1" t="str">
        <f>"41132719990324153X"</f>
        <v>41132719990324153X</v>
      </c>
      <c r="B38" s="1" t="str">
        <f t="shared" si="14"/>
        <v>共青团员</v>
      </c>
      <c r="C38" s="1" t="str">
        <f t="shared" si="15"/>
        <v>本科</v>
      </c>
      <c r="D38" s="1" t="str">
        <f>"20220607"</f>
        <v>20220607</v>
      </c>
      <c r="E38" s="1" t="str">
        <f>"郑州财经学院"</f>
        <v>郑州财经学院</v>
      </c>
      <c r="F38" s="1" t="str">
        <f>"土木工程"</f>
        <v>土木工程</v>
      </c>
      <c r="G38" s="1" t="str">
        <f>"河南省南阳市内乡县湍东镇"</f>
        <v>河南省南阳市内乡县湍东镇</v>
      </c>
      <c r="H38" s="1" t="str">
        <f t="shared" si="11"/>
        <v>无</v>
      </c>
      <c r="I38" s="1" t="str">
        <f>"201809-202206 郑州财经学院就读 全日制本科"</f>
        <v>201809-202206 郑州财经学院就读 全日制本科</v>
      </c>
    </row>
    <row r="39" spans="1:9">
      <c r="A39" s="1" t="str">
        <f>"411330199808261573"</f>
        <v>411330199808261573</v>
      </c>
      <c r="B39" s="1" t="str">
        <f>"中共党员"</f>
        <v>中共党员</v>
      </c>
      <c r="C39" s="1" t="str">
        <f t="shared" si="15"/>
        <v>本科</v>
      </c>
      <c r="D39" s="1" t="str">
        <f t="shared" ref="D39:D44" si="16">"20220701"</f>
        <v>20220701</v>
      </c>
      <c r="E39" s="1" t="str">
        <f>"郑州升达经贸管理学院"</f>
        <v>郑州升达经贸管理学院</v>
      </c>
      <c r="F39" s="1" t="str">
        <f>"市场营销"</f>
        <v>市场营销</v>
      </c>
      <c r="G39" s="1" t="str">
        <f>"河南省南阳市西峡县北二环四小路口"</f>
        <v>河南省南阳市西峡县北二环四小路口</v>
      </c>
      <c r="H39" s="1" t="str">
        <f t="shared" si="11"/>
        <v>无</v>
      </c>
      <c r="I39" s="1" t="str">
        <f>"201709-202006 郑州科技学院工商管理学院市场营销专业就读（全日制）
202009-202207 郑州升达经贸管理学院商学院市场营销专业就读（全日制）
202207-202504 待业
202505-至今 就业于郑州百事饮料有限公司
"</f>
        <v>201709-202006 郑州科技学院工商管理学院市场营销专业就读（全日制）
202009-202207 郑州升达经贸管理学院商学院市场营销专业就读（全日制）
202207-202504 待业
202505-至今 就业于郑州百事饮料有限公司
</v>
      </c>
    </row>
    <row r="40" spans="1:9">
      <c r="A40" s="1" t="str">
        <f>"410185199003126511"</f>
        <v>410185199003126511</v>
      </c>
      <c r="B40" s="1" t="str">
        <f t="shared" ref="B40:B44" si="17">"共青团员"</f>
        <v>共青团员</v>
      </c>
      <c r="C40" s="1" t="str">
        <f t="shared" si="15"/>
        <v>本科</v>
      </c>
      <c r="D40" s="1" t="str">
        <f>"20160701"</f>
        <v>20160701</v>
      </c>
      <c r="E40" s="1" t="str">
        <f>"河南农业大学"</f>
        <v>河南农业大学</v>
      </c>
      <c r="F40" s="1" t="str">
        <f>"行政管理"</f>
        <v>行政管理</v>
      </c>
      <c r="G40" s="1" t="str">
        <f>"河南省郑州市登封市玉溪路14巷6号"</f>
        <v>河南省郑州市登封市玉溪路14巷6号</v>
      </c>
      <c r="H40" s="1" t="str">
        <f t="shared" si="11"/>
        <v>无</v>
      </c>
      <c r="I40" s="1" t="str">
        <f>"201209-201607 河南农业大学 文法学院 行政管理专业 就读，且是全日制本科学历。201607-202507 在郑州市待业。"</f>
        <v>201209-201607 河南农业大学 文法学院 行政管理专业 就读，且是全日制本科学历。201607-202507 在郑州市待业。</v>
      </c>
    </row>
    <row r="41" spans="1:9">
      <c r="A41" s="1" t="str">
        <f>"411324200203070529"</f>
        <v>411324200203070529</v>
      </c>
      <c r="B41" s="1" t="str">
        <f t="shared" si="17"/>
        <v>共青团员</v>
      </c>
      <c r="C41" s="1" t="str">
        <f t="shared" si="15"/>
        <v>本科</v>
      </c>
      <c r="D41" s="1" t="str">
        <f>"20250605"</f>
        <v>20250605</v>
      </c>
      <c r="E41" s="1" t="str">
        <f>"新乡工程学院"</f>
        <v>新乡工程学院</v>
      </c>
      <c r="F41" s="1" t="str">
        <f>"视觉传达设计"</f>
        <v>视觉传达设计</v>
      </c>
      <c r="G41" s="1" t="str">
        <f>"河南省南阳市镇平县涅阳路与菩提路交叉口东南角"</f>
        <v>河南省南阳市镇平县涅阳路与菩提路交叉口东南角</v>
      </c>
      <c r="H41" s="1" t="str">
        <f t="shared" si="11"/>
        <v>无</v>
      </c>
      <c r="I41" s="1" t="str">
        <f>"202010-202307 河南师范大学新联学院 艺术学院数字媒体艺术设计专业就读，全日制专科学历。
202309-202506 新乡工程学院 艺术学院 视觉传达设计专业就读，全日制本科学历。"</f>
        <v>202010-202307 河南师范大学新联学院 艺术学院数字媒体艺术设计专业就读，全日制专科学历。
202309-202506 新乡工程学院 艺术学院 视觉传达设计专业就读，全日制本科学历。</v>
      </c>
    </row>
    <row r="42" spans="1:9">
      <c r="A42" s="1" t="str">
        <f>"411327200211260057"</f>
        <v>411327200211260057</v>
      </c>
      <c r="B42" s="1" t="str">
        <f t="shared" ref="B42:B47" si="18">"群众"</f>
        <v>群众</v>
      </c>
      <c r="C42" s="1" t="str">
        <f t="shared" si="15"/>
        <v>本科</v>
      </c>
      <c r="D42" s="1" t="str">
        <f>"20250620"</f>
        <v>20250620</v>
      </c>
      <c r="E42" s="1" t="str">
        <f>"长春大学"</f>
        <v>长春大学</v>
      </c>
      <c r="F42" s="1" t="str">
        <f>"汉语言文学"</f>
        <v>汉语言文学</v>
      </c>
      <c r="G42" s="1" t="str">
        <f>"河南省南阳市内乡县城关镇渚阳大街413号"</f>
        <v>河南省南阳市内乡县城关镇渚阳大街413号</v>
      </c>
      <c r="H42" s="1" t="str">
        <f t="shared" si="11"/>
        <v>无</v>
      </c>
      <c r="I42" s="1" t="str">
        <f>"202009-202406 于长春大学文学院汉语言文学专业就读，全日制；
202406-202505  待业；
202505至今，于内乡县县委组织部公益岗工作"</f>
        <v>202009-202406 于长春大学文学院汉语言文学专业就读，全日制；
202406-202505  待业；
202505至今，于内乡县县委组织部公益岗工作</v>
      </c>
    </row>
    <row r="43" spans="1:9">
      <c r="A43" s="1" t="str">
        <f>"372323200104120617"</f>
        <v>372323200104120617</v>
      </c>
      <c r="B43" s="1" t="str">
        <f t="shared" si="17"/>
        <v>共青团员</v>
      </c>
      <c r="C43" s="1" t="str">
        <f t="shared" ref="C43:C47" si="19">"专科"</f>
        <v>专科</v>
      </c>
      <c r="D43" s="1" t="str">
        <f t="shared" si="16"/>
        <v>20220701</v>
      </c>
      <c r="E43" s="1" t="str">
        <f>"山东水利职业学院"</f>
        <v>山东水利职业学院</v>
      </c>
      <c r="F43" s="1" t="str">
        <f>"水利工程"</f>
        <v>水利工程</v>
      </c>
      <c r="G43" s="1" t="str">
        <f>"山东省滨州市阳信县温店镇丁庙村"</f>
        <v>山东省滨州市阳信县温店镇丁庙村</v>
      </c>
      <c r="H43" s="1" t="str">
        <f t="shared" si="11"/>
        <v>无</v>
      </c>
      <c r="I43" s="1" t="str">
        <f>"201909-202207山东水利职业学院水利工程系就读水利工程专业（全日制）
202207-202306吉化集团吉林市北方建设有限责任公司担任施工员
202306-202507在山东省滨州市温店镇阳信县待业"</f>
        <v>201909-202207山东水利职业学院水利工程系就读水利工程专业（全日制）
202207-202306吉化集团吉林市北方建设有限责任公司担任施工员
202306-202507在山东省滨州市温店镇阳信县待业</v>
      </c>
    </row>
    <row r="44" spans="1:9">
      <c r="A44" s="1" t="str">
        <f>"41132719991226010X"</f>
        <v>41132719991226010X</v>
      </c>
      <c r="B44" s="1" t="str">
        <f t="shared" si="17"/>
        <v>共青团员</v>
      </c>
      <c r="C44" s="1" t="str">
        <f t="shared" ref="C44:C50" si="20">"本科"</f>
        <v>本科</v>
      </c>
      <c r="D44" s="1" t="str">
        <f t="shared" si="16"/>
        <v>20220701</v>
      </c>
      <c r="E44" s="1" t="str">
        <f>"信阳师范学院"</f>
        <v>信阳师范学院</v>
      </c>
      <c r="F44" s="1" t="str">
        <f>"土木工程"</f>
        <v>土木工程</v>
      </c>
      <c r="G44" s="1" t="str">
        <f>"河南省南阳市内乡县城关镇公园南路1号"</f>
        <v>河南省南阳市内乡县城关镇公园南路1号</v>
      </c>
      <c r="H44" s="1" t="str">
        <f t="shared" si="11"/>
        <v>无</v>
      </c>
      <c r="I44" s="1" t="str">
        <f>"20180901-20220701 在信阳师范学院建筑与土木工程学院土木工程专业就读，是全日制本科
20220701-20230208在家待业
20230209-至今在内乡郦都学校工作"</f>
        <v>20180901-20220701 在信阳师范学院建筑与土木工程学院土木工程专业就读，是全日制本科
20220701-20230208在家待业
20230209-至今在内乡郦都学校工作</v>
      </c>
    </row>
    <row r="45" spans="1:9">
      <c r="A45" s="1" t="str">
        <f>"410423200005300010"</f>
        <v>410423200005300010</v>
      </c>
      <c r="B45" s="1" t="str">
        <f t="shared" si="18"/>
        <v>群众</v>
      </c>
      <c r="C45" s="1" t="str">
        <f t="shared" si="19"/>
        <v>专科</v>
      </c>
      <c r="D45" s="1" t="str">
        <f>"20230701"</f>
        <v>20230701</v>
      </c>
      <c r="E45" s="1" t="str">
        <f>"濮阳医学高等专科学校"</f>
        <v>濮阳医学高等专科学校</v>
      </c>
      <c r="F45" s="1" t="str">
        <f>"医疗器械维护与管理专业"</f>
        <v>医疗器械维护与管理专业</v>
      </c>
      <c r="G45" s="1" t="str">
        <f>"河南省平顶山市鲁山县"</f>
        <v>河南省平顶山市鲁山县</v>
      </c>
      <c r="H45" s="1" t="str">
        <f t="shared" si="11"/>
        <v>无</v>
      </c>
      <c r="I45" s="1" t="str">
        <f>"202009-202306濮阳医学高等专科学校医学技术学院医疗器械维护与管理专业就读，全日制"</f>
        <v>202009-202306濮阳医学高等专科学校医学技术学院医疗器械维护与管理专业就读，全日制</v>
      </c>
    </row>
    <row r="46" spans="1:9">
      <c r="A46" s="1" t="str">
        <f>"411322199610064988"</f>
        <v>411322199610064988</v>
      </c>
      <c r="B46" s="1" t="str">
        <f>"中共党员"</f>
        <v>中共党员</v>
      </c>
      <c r="C46" s="1" t="str">
        <f>"硕士研究生"</f>
        <v>硕士研究生</v>
      </c>
      <c r="D46" s="1" t="str">
        <f>"20210701"</f>
        <v>20210701</v>
      </c>
      <c r="E46" s="1" t="str">
        <f>"郑州大学"</f>
        <v>郑州大学</v>
      </c>
      <c r="F46" s="1" t="str">
        <f>"法律（法学）"</f>
        <v>法律（法学）</v>
      </c>
      <c r="G46" s="1" t="str">
        <f>"河南省南阳市卧龙区亚龙住宅"</f>
        <v>河南省南阳市卧龙区亚龙住宅</v>
      </c>
      <c r="H46" s="1" t="str">
        <f>"律师执业证"</f>
        <v>律师执业证</v>
      </c>
      <c r="I46" s="1" t="str">
        <f>"201509-201907  河南师范大学 法学院知识产权专业  就读  全日制学历
201909-202107  郑州大学  法学院法律（法学）专业  就读  全日制学历
202107-202301  北京市隆安（郑州）律师事务所实习律师  就业
202301-202405  在南阳待业
202405-至今  北京盈科（南阳）律师事务所执业律师  就业"</f>
        <v>201509-201907  河南师范大学 法学院知识产权专业  就读  全日制学历
201909-202107  郑州大学  法学院法律（法学）专业  就读  全日制学历
202107-202301  北京市隆安（郑州）律师事务所实习律师  就业
202301-202405  在南阳待业
202405-至今  北京盈科（南阳）律师事务所执业律师  就业</v>
      </c>
    </row>
    <row r="47" spans="1:9">
      <c r="A47" s="1" t="str">
        <f>"411324200310152212"</f>
        <v>411324200310152212</v>
      </c>
      <c r="B47" s="1" t="str">
        <f t="shared" si="18"/>
        <v>群众</v>
      </c>
      <c r="C47" s="1" t="str">
        <f t="shared" si="19"/>
        <v>专科</v>
      </c>
      <c r="D47" s="1" t="str">
        <f>"20240701"</f>
        <v>20240701</v>
      </c>
      <c r="E47" s="1" t="str">
        <f>"河南工业职业技术学院"</f>
        <v>河南工业职业技术学院</v>
      </c>
      <c r="F47" s="1" t="str">
        <f>"机电一体化"</f>
        <v>机电一体化</v>
      </c>
      <c r="G47" s="1" t="str">
        <f>"河南省镇平县石佛寺"</f>
        <v>河南省镇平县石佛寺</v>
      </c>
      <c r="H47" s="1" t="str">
        <f>"三级电工"</f>
        <v>三级电工</v>
      </c>
      <c r="I47" s="1" t="str">
        <f>"202109—202407河南工业职业技术学院自动化院系机电一体化专业就读，是全日制学历"</f>
        <v>202109—202407河南工业职业技术学院自动化院系机电一体化专业就读，是全日制学历</v>
      </c>
    </row>
    <row r="48" spans="1:9">
      <c r="A48" s="1" t="str">
        <f>"410703199809203019"</f>
        <v>410703199809203019</v>
      </c>
      <c r="B48" s="1" t="str">
        <f>"共青团员"</f>
        <v>共青团员</v>
      </c>
      <c r="C48" s="1" t="str">
        <f t="shared" si="20"/>
        <v>本科</v>
      </c>
      <c r="D48" s="1" t="str">
        <f>"20220701"</f>
        <v>20220701</v>
      </c>
      <c r="E48" s="1" t="str">
        <f>"安阳学院"</f>
        <v>安阳学院</v>
      </c>
      <c r="F48" s="1" t="str">
        <f>"城乡规划"</f>
        <v>城乡规划</v>
      </c>
      <c r="G48" s="1" t="str">
        <f>"河南省新乡市牧野区760厂家属院"</f>
        <v>河南省新乡市牧野区760厂家属院</v>
      </c>
      <c r="H48" s="1" t="str">
        <f t="shared" ref="H48:H52" si="21">"无"</f>
        <v>无</v>
      </c>
      <c r="I48" s="1" t="str">
        <f>"201309-201607新乡市第12中学高中
201609-201707新乡市冠英高级中学高中
201709-202007河南牧业经济学院太阳能光热技术与应用专科全日制
202009-202207阳学院城乡规划本科全日制
202207至今待业"</f>
        <v>201309-201607新乡市第12中学高中
201609-201707新乡市冠英高级中学高中
201709-202007河南牧业经济学院太阳能光热技术与应用专科全日制
202009-202207阳学院城乡规划本科全日制
202207至今待业</v>
      </c>
    </row>
    <row r="49" spans="1:9">
      <c r="A49" s="1" t="str">
        <f>"412826199909178107"</f>
        <v>412826199909178107</v>
      </c>
      <c r="B49" s="1" t="str">
        <f>"中共党员"</f>
        <v>中共党员</v>
      </c>
      <c r="C49" s="1" t="str">
        <f t="shared" si="20"/>
        <v>本科</v>
      </c>
      <c r="D49" s="1" t="str">
        <f>"20240607"</f>
        <v>20240607</v>
      </c>
      <c r="E49" s="1" t="str">
        <f>"南阳师范学院"</f>
        <v>南阳师范学院</v>
      </c>
      <c r="F49" s="1" t="str">
        <f>"教育学"</f>
        <v>教育学</v>
      </c>
      <c r="G49" s="1" t="str">
        <f>"河南省驻马店市汝南县留盆镇留盆403号"</f>
        <v>河南省驻马店市汝南县留盆镇留盆403号</v>
      </c>
      <c r="H49" s="1" t="str">
        <f>"20244115242005118"</f>
        <v>20244115242005118</v>
      </c>
      <c r="I49" s="1" t="str">
        <f>"2019.09-2022.06 漯河职业技术学院  许慎文化学院 语文教育 全日制
2022.09-2024.06 南阳师范学院   教育科学学院  教育学 本科 全日制
2024.06—  在家待业 "</f>
        <v>2019.09-2022.06 漯河职业技术学院  许慎文化学院 语文教育 全日制
2022.09-2024.06 南阳师范学院   教育科学学院  教育学 本科 全日制
2024.06—  在家待业 </v>
      </c>
    </row>
    <row r="50" spans="1:9">
      <c r="A50" s="1" t="str">
        <f>"542421199810260026"</f>
        <v>542421199810260026</v>
      </c>
      <c r="B50" s="1" t="str">
        <f t="shared" ref="B50:B55" si="22">"群众"</f>
        <v>群众</v>
      </c>
      <c r="C50" s="1" t="str">
        <f t="shared" si="20"/>
        <v>本科</v>
      </c>
      <c r="D50" s="1" t="str">
        <f>"20200701"</f>
        <v>20200701</v>
      </c>
      <c r="E50" s="1" t="str">
        <f>"西藏民族大学"</f>
        <v>西藏民族大学</v>
      </c>
      <c r="F50" s="1" t="str">
        <f>"法学"</f>
        <v>法学</v>
      </c>
      <c r="G50" s="1" t="str">
        <f>"河南省南阳市内乡县建业三期"</f>
        <v>河南省南阳市内乡县建业三期</v>
      </c>
      <c r="H50" s="1" t="str">
        <f t="shared" si="21"/>
        <v>无</v>
      </c>
      <c r="I50" s="1" t="str">
        <f>"20160901——20200701 西藏民族大学法学院法学系就读 全日制学历
20200701——至今 待业"</f>
        <v>20160901——20200701 西藏民族大学法学院法学系就读 全日制学历
20200701——至今 待业</v>
      </c>
    </row>
    <row r="51" spans="1:9">
      <c r="A51" s="1" t="str">
        <f>"410185199402170042"</f>
        <v>410185199402170042</v>
      </c>
      <c r="B51" s="1" t="str">
        <f t="shared" si="22"/>
        <v>群众</v>
      </c>
      <c r="C51" s="1" t="str">
        <f>"硕士研究生"</f>
        <v>硕士研究生</v>
      </c>
      <c r="D51" s="1" t="str">
        <f>"2024-06-01"</f>
        <v>2024-06-01</v>
      </c>
      <c r="E51" s="1" t="str">
        <f>"河南大学"</f>
        <v>河南大学</v>
      </c>
      <c r="F51" s="1" t="str">
        <f>"旅游管理"</f>
        <v>旅游管理</v>
      </c>
      <c r="G51" s="1" t="str">
        <f>"河南省郑州市登封市嵩阳中心新型社区15号楼1单元404"</f>
        <v>河南省郑州市登封市嵩阳中心新型社区15号楼1单元404</v>
      </c>
      <c r="H51" s="1" t="str">
        <f t="shared" si="21"/>
        <v>无</v>
      </c>
      <c r="I51" s="1" t="str">
        <f>"2012.9-2016.6      上海师范大学    文化与传播学院     档案学 
2016.6-2017.8      备考
2017.9-2019.6      上海外滩城投开发有限公司    招采专员
2019.7-2022.8      上海哈塔柴油机有限公司        网络运营专员
2022.9-2024.6      河南大学     文化旅游学院      旅游管理专业"</f>
        <v>2012.9-2016.6      上海师范大学    文化与传播学院     档案学 
2016.6-2017.8      备考
2017.9-2019.6      上海外滩城投开发有限公司    招采专员
2019.7-2022.8      上海哈塔柴油机有限公司        网络运营专员
2022.9-2024.6      河南大学     文化旅游学院      旅游管理专业</v>
      </c>
    </row>
    <row r="52" spans="1:9">
      <c r="A52" s="1" t="str">
        <f>"411327199411084275"</f>
        <v>411327199411084275</v>
      </c>
      <c r="B52" s="1" t="str">
        <f t="shared" si="22"/>
        <v>群众</v>
      </c>
      <c r="C52" s="1" t="str">
        <f t="shared" ref="C52:C60" si="23">"本科"</f>
        <v>本科</v>
      </c>
      <c r="D52" s="1" t="str">
        <f>"20190701"</f>
        <v>20190701</v>
      </c>
      <c r="E52" s="1" t="str">
        <f>"南阳理工学院"</f>
        <v>南阳理工学院</v>
      </c>
      <c r="F52" s="1" t="str">
        <f>"土木工程"</f>
        <v>土木工程</v>
      </c>
      <c r="G52" s="1" t="str">
        <f>"河南省南阳市内乡县马山口镇利民街"</f>
        <v>河南省南阳市内乡县马山口镇利民街</v>
      </c>
      <c r="H52" s="1" t="str">
        <f t="shared" si="21"/>
        <v>无</v>
      </c>
      <c r="I52" s="1" t="str">
        <f>"201409-201707在郑州信息科技职业学院建筑工程系建筑工程技术专业就读，是全日制学历：201709-201907在南阳理工学院土木工程系土木工程专业就读，是全日制学历；201907-202503在江西亚兴建设有限公司就业；202504-至今在南阳市内乡县待业"</f>
        <v>201409-201707在郑州信息科技职业学院建筑工程系建筑工程技术专业就读，是全日制学历：201709-201907在南阳理工学院土木工程系土木工程专业就读，是全日制学历；201907-202503在江西亚兴建设有限公司就业；202504-至今在南阳市内乡县待业</v>
      </c>
    </row>
    <row r="53" spans="1:9">
      <c r="A53" s="1" t="str">
        <f>"411381200109294531"</f>
        <v>411381200109294531</v>
      </c>
      <c r="B53" s="1" t="str">
        <f t="shared" si="22"/>
        <v>群众</v>
      </c>
      <c r="C53" s="1" t="str">
        <f>"专科"</f>
        <v>专科</v>
      </c>
      <c r="D53" s="1" t="str">
        <f>"20230701"</f>
        <v>20230701</v>
      </c>
      <c r="E53" s="1" t="str">
        <f>"濮阳医学专科学校"</f>
        <v>濮阳医学专科学校</v>
      </c>
      <c r="F53" s="1" t="str">
        <f>"康复治疗技术"</f>
        <v>康复治疗技术</v>
      </c>
      <c r="G53" s="1" t="str">
        <f>"河南省邓州市张村镇杨楼村杨楼183号"</f>
        <v>河南省邓州市张村镇杨楼村杨楼183号</v>
      </c>
      <c r="H53" s="1" t="str">
        <f>"康复治疗士"</f>
        <v>康复治疗士</v>
      </c>
      <c r="I53" s="1" t="str">
        <f>"202009-202307 濮阳医学专科学校就读，全日制。"</f>
        <v>202009-202307 濮阳医学专科学校就读，全日制。</v>
      </c>
    </row>
    <row r="54" spans="1:9">
      <c r="A54" s="1" t="str">
        <f>"340404199804230212"</f>
        <v>340404199804230212</v>
      </c>
      <c r="B54" s="1" t="str">
        <f t="shared" si="22"/>
        <v>群众</v>
      </c>
      <c r="C54" s="1" t="str">
        <f>"专科"</f>
        <v>专科</v>
      </c>
      <c r="D54" s="1" t="str">
        <f>"20190607"</f>
        <v>20190607</v>
      </c>
      <c r="E54" s="1" t="str">
        <f>"首钢工学院"</f>
        <v>首钢工学院</v>
      </c>
      <c r="F54" s="1" t="str">
        <f>"计算机网络技术"</f>
        <v>计算机网络技术</v>
      </c>
      <c r="G54" s="1" t="str">
        <f>"南阳市卧龙区卧龙路与雪枫路交叉口亚龙筑机家属院"</f>
        <v>南阳市卧龙区卧龙路与雪枫路交叉口亚龙筑机家属院</v>
      </c>
      <c r="H54" s="1" t="str">
        <f t="shared" ref="H54:H57" si="24">"无"</f>
        <v>无</v>
      </c>
      <c r="I54" s="1" t="str">
        <f>"201609-201906 首钢工学院计算机网络技术专业就读，全日制学历"</f>
        <v>201609-201906 首钢工学院计算机网络技术专业就读，全日制学历</v>
      </c>
    </row>
    <row r="55" spans="1:9">
      <c r="A55" s="1" t="str">
        <f>"411327199401062531"</f>
        <v>411327199401062531</v>
      </c>
      <c r="B55" s="1" t="str">
        <f t="shared" si="22"/>
        <v>群众</v>
      </c>
      <c r="C55" s="1" t="str">
        <f t="shared" si="23"/>
        <v>本科</v>
      </c>
      <c r="D55" s="1" t="str">
        <f>"20160615"</f>
        <v>20160615</v>
      </c>
      <c r="E55" s="1" t="str">
        <f>"河南科技学院新科学院"</f>
        <v>河南科技学院新科学院</v>
      </c>
      <c r="F55" s="1" t="str">
        <f>"机械设计制造及其自动化"</f>
        <v>机械设计制造及其自动化</v>
      </c>
      <c r="G55" s="1" t="str">
        <f>"河南省内乡县王店镇"</f>
        <v>河南省内乡县王店镇</v>
      </c>
      <c r="H55" s="1" t="str">
        <f t="shared" si="24"/>
        <v>无</v>
      </c>
      <c r="I55" s="1" t="str">
        <f>"201209-201606 河南科技学院新科学院 机制工程系 机械设计制造及其自动化 就读 是全日制学历
201606-201608 河南省内乡县王店镇待业
201608-202211 河南省牧原食品股份有限公司 建设负责人
202211-至今 河南省内乡县赤眉镇今生金画室 教务管理"</f>
        <v>201209-201606 河南科技学院新科学院 机制工程系 机械设计制造及其自动化 就读 是全日制学历
201606-201608 河南省内乡县王店镇待业
201608-202211 河南省牧原食品股份有限公司 建设负责人
202211-至今 河南省内乡县赤眉镇今生金画室 教务管理</v>
      </c>
    </row>
    <row r="56" spans="1:9">
      <c r="A56" s="1" t="str">
        <f>"411327199911250639"</f>
        <v>411327199911250639</v>
      </c>
      <c r="B56" s="1" t="str">
        <f t="shared" ref="B56:B62" si="25">"共青团员"</f>
        <v>共青团员</v>
      </c>
      <c r="C56" s="1" t="str">
        <f t="shared" si="23"/>
        <v>本科</v>
      </c>
      <c r="D56" s="1" t="str">
        <f>"20220601"</f>
        <v>20220601</v>
      </c>
      <c r="E56" s="1" t="str">
        <f>"许昌学院"</f>
        <v>许昌学院</v>
      </c>
      <c r="F56" s="1" t="str">
        <f>"财务管理"</f>
        <v>财务管理</v>
      </c>
      <c r="G56" s="1" t="str">
        <f>"河南省南阳市内乡县万事达小区9栋302"</f>
        <v>河南省南阳市内乡县万事达小区9栋302</v>
      </c>
      <c r="H56" s="1" t="str">
        <f t="shared" si="24"/>
        <v>无</v>
      </c>
      <c r="I56" s="1" t="str">
        <f>"201809-202206 许昌学院 商学院 财务管理专业 是全日制学历"</f>
        <v>201809-202206 许昌学院 商学院 财务管理专业 是全日制学历</v>
      </c>
    </row>
    <row r="57" spans="1:9">
      <c r="A57" s="1" t="str">
        <f>"411327200003231120"</f>
        <v>411327200003231120</v>
      </c>
      <c r="B57" s="1" t="str">
        <f t="shared" si="25"/>
        <v>共青团员</v>
      </c>
      <c r="C57" s="1" t="str">
        <f t="shared" si="23"/>
        <v>本科</v>
      </c>
      <c r="D57" s="1" t="str">
        <f>"20220701"</f>
        <v>20220701</v>
      </c>
      <c r="E57" s="1" t="str">
        <f>"南阳师范学院"</f>
        <v>南阳师范学院</v>
      </c>
      <c r="F57" s="1" t="str">
        <f>"汉语言文学"</f>
        <v>汉语言文学</v>
      </c>
      <c r="G57" s="1" t="str">
        <f>"河南省南阳市内乡县赤眉"</f>
        <v>河南省南阳市内乡县赤眉</v>
      </c>
      <c r="H57" s="1" t="str">
        <f t="shared" si="24"/>
        <v>无</v>
      </c>
      <c r="I57" s="1" t="str">
        <f>"201809—202207 南阳师范学院就读（文学院汉语言文学专业，全日制学历）
202208—202301 元培实验高级中学教书
202302—202507 豫阳外国语学校教书"</f>
        <v>201809—202207 南阳师范学院就读（文学院汉语言文学专业，全日制学历）
202208—202301 元培实验高级中学教书
202302—202507 豫阳外国语学校教书</v>
      </c>
    </row>
    <row r="58" spans="1:9">
      <c r="A58" s="1" t="str">
        <f>"411327200110110025"</f>
        <v>411327200110110025</v>
      </c>
      <c r="B58" s="1" t="str">
        <f t="shared" ref="B58:B60" si="26">"群众"</f>
        <v>群众</v>
      </c>
      <c r="C58" s="1" t="str">
        <f t="shared" si="23"/>
        <v>本科</v>
      </c>
      <c r="D58" s="1" t="str">
        <f>"2023-07-01"</f>
        <v>2023-07-01</v>
      </c>
      <c r="E58" s="1" t="str">
        <f>"郑州科技学院"</f>
        <v>郑州科技学院</v>
      </c>
      <c r="F58" s="1" t="str">
        <f>"视觉传达设计"</f>
        <v>视觉传达设计</v>
      </c>
      <c r="G58" s="1" t="str">
        <f>"南阳内乡北关三里桥"</f>
        <v>南阳内乡北关三里桥</v>
      </c>
      <c r="H58" s="1" t="str">
        <f>"初级工艺员"</f>
        <v>初级工艺员</v>
      </c>
      <c r="I58" s="1" t="str">
        <f>"2019.9.1-2023.7.1在郑州科技学院艺术学院视觉传达设计专业就读，全日制本科"</f>
        <v>2019.9.1-2023.7.1在郑州科技学院艺术学院视觉传达设计专业就读，全日制本科</v>
      </c>
    </row>
    <row r="59" spans="1:9">
      <c r="A59" s="1" t="str">
        <f>"411325199608112513"</f>
        <v>411325199608112513</v>
      </c>
      <c r="B59" s="1" t="str">
        <f t="shared" si="26"/>
        <v>群众</v>
      </c>
      <c r="C59" s="1" t="str">
        <f t="shared" si="23"/>
        <v>本科</v>
      </c>
      <c r="D59" s="1" t="str">
        <f>"20200730"</f>
        <v>20200730</v>
      </c>
      <c r="E59" s="1" t="str">
        <f>"郑州升达经贸管理学院"</f>
        <v>郑州升达经贸管理学院</v>
      </c>
      <c r="F59" s="1" t="str">
        <f>"人力资源管理"</f>
        <v>人力资源管理</v>
      </c>
      <c r="G59" s="1" t="str">
        <f>"河南省内乡县王店镇堰张村王楼南406号"</f>
        <v>河南省内乡县王店镇堰张村王楼南406号</v>
      </c>
      <c r="H59" s="1" t="str">
        <f>"人力资源三级证书  计算机二级证书"</f>
        <v>人力资源三级证书  计算机二级证书</v>
      </c>
      <c r="I59" s="1" t="str">
        <f>"201609-202007  郑州升达经贸管理学院     人力资源管理    全日制
202008-202209   牧原食品股份有限公司     人力资源岗
202211-202412    想念食品股份有限公司     人力资源岗
202501-至今         内乡县待业"</f>
        <v>201609-202007  郑州升达经贸管理学院     人力资源管理    全日制
202008-202209   牧原食品股份有限公司     人力资源岗
202211-202412    想念食品股份有限公司     人力资源岗
202501-至今         内乡县待业</v>
      </c>
    </row>
    <row r="60" spans="1:9">
      <c r="A60" s="1" t="str">
        <f>"520221199606081139"</f>
        <v>520221199606081139</v>
      </c>
      <c r="B60" s="1" t="str">
        <f t="shared" si="26"/>
        <v>群众</v>
      </c>
      <c r="C60" s="1" t="str">
        <f t="shared" si="23"/>
        <v>本科</v>
      </c>
      <c r="D60" s="1" t="str">
        <f>"2021-06-02"</f>
        <v>2021-06-02</v>
      </c>
      <c r="E60" s="1" t="str">
        <f>"温州医科大学仁济学院"</f>
        <v>温州医科大学仁济学院</v>
      </c>
      <c r="F60" s="1" t="str">
        <f>"生物医学工程"</f>
        <v>生物医学工程</v>
      </c>
      <c r="G60" s="1" t="str">
        <f>"贵州省六盘水"</f>
        <v>贵州省六盘水</v>
      </c>
      <c r="H60" s="1" t="str">
        <f t="shared" ref="H60:H68" si="27">"无"</f>
        <v>无</v>
      </c>
      <c r="I60" s="1" t="str">
        <f>"201709-202106温州医科大学仁济学院"</f>
        <v>201709-202106温州医科大学仁济学院</v>
      </c>
    </row>
    <row r="61" spans="1:9">
      <c r="A61" s="1" t="str">
        <f>"411329200302210023"</f>
        <v>411329200302210023</v>
      </c>
      <c r="B61" s="1" t="str">
        <f t="shared" si="25"/>
        <v>共青团员</v>
      </c>
      <c r="C61" s="1" t="str">
        <f>"专科"</f>
        <v>专科</v>
      </c>
      <c r="D61" s="1" t="str">
        <f>"20250630"</f>
        <v>20250630</v>
      </c>
      <c r="E61" s="1" t="str">
        <f>"抚顺师范高等专科学校"</f>
        <v>抚顺师范高等专科学校</v>
      </c>
      <c r="F61" s="1" t="str">
        <f>"小学语文教育"</f>
        <v>小学语文教育</v>
      </c>
      <c r="G61" s="1" t="str">
        <f>"河南省南阳市社旗县赊店镇老街12号"</f>
        <v>河南省南阳市社旗县赊店镇老街12号</v>
      </c>
      <c r="H61" s="1" t="str">
        <f t="shared" si="27"/>
        <v>无</v>
      </c>
      <c r="I61" s="1" t="str">
        <f>"20022-202507抚顺师范高等专科学校就读，就读于初等教育系小学语文教育专业。是全日制学历。"</f>
        <v>20022-202507抚顺师范高等专科学校就读，就读于初等教育系小学语文教育专业。是全日制学历。</v>
      </c>
    </row>
    <row r="62" spans="1:9">
      <c r="A62" s="1" t="str">
        <f>"342422199706271699"</f>
        <v>342422199706271699</v>
      </c>
      <c r="B62" s="1" t="str">
        <f t="shared" si="25"/>
        <v>共青团员</v>
      </c>
      <c r="C62" s="1" t="str">
        <f t="shared" ref="C62:C67" si="28">"本科"</f>
        <v>本科</v>
      </c>
      <c r="D62" s="1" t="str">
        <f>"20200623"</f>
        <v>20200623</v>
      </c>
      <c r="E62" s="1" t="str">
        <f>"辽宁科技大学"</f>
        <v>辽宁科技大学</v>
      </c>
      <c r="F62" s="1" t="str">
        <f>"旅游管理"</f>
        <v>旅游管理</v>
      </c>
      <c r="G62" s="1" t="str">
        <f>"安徽省淮南市寿县教育局家属区1栋1单元102室"</f>
        <v>安徽省淮南市寿县教育局家属区1栋1单元102室</v>
      </c>
      <c r="H62" s="1" t="str">
        <f t="shared" si="27"/>
        <v>无</v>
      </c>
      <c r="I62" s="1" t="str">
        <f>"2015.9-2018.7 辽宁交通高等专科学校 道路与桥梁工程系 城市轨道交通工程技术专业 学生（全日制专科）
2018.9-2020.6 辽宁科技大学 应用技术学院 旅游管理专业 学生（全日制本科）
2020.6-至今 无工作"</f>
        <v>2015.9-2018.7 辽宁交通高等专科学校 道路与桥梁工程系 城市轨道交通工程技术专业 学生（全日制专科）
2018.9-2020.6 辽宁科技大学 应用技术学院 旅游管理专业 学生（全日制本科）
2020.6-至今 无工作</v>
      </c>
    </row>
    <row r="63" spans="1:9">
      <c r="A63" s="1" t="str">
        <f>"411327200206224211"</f>
        <v>411327200206224211</v>
      </c>
      <c r="B63" s="1" t="str">
        <f t="shared" ref="B63:B66" si="29">"群众"</f>
        <v>群众</v>
      </c>
      <c r="C63" s="1" t="str">
        <f t="shared" si="28"/>
        <v>本科</v>
      </c>
      <c r="D63" s="1" t="str">
        <f>"20250615"</f>
        <v>20250615</v>
      </c>
      <c r="E63" s="1" t="str">
        <f>"郑州财经学院"</f>
        <v>郑州财经学院</v>
      </c>
      <c r="F63" s="1" t="str">
        <f>"大数据管理与应用"</f>
        <v>大数据管理与应用</v>
      </c>
      <c r="G63" s="1" t="str">
        <f>"河南省南阳市内乡县"</f>
        <v>河南省南阳市内乡县</v>
      </c>
      <c r="H63" s="1" t="str">
        <f t="shared" si="27"/>
        <v>无</v>
      </c>
      <c r="I63" s="1" t="str">
        <f>"本科	202109-202506  郑州财经学院统计与大数据学院大数据管理与应用专业就读     全日制"</f>
        <v>本科	202109-202506  郑州财经学院统计与大数据学院大数据管理与应用专业就读     全日制</v>
      </c>
    </row>
    <row r="64" spans="1:9">
      <c r="A64" s="1" t="str">
        <f>"411302200212160173"</f>
        <v>411302200212160173</v>
      </c>
      <c r="B64" s="1" t="str">
        <f t="shared" ref="B64:B69" si="30">"共青团员"</f>
        <v>共青团员</v>
      </c>
      <c r="C64" s="1" t="str">
        <f t="shared" si="28"/>
        <v>本科</v>
      </c>
      <c r="D64" s="1" t="str">
        <f>"2025-06-15"</f>
        <v>2025-06-15</v>
      </c>
      <c r="E64" s="1" t="str">
        <f>"河南理工大学"</f>
        <v>河南理工大学</v>
      </c>
      <c r="F64" s="1" t="str">
        <f>"城乡规划"</f>
        <v>城乡规划</v>
      </c>
      <c r="G64" s="1" t="str">
        <f>"河南省南阳市宛城区兵工新城"</f>
        <v>河南省南阳市宛城区兵工新城</v>
      </c>
      <c r="H64" s="1" t="str">
        <f t="shared" si="27"/>
        <v>无</v>
      </c>
      <c r="I64" s="1" t="str">
        <f>"202009-202506 河南理工大学建筑与艺术设计学院城乡规划专业就读，为全日制本科学历
202506-至今 在河南省南阳市家里待业"</f>
        <v>202009-202506 河南理工大学建筑与艺术设计学院城乡规划专业就读，为全日制本科学历
202506-至今 在河南省南阳市家里待业</v>
      </c>
    </row>
    <row r="65" spans="1:9">
      <c r="A65" s="1" t="str">
        <f>"411322200007302035"</f>
        <v>411322200007302035</v>
      </c>
      <c r="B65" s="1" t="str">
        <f t="shared" si="29"/>
        <v>群众</v>
      </c>
      <c r="C65" s="1" t="str">
        <f t="shared" si="28"/>
        <v>本科</v>
      </c>
      <c r="D65" s="1" t="str">
        <f>"20220630"</f>
        <v>20220630</v>
      </c>
      <c r="E65" s="1" t="str">
        <f>"南阳师范学院"</f>
        <v>南阳师范学院</v>
      </c>
      <c r="F65" s="1" t="str">
        <f>"软件工程（数据库技术与应用方向）"</f>
        <v>软件工程（数据库技术与应用方向）</v>
      </c>
      <c r="G65" s="1" t="str">
        <f>"河南省南阳市南召县皇路店镇"</f>
        <v>河南省南阳市南召县皇路店镇</v>
      </c>
      <c r="H65" s="1" t="str">
        <f t="shared" si="27"/>
        <v>无</v>
      </c>
      <c r="I65" s="1" t="str">
        <f>"201809-202206南阳师范学院 计算机科学与技术学院 软件工程（数据库技术与应用方向）就读，是全日制学历。"</f>
        <v>201809-202206南阳师范学院 计算机科学与技术学院 软件工程（数据库技术与应用方向）就读，是全日制学历。</v>
      </c>
    </row>
    <row r="66" spans="1:9">
      <c r="A66" s="1" t="str">
        <f>"23232619911021353X"</f>
        <v>23232619911021353X</v>
      </c>
      <c r="B66" s="1" t="str">
        <f t="shared" si="29"/>
        <v>群众</v>
      </c>
      <c r="C66" s="1" t="str">
        <f t="shared" si="28"/>
        <v>本科</v>
      </c>
      <c r="D66" s="1" t="str">
        <f>"20140703"</f>
        <v>20140703</v>
      </c>
      <c r="E66" s="1" t="str">
        <f>"黑龙江工程学院"</f>
        <v>黑龙江工程学院</v>
      </c>
      <c r="F66" s="1" t="str">
        <f>"土木工程"</f>
        <v>土木工程</v>
      </c>
      <c r="G66" s="1" t="str">
        <f>"黑龙江省哈尔滨市道外区平湖小区5-7-804"</f>
        <v>黑龙江省哈尔滨市道外区平湖小区5-7-804</v>
      </c>
      <c r="H66" s="1" t="str">
        <f t="shared" si="27"/>
        <v>无</v>
      </c>
      <c r="I66" s="1" t="str">
        <f>"201008-201407 黑龙江工程学院土木与建筑工程学院土木工程专业就读；201407-201504 中铁十九局集团第一工程有限公司职员；201504-201712 兼职地推促销；201712-201904 黑龙江庆督工程监理有限公司职员；201904-202507 兼职零工"</f>
        <v>201008-201407 黑龙江工程学院土木与建筑工程学院土木工程专业就读；201407-201504 中铁十九局集团第一工程有限公司职员；201504-201712 兼职地推促销；201712-201904 黑龙江庆督工程监理有限公司职员；201904-202507 兼职零工</v>
      </c>
    </row>
    <row r="67" spans="1:9">
      <c r="A67" s="1" t="str">
        <f>"411302200212050126"</f>
        <v>411302200212050126</v>
      </c>
      <c r="B67" s="1" t="str">
        <f t="shared" si="30"/>
        <v>共青团员</v>
      </c>
      <c r="C67" s="1" t="str">
        <f t="shared" si="28"/>
        <v>本科</v>
      </c>
      <c r="D67" s="1" t="str">
        <f>"20240607"</f>
        <v>20240607</v>
      </c>
      <c r="E67" s="1" t="str">
        <f>"渤海大学"</f>
        <v>渤海大学</v>
      </c>
      <c r="F67" s="1" t="str">
        <f>"思想政治教育（师范）"</f>
        <v>思想政治教育（师范）</v>
      </c>
      <c r="G67" s="1" t="str">
        <f>"河南省南阳市卧龙区杜诗路建业公园里"</f>
        <v>河南省南阳市卧龙区杜诗路建业公园里</v>
      </c>
      <c r="H67" s="1" t="str">
        <f t="shared" si="27"/>
        <v>无</v>
      </c>
      <c r="I67" s="1" t="str">
        <f>"202009-202406 渤海大学 马克思主义学院 思想政治教育（师范）专业就读，全日制学历"</f>
        <v>202009-202406 渤海大学 马克思主义学院 思想政治教育（师范）专业就读，全日制学历</v>
      </c>
    </row>
    <row r="68" spans="1:9">
      <c r="A68" s="1" t="str">
        <f>"411327199911024519"</f>
        <v>411327199911024519</v>
      </c>
      <c r="B68" s="1" t="str">
        <f>"中共党员"</f>
        <v>中共党员</v>
      </c>
      <c r="C68" s="1" t="str">
        <f>"硕士研究生"</f>
        <v>硕士研究生</v>
      </c>
      <c r="D68" s="1" t="str">
        <f>"20240620"</f>
        <v>20240620</v>
      </c>
      <c r="E68" s="1" t="str">
        <f>"河南农业大学"</f>
        <v>河南农业大学</v>
      </c>
      <c r="F68" s="1" t="str">
        <f>"作物学"</f>
        <v>作物学</v>
      </c>
      <c r="G68" s="1" t="str">
        <f>"河南省南阳市内乡县赵店乡"</f>
        <v>河南省南阳市内乡县赵店乡</v>
      </c>
      <c r="H68" s="1" t="str">
        <f t="shared" si="27"/>
        <v>无</v>
      </c>
      <c r="I68" s="1" t="str">
        <f>"201709-202106 河南科技大学就读
202109-202406 河南农业大学就读
202406至今 自由职业"</f>
        <v>201709-202106 河南科技大学就读
202109-202406 河南农业大学就读
202406至今 自由职业</v>
      </c>
    </row>
    <row r="69" spans="1:9">
      <c r="A69" s="1" t="str">
        <f>"411330200302160041"</f>
        <v>411330200302160041</v>
      </c>
      <c r="B69" s="1" t="str">
        <f t="shared" si="30"/>
        <v>共青团员</v>
      </c>
      <c r="C69" s="1" t="str">
        <f t="shared" ref="C69:C76" si="31">"本科"</f>
        <v>本科</v>
      </c>
      <c r="D69" s="1" t="str">
        <f>"20250701"</f>
        <v>20250701</v>
      </c>
      <c r="E69" s="1" t="str">
        <f>"南阳理工学院"</f>
        <v>南阳理工学院</v>
      </c>
      <c r="F69" s="1" t="str">
        <f>"日语"</f>
        <v>日语</v>
      </c>
      <c r="G69" s="1" t="str">
        <f>"西峡县汽配城B区"</f>
        <v>西峡县汽配城B区</v>
      </c>
      <c r="H69" s="1" t="str">
        <f>"日语二级"</f>
        <v>日语二级</v>
      </c>
      <c r="I69" s="1" t="str">
        <f>"202109-202507南阳理工学院外国语学院日语专业就读"</f>
        <v>202109-202507南阳理工学院外国语学院日语专业就读</v>
      </c>
    </row>
    <row r="70" spans="1:9">
      <c r="A70" s="1" t="str">
        <f>"41032420020510033X"</f>
        <v>41032420020510033X</v>
      </c>
      <c r="B70" s="1" t="str">
        <f t="shared" ref="B70:B72" si="32">"群众"</f>
        <v>群众</v>
      </c>
      <c r="C70" s="1" t="str">
        <f t="shared" si="31"/>
        <v>本科</v>
      </c>
      <c r="D70" s="1" t="str">
        <f>"20240701"</f>
        <v>20240701</v>
      </c>
      <c r="E70" s="1" t="str">
        <f>"郑州工业应用技术学院"</f>
        <v>郑州工业应用技术学院</v>
      </c>
      <c r="F70" s="1" t="str">
        <f>"土木工程"</f>
        <v>土木工程</v>
      </c>
      <c r="G70" s="1" t="str">
        <f>"13592068669"</f>
        <v>13592068669</v>
      </c>
      <c r="H70" s="1" t="str">
        <f>"二级建造师"</f>
        <v>二级建造师</v>
      </c>
      <c r="I70" s="1" t="str">
        <f>"202009-202407 郑州工业应用技术学院土木工程专业就读"</f>
        <v>202009-202407 郑州工业应用技术学院土木工程专业就读</v>
      </c>
    </row>
    <row r="71" spans="1:9">
      <c r="A71" s="1" t="str">
        <f>"411327199707162519"</f>
        <v>411327199707162519</v>
      </c>
      <c r="B71" s="1" t="str">
        <f t="shared" si="32"/>
        <v>群众</v>
      </c>
      <c r="C71" s="1" t="str">
        <f>"专科"</f>
        <v>专科</v>
      </c>
      <c r="D71" s="1" t="str">
        <f>"20190701"</f>
        <v>20190701</v>
      </c>
      <c r="E71" s="1" t="str">
        <f>"河南财政金融学院"</f>
        <v>河南财政金融学院</v>
      </c>
      <c r="F71" s="1" t="str">
        <f>"语文教育"</f>
        <v>语文教育</v>
      </c>
      <c r="G71" s="1" t="str">
        <f>"河南省内乡县菊韵花苑"</f>
        <v>河南省内乡县菊韵花苑</v>
      </c>
      <c r="H71" s="1" t="str">
        <f t="shared" ref="H71:H89" si="33">"无"</f>
        <v>无</v>
      </c>
      <c r="I71" s="1" t="str">
        <f>"201409-201507在河南财政金融学院就读语文教育专业
201509-201709在部队服役
201709-201907在河南财政金融学院就读语文教育专业
"</f>
        <v>201409-201507在河南财政金融学院就读语文教育专业
201509-201709在部队服役
201709-201907在河南财政金融学院就读语文教育专业
</v>
      </c>
    </row>
    <row r="72" spans="1:9">
      <c r="A72" s="1" t="str">
        <f>"411521199912126042"</f>
        <v>411521199912126042</v>
      </c>
      <c r="B72" s="1" t="str">
        <f t="shared" si="32"/>
        <v>群众</v>
      </c>
      <c r="C72" s="1" t="str">
        <f>"专科"</f>
        <v>专科</v>
      </c>
      <c r="D72" s="1" t="str">
        <f>"20210630"</f>
        <v>20210630</v>
      </c>
      <c r="E72" s="1" t="str">
        <f>"武汉工程职业技术学院"</f>
        <v>武汉工程职业技术学院</v>
      </c>
      <c r="F72" s="1" t="str">
        <f>"会计"</f>
        <v>会计</v>
      </c>
      <c r="G72" s="1" t="str">
        <f>"河南省信阳市罗山县天龙市场"</f>
        <v>河南省信阳市罗山县天龙市场</v>
      </c>
      <c r="H72" s="1" t="str">
        <f t="shared" si="33"/>
        <v>无</v>
      </c>
      <c r="I72" s="1" t="str">
        <f>"201809-202106 武汉工程职业技术学院  学生   全日制
202107-202203武汉优学教育  教师
202309-202406罗山县科工信局  文秘
202410-202507罗山县龙山街道财政所  会计"</f>
        <v>201809-202106 武汉工程职业技术学院  学生   全日制
202107-202203武汉优学教育  教师
202309-202406罗山县科工信局  文秘
202410-202507罗山县龙山街道财政所  会计</v>
      </c>
    </row>
    <row r="73" spans="1:9">
      <c r="A73" s="1" t="str">
        <f>"411330200001161526"</f>
        <v>411330200001161526</v>
      </c>
      <c r="B73" s="1" t="str">
        <f>"中共预备党员"</f>
        <v>中共预备党员</v>
      </c>
      <c r="C73" s="1" t="str">
        <f t="shared" si="31"/>
        <v>本科</v>
      </c>
      <c r="D73" s="1" t="str">
        <f>"2023-07-01"</f>
        <v>2023-07-01</v>
      </c>
      <c r="E73" s="1" t="str">
        <f>"洛阳理工学院"</f>
        <v>洛阳理工学院</v>
      </c>
      <c r="F73" s="1" t="str">
        <f>"财务管理"</f>
        <v>财务管理</v>
      </c>
      <c r="G73" s="1" t="str">
        <f>"南阳市西峡县"</f>
        <v>南阳市西峡县</v>
      </c>
      <c r="H73" s="1" t="str">
        <f>"初级会计证"</f>
        <v>初级会计证</v>
      </c>
      <c r="I73" s="1" t="str">
        <f>"2015年9月一2018年7月，在西峡县第一高级中学就读；
2018年9月一2021年7月，在河南工业大学读专科；
2021年9月一2023年7月，在洛阳理工学院就读本科；"</f>
        <v>2015年9月一2018年7月，在西峡县第一高级中学就读；
2018年9月一2021年7月，在河南工业大学读专科；
2021年9月一2023年7月，在洛阳理工学院就读本科；</v>
      </c>
    </row>
    <row r="74" spans="1:9">
      <c r="A74" s="1" t="str">
        <f>"411303200104026328"</f>
        <v>411303200104026328</v>
      </c>
      <c r="B74" s="1" t="str">
        <f t="shared" ref="B74:B78" si="34">"共青团员"</f>
        <v>共青团员</v>
      </c>
      <c r="C74" s="1" t="str">
        <f t="shared" si="31"/>
        <v>本科</v>
      </c>
      <c r="D74" s="1" t="str">
        <f>"20220701"</f>
        <v>20220701</v>
      </c>
      <c r="E74" s="1" t="str">
        <f>"南阳师范学院"</f>
        <v>南阳师范学院</v>
      </c>
      <c r="F74" s="1" t="str">
        <f>"数字媒体艺术"</f>
        <v>数字媒体艺术</v>
      </c>
      <c r="G74" s="1" t="str">
        <f>"河南省南阳市红庙路606号"</f>
        <v>河南省南阳市红庙路606号</v>
      </c>
      <c r="H74" s="1" t="str">
        <f t="shared" si="33"/>
        <v>无</v>
      </c>
      <c r="I74" s="1" t="str">
        <f>"201809-202207 南阳师范学院美术与设计学院数字媒体艺术专业就读 是全日制学历
202207-至今在南阳待业"</f>
        <v>201809-202207 南阳师范学院美术与设计学院数字媒体艺术专业就读 是全日制学历
202207-至今在南阳待业</v>
      </c>
    </row>
    <row r="75" spans="1:9">
      <c r="A75" s="1" t="str">
        <f>"421122200101261023"</f>
        <v>421122200101261023</v>
      </c>
      <c r="B75" s="1" t="str">
        <f t="shared" si="34"/>
        <v>共青团员</v>
      </c>
      <c r="C75" s="1" t="str">
        <f t="shared" si="31"/>
        <v>本科</v>
      </c>
      <c r="D75" s="1" t="str">
        <f t="shared" ref="D75:D77" si="35">"20230701"</f>
        <v>20230701</v>
      </c>
      <c r="E75" s="1" t="str">
        <f>"山西传媒学院"</f>
        <v>山西传媒学院</v>
      </c>
      <c r="F75" s="1" t="str">
        <f>"文化产业管理"</f>
        <v>文化产业管理</v>
      </c>
      <c r="G75" s="1" t="str">
        <f>"湖北省黄冈市红安县五丰岗社区建安小区"</f>
        <v>湖北省黄冈市红安县五丰岗社区建安小区</v>
      </c>
      <c r="H75" s="1" t="str">
        <f t="shared" si="33"/>
        <v>无</v>
      </c>
      <c r="I75" s="1" t="str">
        <f>"2019.09.01-2023.07.01在山西传媒学院文化创意与管理学院文化产业管理专业就读，是全日制学历。
2023.07.01-2024.03.10，待业
2024.03.11-2024.09.30，在行吟信息科技有限公司从事审核工作
2024.10.1至今，待业"</f>
        <v>2019.09.01-2023.07.01在山西传媒学院文化创意与管理学院文化产业管理专业就读，是全日制学历。
2023.07.01-2024.03.10，待业
2024.03.11-2024.09.30，在行吟信息科技有限公司从事审核工作
2024.10.1至今，待业</v>
      </c>
    </row>
    <row r="76" spans="1:9">
      <c r="A76" s="1" t="str">
        <f>"411326200108101123"</f>
        <v>411326200108101123</v>
      </c>
      <c r="B76" s="1" t="str">
        <f t="shared" si="34"/>
        <v>共青团员</v>
      </c>
      <c r="C76" s="1" t="str">
        <f t="shared" si="31"/>
        <v>本科</v>
      </c>
      <c r="D76" s="1" t="str">
        <f t="shared" si="35"/>
        <v>20230701</v>
      </c>
      <c r="E76" s="1" t="str">
        <f>"黄河交通学院"</f>
        <v>黄河交通学院</v>
      </c>
      <c r="F76" s="1" t="str">
        <f>"数据科学与大数据技术"</f>
        <v>数据科学与大数据技术</v>
      </c>
      <c r="G76" s="1" t="str">
        <f>"河南省南召县小店乡"</f>
        <v>河南省南召县小店乡</v>
      </c>
      <c r="H76" s="1" t="str">
        <f t="shared" si="33"/>
        <v>无</v>
      </c>
      <c r="I76" s="1" t="str">
        <f>"201909-202307 黄河交通学院智能工程学院数据科学与大数据技术专业就读。
202308-至今 在家待业。"</f>
        <v>201909-202307 黄河交通学院智能工程学院数据科学与大数据技术专业就读。
202308-至今 在家待业。</v>
      </c>
    </row>
    <row r="77" spans="1:9">
      <c r="A77" s="1" t="str">
        <f>"411327200208212046"</f>
        <v>411327200208212046</v>
      </c>
      <c r="B77" s="1" t="str">
        <f t="shared" si="34"/>
        <v>共青团员</v>
      </c>
      <c r="C77" s="1" t="str">
        <f>"专科"</f>
        <v>专科</v>
      </c>
      <c r="D77" s="1" t="str">
        <f t="shared" si="35"/>
        <v>20230701</v>
      </c>
      <c r="E77" s="1" t="str">
        <f>"驻马店幼儿师范高等专科学校"</f>
        <v>驻马店幼儿师范高等专科学校</v>
      </c>
      <c r="F77" s="1" t="str">
        <f>"小学教育专业"</f>
        <v>小学教育专业</v>
      </c>
      <c r="G77" s="1" t="str">
        <f>"河南省南阳市内乡县师岗镇"</f>
        <v>河南省南阳市内乡县师岗镇</v>
      </c>
      <c r="H77" s="1" t="str">
        <f t="shared" si="33"/>
        <v>无</v>
      </c>
      <c r="I77" s="1" t="str">
        <f>"202009－202307驻马店幼儿师范高等专科学校就读"</f>
        <v>202009－202307驻马店幼儿师范高等专科学校就读</v>
      </c>
    </row>
    <row r="78" spans="1:9">
      <c r="A78" s="1" t="str">
        <f>"411327200208093120"</f>
        <v>411327200208093120</v>
      </c>
      <c r="B78" s="1" t="str">
        <f t="shared" si="34"/>
        <v>共青团员</v>
      </c>
      <c r="C78" s="1" t="str">
        <f t="shared" ref="C78:C89" si="36">"本科"</f>
        <v>本科</v>
      </c>
      <c r="D78" s="1" t="str">
        <f>"2024-07-01"</f>
        <v>2024-07-01</v>
      </c>
      <c r="E78" s="1" t="str">
        <f>"河南科技学院"</f>
        <v>河南科技学院</v>
      </c>
      <c r="F78" s="1" t="str">
        <f>"环境科学"</f>
        <v>环境科学</v>
      </c>
      <c r="G78" s="1" t="str">
        <f>"河南省南阳市内乡县夏馆镇葛条爬村上河组158号"</f>
        <v>河南省南阳市内乡县夏馆镇葛条爬村上河组158号</v>
      </c>
      <c r="H78" s="1" t="str">
        <f t="shared" si="33"/>
        <v>无</v>
      </c>
      <c r="I78" s="1" t="str">
        <f>"202009-202407在 河南科技学院的资源与环境学院环境科学专业 全日制就读。
202408-202409在河南省南阳市内乡县待业
202410-202502在南阳市冠优实业有限公司就业
202503至今在河南省南阳市内乡县待业"</f>
        <v>202009-202407在 河南科技学院的资源与环境学院环境科学专业 全日制就读。
202408-202409在河南省南阳市内乡县待业
202410-202502在南阳市冠优实业有限公司就业
202503至今在河南省南阳市内乡县待业</v>
      </c>
    </row>
    <row r="79" spans="1:9">
      <c r="A79" s="1" t="str">
        <f>"411324200301121449"</f>
        <v>411324200301121449</v>
      </c>
      <c r="B79" s="1" t="str">
        <f t="shared" ref="B79:B84" si="37">"群众"</f>
        <v>群众</v>
      </c>
      <c r="C79" s="1" t="str">
        <f t="shared" si="36"/>
        <v>本科</v>
      </c>
      <c r="D79" s="1" t="str">
        <f>"20250606"</f>
        <v>20250606</v>
      </c>
      <c r="E79" s="1" t="str">
        <f>"信阳学院"</f>
        <v>信阳学院</v>
      </c>
      <c r="F79" s="1" t="str">
        <f>"心理学"</f>
        <v>心理学</v>
      </c>
      <c r="G79" s="1" t="str">
        <f>"河南省南阳市镇平县石佛寺镇四龙学校"</f>
        <v>河南省南阳市镇平县石佛寺镇四龙学校</v>
      </c>
      <c r="H79" s="1" t="str">
        <f t="shared" si="33"/>
        <v>无</v>
      </c>
      <c r="I79" s="1" t="str">
        <f>"202109-202506 信阳学院学校教育学院心理学专业就读，为全日制本科学历。"</f>
        <v>202109-202506 信阳学院学校教育学院心理学专业就读，为全日制本科学历。</v>
      </c>
    </row>
    <row r="80" spans="1:9">
      <c r="A80" s="1" t="str">
        <f>"411330200111264040"</f>
        <v>411330200111264040</v>
      </c>
      <c r="B80" s="1" t="str">
        <f t="shared" ref="B80:B85" si="38">"共青团员"</f>
        <v>共青团员</v>
      </c>
      <c r="C80" s="1" t="str">
        <f t="shared" si="36"/>
        <v>本科</v>
      </c>
      <c r="D80" s="1" t="str">
        <f>"20250616"</f>
        <v>20250616</v>
      </c>
      <c r="E80" s="1" t="str">
        <f>"商丘工学院"</f>
        <v>商丘工学院</v>
      </c>
      <c r="F80" s="1" t="str">
        <f>"小学教育"</f>
        <v>小学教育</v>
      </c>
      <c r="G80" s="1" t="str">
        <f>"河南省南阳市西峡县桑坪镇三湾村中湾二组764号"</f>
        <v>河南省南阳市西峡县桑坪镇三湾村中湾二组764号</v>
      </c>
      <c r="H80" s="1" t="str">
        <f t="shared" si="33"/>
        <v>无</v>
      </c>
      <c r="I80" s="1" t="str">
        <f>"20200901-20230701驻马店幼儿师范高等专科学校小学教育专业就读 普通全日制
20230901-20250616商丘工学院教育与现代艺术学院小学教育专业就读 普通全日制
"</f>
        <v>20200901-20230701驻马店幼儿师范高等专科学校小学教育专业就读 普通全日制
20230901-20250616商丘工学院教育与现代艺术学院小学教育专业就读 普通全日制
</v>
      </c>
    </row>
    <row r="81" spans="1:9">
      <c r="A81" s="1" t="str">
        <f>"41132520011003033X"</f>
        <v>41132520011003033X</v>
      </c>
      <c r="B81" s="1" t="str">
        <f t="shared" si="38"/>
        <v>共青团员</v>
      </c>
      <c r="C81" s="1" t="str">
        <f t="shared" si="36"/>
        <v>本科</v>
      </c>
      <c r="D81" s="1" t="str">
        <f>"20230701"</f>
        <v>20230701</v>
      </c>
      <c r="E81" s="1" t="str">
        <f>"太原理工大学现代科技学院"</f>
        <v>太原理工大学现代科技学院</v>
      </c>
      <c r="F81" s="1" t="str">
        <f>"市场营销"</f>
        <v>市场营销</v>
      </c>
      <c r="G81" s="1" t="str">
        <f>"河南省南阳市内乡县大桥乡"</f>
        <v>河南省南阳市内乡县大桥乡</v>
      </c>
      <c r="H81" s="1" t="str">
        <f t="shared" si="33"/>
        <v>无</v>
      </c>
      <c r="I81" s="1" t="str">
        <f>"201909-202307 太原理工大学现代科技学院经济管理系市场营销专业就读，全日制学历；
202307-202406 在家待业；
202406至今 内乡县公安局看护管理大队工作"</f>
        <v>201909-202307 太原理工大学现代科技学院经济管理系市场营销专业就读，全日制学历；
202307-202406 在家待业；
202406至今 内乡县公安局看护管理大队工作</v>
      </c>
    </row>
    <row r="82" spans="1:9">
      <c r="A82" s="1" t="str">
        <f>"411327200307091526"</f>
        <v>411327200307091526</v>
      </c>
      <c r="B82" s="1" t="str">
        <f t="shared" si="37"/>
        <v>群众</v>
      </c>
      <c r="C82" s="1" t="str">
        <f t="shared" si="36"/>
        <v>本科</v>
      </c>
      <c r="D82" s="1" t="str">
        <f>"20250701"</f>
        <v>20250701</v>
      </c>
      <c r="E82" s="1" t="str">
        <f>"新乡工程学院"</f>
        <v>新乡工程学院</v>
      </c>
      <c r="F82" s="1" t="str">
        <f>"服装与服饰设计"</f>
        <v>服装与服饰设计</v>
      </c>
      <c r="G82" s="1" t="str">
        <f>"河南省南阳市内乡县"</f>
        <v>河南省南阳市内乡县</v>
      </c>
      <c r="H82" s="1" t="str">
        <f t="shared" si="33"/>
        <v>无</v>
      </c>
      <c r="I82" s="1" t="str">
        <f>"202109-202506 新乡工程学院 服装与服饰设计专业 就读。全日制本科，中间无间断，本科期间每一年都取得奖学金等多种奖项，在校担任班委，积极参加各种活动。"</f>
        <v>202109-202506 新乡工程学院 服装与服饰设计专业 就读。全日制本科，中间无间断，本科期间每一年都取得奖学金等多种奖项，在校担任班委，积极参加各种活动。</v>
      </c>
    </row>
    <row r="83" spans="1:9">
      <c r="A83" s="1" t="str">
        <f>"411327199909204510"</f>
        <v>411327199909204510</v>
      </c>
      <c r="B83" s="1" t="str">
        <f t="shared" si="37"/>
        <v>群众</v>
      </c>
      <c r="C83" s="1" t="str">
        <f t="shared" si="36"/>
        <v>本科</v>
      </c>
      <c r="D83" s="1" t="str">
        <f>"20210607"</f>
        <v>20210607</v>
      </c>
      <c r="E83" s="1" t="str">
        <f>"河南城建学院"</f>
        <v>河南城建学院</v>
      </c>
      <c r="F83" s="1" t="str">
        <f>"翻译"</f>
        <v>翻译</v>
      </c>
      <c r="G83" s="1" t="str">
        <f>"河南省南阳市内乡县"</f>
        <v>河南省南阳市内乡县</v>
      </c>
      <c r="H83" s="1" t="str">
        <f t="shared" si="33"/>
        <v>无</v>
      </c>
      <c r="I83" s="1" t="str">
        <f>"201709-202106 河南城建学院外国语学院翻译专业全日制本科
202106-202203在家待业
202203-202207河南鸿仟里信息科技有限公司
202207-202304在家待业
202304-至今 南阳人众建筑有限公司"</f>
        <v>201709-202106 河南城建学院外国语学院翻译专业全日制本科
202106-202203在家待业
202203-202207河南鸿仟里信息科技有限公司
202207-202304在家待业
202304-至今 南阳人众建筑有限公司</v>
      </c>
    </row>
    <row r="84" spans="1:9">
      <c r="A84" s="1" t="str">
        <f>"410221199309148426"</f>
        <v>410221199309148426</v>
      </c>
      <c r="B84" s="1" t="str">
        <f t="shared" si="37"/>
        <v>群众</v>
      </c>
      <c r="C84" s="1" t="str">
        <f t="shared" si="36"/>
        <v>本科</v>
      </c>
      <c r="D84" s="1" t="str">
        <f>"20180625"</f>
        <v>20180625</v>
      </c>
      <c r="E84" s="1" t="str">
        <f>"中国矿业大学"</f>
        <v>中国矿业大学</v>
      </c>
      <c r="F84" s="1" t="str">
        <f>"人力资源管理"</f>
        <v>人力资源管理</v>
      </c>
      <c r="G84" s="1" t="str">
        <f>"郑州市管城区正商佳士阁"</f>
        <v>郑州市管城区正商佳士阁</v>
      </c>
      <c r="H84" s="1" t="str">
        <f t="shared" si="33"/>
        <v>无</v>
      </c>
      <c r="I84" s="1" t="str">
        <f>"201409-201806 中国矿业大学，人力资源管理专业就读，全日制学历"</f>
        <v>201409-201806 中国矿业大学，人力资源管理专业就读，全日制学历</v>
      </c>
    </row>
    <row r="85" spans="1:9">
      <c r="A85" s="1" t="str">
        <f>"411330200104225529"</f>
        <v>411330200104225529</v>
      </c>
      <c r="B85" s="1" t="str">
        <f t="shared" si="38"/>
        <v>共青团员</v>
      </c>
      <c r="C85" s="1" t="str">
        <f t="shared" si="36"/>
        <v>本科</v>
      </c>
      <c r="D85" s="1" t="str">
        <f>"20230701"</f>
        <v>20230701</v>
      </c>
      <c r="E85" s="1" t="str">
        <f>"河南师范大学新联学院"</f>
        <v>河南师范大学新联学院</v>
      </c>
      <c r="F85" s="1" t="str">
        <f>"环境工程"</f>
        <v>环境工程</v>
      </c>
      <c r="G85" s="1" t="str">
        <f>"河南省南阳市西峡县二郎坪镇"</f>
        <v>河南省南阳市西峡县二郎坪镇</v>
      </c>
      <c r="H85" s="1" t="str">
        <f t="shared" si="33"/>
        <v>无</v>
      </c>
      <c r="I85" s="1" t="str">
        <f>"201909---202307 就读于河南师范大学新联学院环境工程专业 全日制本科"</f>
        <v>201909---202307 就读于河南师范大学新联学院环境工程专业 全日制本科</v>
      </c>
    </row>
    <row r="86" spans="1:9">
      <c r="A86" s="1" t="str">
        <f>"411327200103153721"</f>
        <v>411327200103153721</v>
      </c>
      <c r="B86" s="1" t="str">
        <f>"群众"</f>
        <v>群众</v>
      </c>
      <c r="C86" s="1" t="str">
        <f t="shared" si="36"/>
        <v>本科</v>
      </c>
      <c r="D86" s="1" t="str">
        <f>"20250627"</f>
        <v>20250627</v>
      </c>
      <c r="E86" s="1" t="str">
        <f>"商丘学院"</f>
        <v>商丘学院</v>
      </c>
      <c r="F86" s="1" t="str">
        <f>"小学教育（师范）"</f>
        <v>小学教育（师范）</v>
      </c>
      <c r="G86" s="1" t="str">
        <f>"河南省南阳市内乡县桃溪镇"</f>
        <v>河南省南阳市内乡县桃溪镇</v>
      </c>
      <c r="H86" s="1" t="str">
        <f t="shared" si="33"/>
        <v>无</v>
      </c>
      <c r="I86" s="1" t="str">
        <f>"202009-202306 郑州幼儿师范高等专科学校 英语教育 全日制学历
202309-202506 商丘学院 小学教育（师范）全日制学历"</f>
        <v>202009-202306 郑州幼儿师范高等专科学校 英语教育 全日制学历
202309-202506 商丘学院 小学教育（师范）全日制学历</v>
      </c>
    </row>
    <row r="87" spans="1:9">
      <c r="A87" s="1" t="str">
        <f>"411327199711220013"</f>
        <v>411327199711220013</v>
      </c>
      <c r="B87" s="1" t="str">
        <f>"群众"</f>
        <v>群众</v>
      </c>
      <c r="C87" s="1" t="str">
        <f t="shared" si="36"/>
        <v>本科</v>
      </c>
      <c r="D87" s="1" t="str">
        <f>"20220623"</f>
        <v>20220623</v>
      </c>
      <c r="E87" s="1" t="str">
        <f>"重庆大学城市科技学院"</f>
        <v>重庆大学城市科技学院</v>
      </c>
      <c r="F87" s="1" t="str">
        <f>"土木工程（房屋建筑工程）"</f>
        <v>土木工程（房屋建筑工程）</v>
      </c>
      <c r="G87" s="1" t="str">
        <f>"河南省内乡县褚阳大街308号"</f>
        <v>河南省内乡县褚阳大街308号</v>
      </c>
      <c r="H87" s="1" t="str">
        <f t="shared" si="33"/>
        <v>无</v>
      </c>
      <c r="I87" s="1" t="str">
        <f>"201709-202006在重庆电子工程职业技术学院工程造价专业就读，是全日制学历。
202009-202206在重庆大学城市科技学院土木工程（房屋建筑工程）专业就读，是全日制学历。
202207-202507在重庆迪康长江制药有限公司就职。"</f>
        <v>201709-202006在重庆电子工程职业技术学院工程造价专业就读，是全日制学历。
202009-202206在重庆大学城市科技学院土木工程（房屋建筑工程）专业就读，是全日制学历。
202207-202507在重庆迪康长江制药有限公司就职。</v>
      </c>
    </row>
    <row r="88" spans="1:9">
      <c r="A88" s="1" t="str">
        <f>"412821199102157274"</f>
        <v>412821199102157274</v>
      </c>
      <c r="B88" s="1" t="str">
        <f>"中共党员"</f>
        <v>中共党员</v>
      </c>
      <c r="C88" s="1" t="str">
        <f t="shared" si="36"/>
        <v>本科</v>
      </c>
      <c r="D88" s="1" t="str">
        <f>"20141230"</f>
        <v>20141230</v>
      </c>
      <c r="E88" s="1" t="str">
        <f>"河南科技大学"</f>
        <v>河南科技大学</v>
      </c>
      <c r="F88" s="1" t="str">
        <f>"机电一体化工程"</f>
        <v>机电一体化工程</v>
      </c>
      <c r="G88" s="1" t="str">
        <f>"河南省驻马店市确山县石滚河镇"</f>
        <v>河南省驻马店市确山县石滚河镇</v>
      </c>
      <c r="H88" s="1" t="str">
        <f t="shared" si="33"/>
        <v>无</v>
      </c>
      <c r="I88" s="1" t="str">
        <f>"201009-201307在漯河职业技术学院机电一体化系电气自动化专业就读全日制大专
201209-201412在河南科技大学机电一体化工程专业就读自考本科
202501至今灵活就业"</f>
        <v>201009-201307在漯河职业技术学院机电一体化系电气自动化专业就读全日制大专
201209-201412在河南科技大学机电一体化工程专业就读自考本科
202501至今灵活就业</v>
      </c>
    </row>
    <row r="89" spans="1:9">
      <c r="A89" s="1" t="str">
        <f>"410184199906247617"</f>
        <v>410184199906247617</v>
      </c>
      <c r="B89" s="1" t="str">
        <f t="shared" ref="B89:B92" si="39">"共青团员"</f>
        <v>共青团员</v>
      </c>
      <c r="C89" s="1" t="str">
        <f t="shared" si="36"/>
        <v>本科</v>
      </c>
      <c r="D89" s="1" t="str">
        <f>"20220701"</f>
        <v>20220701</v>
      </c>
      <c r="E89" s="1" t="str">
        <f>"河南城建学院"</f>
        <v>河南城建学院</v>
      </c>
      <c r="F89" s="1" t="str">
        <f>"环境工程"</f>
        <v>环境工程</v>
      </c>
      <c r="G89" s="1" t="str">
        <f>"河南省郑州市新郑市康庄大道秀水新华城"</f>
        <v>河南省郑州市新郑市康庄大道秀水新华城</v>
      </c>
      <c r="H89" s="1" t="str">
        <f t="shared" si="33"/>
        <v>无</v>
      </c>
      <c r="I89" s="1" t="str">
        <f>"201809-202207河南城建学院 市政与环境工程学院 环境工程专业 就读 全日制
202208-202301中国化学工程第十一建设有限公司 技术员 
202301-202507待业
202507-至今郑州市公安局 辅警"</f>
        <v>201809-202207河南城建学院 市政与环境工程学院 环境工程专业 就读 全日制
202208-202301中国化学工程第十一建设有限公司 技术员 
202301-202507待业
202507-至今郑州市公安局 辅警</v>
      </c>
    </row>
    <row r="90" spans="1:9">
      <c r="A90" s="1" t="str">
        <f>"41132719990530061X"</f>
        <v>41132719990530061X</v>
      </c>
      <c r="B90" s="1" t="str">
        <f t="shared" si="39"/>
        <v>共青团员</v>
      </c>
      <c r="C90" s="1" t="str">
        <f t="shared" ref="C90:C93" si="40">"专科"</f>
        <v>专科</v>
      </c>
      <c r="D90" s="1" t="str">
        <f>"20240701"</f>
        <v>20240701</v>
      </c>
      <c r="E90" s="1" t="str">
        <f>"河南工业职业技术学院"</f>
        <v>河南工业职业技术学院</v>
      </c>
      <c r="F90" s="1" t="str">
        <f>"工程造价"</f>
        <v>工程造价</v>
      </c>
      <c r="G90" s="1" t="str">
        <f>"河南省南阳市内乡县城关镇"</f>
        <v>河南省南阳市内乡县城关镇</v>
      </c>
      <c r="H90" s="1" t="str">
        <f>"助理工程师"</f>
        <v>助理工程师</v>
      </c>
      <c r="I90" s="1" t="str">
        <f>"202109-2024.07  河南工业职业技术学院 工程造价
201409-201706  内乡县第三高级中学    综合类
201707-202108  昆山立讯集团          
"</f>
        <v>202109-2024.07  河南工业职业技术学院 工程造价
201409-201706  内乡县第三高级中学    综合类
201707-202108  昆山立讯集团          
</v>
      </c>
    </row>
    <row r="91" spans="1:9">
      <c r="A91" s="1" t="str">
        <f>"411325199803082954"</f>
        <v>411325199803082954</v>
      </c>
      <c r="B91" s="1" t="str">
        <f t="shared" si="39"/>
        <v>共青团员</v>
      </c>
      <c r="C91" s="1" t="str">
        <f t="shared" si="40"/>
        <v>专科</v>
      </c>
      <c r="D91" s="1" t="str">
        <f>"2023-06-30"</f>
        <v>2023-06-30</v>
      </c>
      <c r="E91" s="1" t="str">
        <f>"南阳农业职业学院"</f>
        <v>南阳农业职业学院</v>
      </c>
      <c r="F91" s="1" t="str">
        <f>"计算机应用技术"</f>
        <v>计算机应用技术</v>
      </c>
      <c r="G91" s="1" t="str">
        <f>"内乡县城关镇万事达小区"</f>
        <v>内乡县城关镇万事达小区</v>
      </c>
      <c r="H91" s="1" t="str">
        <f t="shared" ref="H91:H103" si="41">"无"</f>
        <v>无</v>
      </c>
      <c r="I91" s="1" t="str">
        <f>"2018年09月-2019年09月南阳市农业职业学院 计算机院系，计算机应用技术 就读
2019年09月-2021年09月人民解放军71897部队
2021年09月-至今内乡县公安局余关派出所辅警"</f>
        <v>2018年09月-2019年09月南阳市农业职业学院 计算机院系，计算机应用技术 就读
2019年09月-2021年09月人民解放军71897部队
2021年09月-至今内乡县公安局余关派出所辅警</v>
      </c>
    </row>
    <row r="92" spans="1:9">
      <c r="A92" s="1" t="str">
        <f>"410324199903100622"</f>
        <v>410324199903100622</v>
      </c>
      <c r="B92" s="1" t="str">
        <f t="shared" si="39"/>
        <v>共青团员</v>
      </c>
      <c r="C92" s="1" t="str">
        <f t="shared" ref="C92:C97" si="42">"本科"</f>
        <v>本科</v>
      </c>
      <c r="D92" s="1" t="str">
        <f>"20230907"</f>
        <v>20230907</v>
      </c>
      <c r="E92" s="1" t="str">
        <f>"安阳工学院"</f>
        <v>安阳工学院</v>
      </c>
      <c r="F92" s="1" t="str">
        <f>"财务管理"</f>
        <v>财务管理</v>
      </c>
      <c r="G92" s="1" t="str">
        <f>"河南省洛阳市栾川县庙子镇"</f>
        <v>河南省洛阳市栾川县庙子镇</v>
      </c>
      <c r="H92" s="1" t="str">
        <f>"初级会计资格证"</f>
        <v>初级会计资格证</v>
      </c>
      <c r="I92" s="1" t="str">
        <f>"201909-202306 安阳工学院 全日制"</f>
        <v>201909-202306 安阳工学院 全日制</v>
      </c>
    </row>
    <row r="93" spans="1:9">
      <c r="A93" s="1" t="str">
        <f>"411327199910041122"</f>
        <v>411327199910041122</v>
      </c>
      <c r="B93" s="1" t="str">
        <f t="shared" ref="B93:B100" si="43">"群众"</f>
        <v>群众</v>
      </c>
      <c r="C93" s="1" t="str">
        <f t="shared" si="40"/>
        <v>专科</v>
      </c>
      <c r="D93" s="1" t="str">
        <f>"20210701"</f>
        <v>20210701</v>
      </c>
      <c r="E93" s="1" t="str">
        <f>"信阳职业技术学院"</f>
        <v>信阳职业技术学院</v>
      </c>
      <c r="F93" s="1" t="str">
        <f>"医学影像技术"</f>
        <v>医学影像技术</v>
      </c>
      <c r="G93" s="1" t="str">
        <f>"河南省南阳市内乡县"</f>
        <v>河南省南阳市内乡县</v>
      </c>
      <c r="H93" s="1" t="str">
        <f>"放射医学技术师"</f>
        <v>放射医学技术师</v>
      </c>
      <c r="I93" s="1" t="str">
        <f>"20150901-20180610就读于内乡县实验高中
20180901-20210701就读于信阳职业技术学院医学院影像技术专业
20210810-至今工作于内乡县赤眉镇卫生院"</f>
        <v>20150901-20180610就读于内乡县实验高中
20180901-20210701就读于信阳职业技术学院医学院影像技术专业
20210810-至今工作于内乡县赤眉镇卫生院</v>
      </c>
    </row>
    <row r="94" spans="1:9">
      <c r="A94" s="1" t="str">
        <f>"412825200107250014"</f>
        <v>412825200107250014</v>
      </c>
      <c r="B94" s="1" t="str">
        <f t="shared" ref="B94:B97" si="44">"中共党员"</f>
        <v>中共党员</v>
      </c>
      <c r="C94" s="1" t="str">
        <f t="shared" si="42"/>
        <v>本科</v>
      </c>
      <c r="D94" s="1" t="str">
        <f>"2023-07-01"</f>
        <v>2023-07-01</v>
      </c>
      <c r="E94" s="1" t="str">
        <f>"河南科技学院新科学院"</f>
        <v>河南科技学院新科学院</v>
      </c>
      <c r="F94" s="1" t="str">
        <f>"酒店管理"</f>
        <v>酒店管理</v>
      </c>
      <c r="G94" s="1" t="str">
        <f>"河南省驻马店市上蔡县无量寺乡卫生院家属院"</f>
        <v>河南省驻马店市上蔡县无量寺乡卫生院家属院</v>
      </c>
      <c r="H94" s="1" t="str">
        <f t="shared" si="41"/>
        <v>无</v>
      </c>
      <c r="I94" s="1" t="str">
        <f>"201909-202307 河南科技学院新科学院食品科学与工程系酒店管理专业就读 全日制本科
202307-202507 河南省驻马店市上蔡县无量寺乡卫生院家属院待业
"</f>
        <v>201909-202307 河南科技学院新科学院食品科学与工程系酒店管理专业就读 全日制本科
202307-202507 河南省驻马店市上蔡县无量寺乡卫生院家属院待业
</v>
      </c>
    </row>
    <row r="95" spans="1:9">
      <c r="A95" s="1" t="str">
        <f>"41133019950707204X"</f>
        <v>41133019950707204X</v>
      </c>
      <c r="B95" s="1" t="str">
        <f t="shared" si="44"/>
        <v>中共党员</v>
      </c>
      <c r="C95" s="1" t="str">
        <f t="shared" si="42"/>
        <v>本科</v>
      </c>
      <c r="D95" s="1" t="str">
        <f>"20180619"</f>
        <v>20180619</v>
      </c>
      <c r="E95" s="1" t="str">
        <f>"湖南大学"</f>
        <v>湖南大学</v>
      </c>
      <c r="F95" s="1" t="str">
        <f>"保险学"</f>
        <v>保险学</v>
      </c>
      <c r="G95" s="1" t="str">
        <f>"河南省南阳市西峡县五里桥镇"</f>
        <v>河南省南阳市西峡县五里桥镇</v>
      </c>
      <c r="H95" s="1" t="str">
        <f t="shared" si="41"/>
        <v>无</v>
      </c>
      <c r="I95" s="1" t="str">
        <f>"201409-201806 湖南大学金融与统计学院保险学专业就读，全日制学历；
201807-202101 中国大地财产保险股份有限公司广西分公司车险部车险定价岗；
202103-202303 中国平安人寿保险股份有限公司河南分公司企划部经营分析岗；
202303至今，在郑州市管城回族区金岱街道七里河小区待业。
"</f>
        <v>201409-201806 湖南大学金融与统计学院保险学专业就读，全日制学历；
201807-202101 中国大地财产保险股份有限公司广西分公司车险部车险定价岗；
202103-202303 中国平安人寿保险股份有限公司河南分公司企划部经营分析岗；
202303至今，在郑州市管城回族区金岱街道七里河小区待业。
</v>
      </c>
    </row>
    <row r="96" spans="1:9">
      <c r="A96" s="1" t="str">
        <f>"411303200005050031"</f>
        <v>411303200005050031</v>
      </c>
      <c r="B96" s="1" t="str">
        <f t="shared" si="43"/>
        <v>群众</v>
      </c>
      <c r="C96" s="1" t="str">
        <f t="shared" si="42"/>
        <v>本科</v>
      </c>
      <c r="D96" s="1" t="str">
        <f>"20240701"</f>
        <v>20240701</v>
      </c>
      <c r="E96" s="1" t="str">
        <f>"中原工学院信息商务学院"</f>
        <v>中原工学院信息商务学院</v>
      </c>
      <c r="F96" s="1" t="str">
        <f>"信用管理"</f>
        <v>信用管理</v>
      </c>
      <c r="G96" s="1" t="str">
        <f>"河南省南阳市卧龙区张衡东路199号城市天地"</f>
        <v>河南省南阳市卧龙区张衡东路199号城市天地</v>
      </c>
      <c r="H96" s="1" t="str">
        <f t="shared" si="41"/>
        <v>无</v>
      </c>
      <c r="I96" s="1" t="str">
        <f>"201809-202407 中原工学院信息商务学院经济学院信用管理专业 就读 全日制本科；202407-至今 在南阳市卧龙区待业"</f>
        <v>201809-202407 中原工学院信息商务学院经济学院信用管理专业 就读 全日制本科；202407-至今 在南阳市卧龙区待业</v>
      </c>
    </row>
    <row r="97" spans="1:9">
      <c r="A97" s="1" t="str">
        <f>"41133019910823251X"</f>
        <v>41133019910823251X</v>
      </c>
      <c r="B97" s="1" t="str">
        <f t="shared" si="44"/>
        <v>中共党员</v>
      </c>
      <c r="C97" s="1" t="str">
        <f t="shared" si="42"/>
        <v>本科</v>
      </c>
      <c r="D97" s="1" t="str">
        <f>"20140610"</f>
        <v>20140610</v>
      </c>
      <c r="E97" s="1" t="str">
        <f>"中国矿业大学银川学院"</f>
        <v>中国矿业大学银川学院</v>
      </c>
      <c r="F97" s="1" t="str">
        <f>"地质工程(勘查技术与工程）"</f>
        <v>地质工程(勘查技术与工程）</v>
      </c>
      <c r="G97" s="1" t="str">
        <f>"河南省西峡县五里桥稻香苑4号楼"</f>
        <v>河南省西峡县五里桥稻香苑4号楼</v>
      </c>
      <c r="H97" s="1" t="str">
        <f t="shared" si="41"/>
        <v>无</v>
      </c>
      <c r="I97" s="1" t="str">
        <f>"2010.9--2014.6中国矿业大学银川学院矿业工程系地质工程专业就读（全日制本科）
2014.7--2015.2长庆油田工作
2015.3--2015.7在家待业
2015.8--2017.12西峡龙城集团工作
2018.1--2018.10在家待业
2018.11至今西峡县公安局工作"</f>
        <v>2010.9--2014.6中国矿业大学银川学院矿业工程系地质工程专业就读（全日制本科）
2014.7--2015.2长庆油田工作
2015.3--2015.7在家待业
2015.8--2017.12西峡龙城集团工作
2018.1--2018.10在家待业
2018.11至今西峡县公安局工作</v>
      </c>
    </row>
    <row r="98" spans="1:9">
      <c r="A98" s="1" t="str">
        <f>"411327199009120039"</f>
        <v>411327199009120039</v>
      </c>
      <c r="B98" s="1" t="str">
        <f t="shared" si="43"/>
        <v>群众</v>
      </c>
      <c r="C98" s="1" t="str">
        <f t="shared" ref="C98:C103" si="45">"专科"</f>
        <v>专科</v>
      </c>
      <c r="D98" s="1" t="str">
        <f>"20120730"</f>
        <v>20120730</v>
      </c>
      <c r="E98" s="1" t="str">
        <f>"郑州牧业工程高等专科学校"</f>
        <v>郑州牧业工程高等专科学校</v>
      </c>
      <c r="F98" s="1" t="str">
        <f>"计算机应用技术 "</f>
        <v>计算机应用技术 </v>
      </c>
      <c r="G98" s="1" t="str">
        <f>"内乡县碧桂园"</f>
        <v>内乡县碧桂园</v>
      </c>
      <c r="H98" s="1" t="str">
        <f t="shared" si="41"/>
        <v>无</v>
      </c>
      <c r="I98" s="1" t="str">
        <f>"200909－201207郑州牧业工程高等专科学校就读计算机应用技术专业全日制，201208-202301郑州永邦测控技术有限公司上班，202302-202505牧原肉食上班。"</f>
        <v>200909－201207郑州牧业工程高等专科学校就读计算机应用技术专业全日制，201208-202301郑州永邦测控技术有限公司上班，202302-202505牧原肉食上班。</v>
      </c>
    </row>
    <row r="99" spans="1:9">
      <c r="A99" s="1" t="str">
        <f>"41132719910624114X"</f>
        <v>41132719910624114X</v>
      </c>
      <c r="B99" s="1" t="str">
        <f t="shared" si="43"/>
        <v>群众</v>
      </c>
      <c r="C99" s="1" t="str">
        <f t="shared" ref="C99:C102" si="46">"本科"</f>
        <v>本科</v>
      </c>
      <c r="D99" s="1" t="str">
        <f>"20150625"</f>
        <v>20150625</v>
      </c>
      <c r="E99" s="1" t="str">
        <f>"湖北大学"</f>
        <v>湖北大学</v>
      </c>
      <c r="F99" s="1" t="str">
        <f>"地理信息系统"</f>
        <v>地理信息系统</v>
      </c>
      <c r="G99" s="1" t="str">
        <f>"河南省南阳市内乡县"</f>
        <v>河南省南阳市内乡县</v>
      </c>
      <c r="H99" s="1" t="str">
        <f t="shared" si="41"/>
        <v>无</v>
      </c>
      <c r="I99" s="1" t="str">
        <f>"201109-201506湖北大学 资源环境学院地理信息系统就读，全日制学历
201506-201703南阳励创地理信息有限公司
201704-201905在家待业
201905-  菊潭学校"</f>
        <v>201109-201506湖北大学 资源环境学院地理信息系统就读，全日制学历
201506-201703南阳励创地理信息有限公司
201704-201905在家待业
201905-  菊潭学校</v>
      </c>
    </row>
    <row r="100" spans="1:9">
      <c r="A100" s="1" t="str">
        <f>"360733200010280098"</f>
        <v>360733200010280098</v>
      </c>
      <c r="B100" s="1" t="str">
        <f t="shared" si="43"/>
        <v>群众</v>
      </c>
      <c r="C100" s="1" t="str">
        <f t="shared" si="46"/>
        <v>本科</v>
      </c>
      <c r="D100" s="1" t="str">
        <f>"2023-06-10"</f>
        <v>2023-06-10</v>
      </c>
      <c r="E100" s="1" t="str">
        <f>"南昌工学院"</f>
        <v>南昌工学院</v>
      </c>
      <c r="F100" s="1" t="str">
        <f>"环境设计"</f>
        <v>环境设计</v>
      </c>
      <c r="G100" s="1" t="str">
        <f>"江西省赣州市会昌县文武坝镇西北街社区湘江花园小区3栋3单元702室"</f>
        <v>江西省赣州市会昌县文武坝镇西北街社区湘江花园小区3栋3单元702室</v>
      </c>
      <c r="H100" s="1" t="str">
        <f t="shared" si="41"/>
        <v>无</v>
      </c>
      <c r="I100" s="1" t="str">
        <f>" 201809-202106 江西艺术职业学院环境艺术设计专业就读，全日制大专
 202109-202306 南昌工学院环境设计专业就读，全日制专升本"</f>
        <v> 201809-202106 江西艺术职业学院环境艺术设计专业就读，全日制大专
 202109-202306 南昌工学院环境设计专业就读，全日制专升本</v>
      </c>
    </row>
    <row r="101" spans="1:9">
      <c r="A101" s="1" t="str">
        <f>"411324199907280035"</f>
        <v>411324199907280035</v>
      </c>
      <c r="B101" s="1" t="str">
        <f>"中共党员"</f>
        <v>中共党员</v>
      </c>
      <c r="C101" s="1" t="str">
        <f t="shared" si="45"/>
        <v>专科</v>
      </c>
      <c r="D101" s="1" t="str">
        <f>"202107"</f>
        <v>202107</v>
      </c>
      <c r="E101" s="1" t="str">
        <f>"河南工业职业技术学院"</f>
        <v>河南工业职业技术学院</v>
      </c>
      <c r="F101" s="1" t="str">
        <f>"广告设计与制作"</f>
        <v>广告设计与制作</v>
      </c>
      <c r="G101" s="1" t="str">
        <f>"河南省南阳市镇平县健康路南段好邻居快餐店西隔墙"</f>
        <v>河南省南阳市镇平县健康路南段好邻居快餐店西隔墙</v>
      </c>
      <c r="H101" s="1" t="str">
        <f t="shared" si="41"/>
        <v>无</v>
      </c>
      <c r="I101" s="1" t="str">
        <f>"201509-201807 就读于河南工业职业技术学院 中专 平面设计与制作
201809-202107 就读于河南工业职业技术学院 专科 广告设计与制作"</f>
        <v>201509-201807 就读于河南工业职业技术学院 中专 平面设计与制作
201809-202107 就读于河南工业职业技术学院 专科 广告设计与制作</v>
      </c>
    </row>
    <row r="102" spans="1:9">
      <c r="A102" s="1" t="str">
        <f>"411303200106166746"</f>
        <v>411303200106166746</v>
      </c>
      <c r="B102" s="1" t="str">
        <f t="shared" ref="B102:B106" si="47">"群众"</f>
        <v>群众</v>
      </c>
      <c r="C102" s="1" t="str">
        <f t="shared" si="46"/>
        <v>本科</v>
      </c>
      <c r="D102" s="1" t="str">
        <f>"2024.06"</f>
        <v>2024.06</v>
      </c>
      <c r="E102" s="1" t="str">
        <f>"郑州工业应用技术学院"</f>
        <v>郑州工业应用技术学院</v>
      </c>
      <c r="F102" s="1" t="str">
        <f>"电子商务"</f>
        <v>电子商务</v>
      </c>
      <c r="G102" s="1" t="str">
        <f>"河南省南阳市卧龙区红庙路教育佳苑"</f>
        <v>河南省南阳市卧龙区红庙路教育佳苑</v>
      </c>
      <c r="H102" s="1" t="str">
        <f t="shared" si="41"/>
        <v>无</v>
      </c>
      <c r="I102" s="1" t="str">
        <f>"201909-202206 许昌职业技术学院 电子商务专业就读 全日制
202209-202406 郑州工业应用技术学院 电子商务专业就读 全日制"</f>
        <v>201909-202206 许昌职业技术学院 电子商务专业就读 全日制
202209-202406 郑州工业应用技术学院 电子商务专业就读 全日制</v>
      </c>
    </row>
    <row r="103" spans="1:9">
      <c r="A103" s="1" t="str">
        <f>"41132720010907002X"</f>
        <v>41132720010907002X</v>
      </c>
      <c r="B103" s="1" t="str">
        <f t="shared" si="47"/>
        <v>群众</v>
      </c>
      <c r="C103" s="1" t="str">
        <f t="shared" si="45"/>
        <v>专科</v>
      </c>
      <c r="D103" s="1" t="str">
        <f>"20220701"</f>
        <v>20220701</v>
      </c>
      <c r="E103" s="1" t="str">
        <f>"漯河医学高等专科学校"</f>
        <v>漯河医学高等专科学校</v>
      </c>
      <c r="F103" s="1" t="str">
        <f>"临床医学（卓越医生教育培养计划）"</f>
        <v>临床医学（卓越医生教育培养计划）</v>
      </c>
      <c r="G103" s="1" t="str">
        <f>"河南省南阳市内乡县渚阳大街北十巷22号"</f>
        <v>河南省南阳市内乡县渚阳大街北十巷22号</v>
      </c>
      <c r="H103" s="1" t="str">
        <f t="shared" si="41"/>
        <v>无</v>
      </c>
      <c r="I103" s="1" t="str">
        <f>"201909-202207 漯河医学高等专科学校 临床医学（卓越医生教育培养计划）就读，是全日制学历；
"</f>
        <v>201909-202207 漯河医学高等专科学校 临床医学（卓越医生教育培养计划）就读，是全日制学历；
</v>
      </c>
    </row>
    <row r="104" spans="1:9">
      <c r="A104" s="1" t="str">
        <f>"410324200304307539"</f>
        <v>410324200304307539</v>
      </c>
      <c r="B104" s="1" t="str">
        <f t="shared" ref="B104:B109" si="48">"共青团员"</f>
        <v>共青团员</v>
      </c>
      <c r="C104" s="1" t="str">
        <f t="shared" ref="C104:C111" si="49">"本科"</f>
        <v>本科</v>
      </c>
      <c r="D104" s="1" t="str">
        <f>"2025-06-17"</f>
        <v>2025-06-17</v>
      </c>
      <c r="E104" s="1" t="str">
        <f>"商丘学院应用科技学院"</f>
        <v>商丘学院应用科技学院</v>
      </c>
      <c r="F104" s="1" t="str">
        <f>"会计学"</f>
        <v>会计学</v>
      </c>
      <c r="G104" s="1" t="str">
        <f>"河南省洛阳市栾川县城关镇合乐巷9号"</f>
        <v>河南省洛阳市栾川县城关镇合乐巷9号</v>
      </c>
      <c r="H104" s="1" t="str">
        <f>"会计专业技术资格"</f>
        <v>会计专业技术资格</v>
      </c>
      <c r="I104" s="1" t="str">
        <f>"202109-202506 商丘学院应用科技学院经济管理学院会计学专业就读 是全日制学历"</f>
        <v>202109-202506 商丘学院应用科技学院经济管理学院会计学专业就读 是全日制学历</v>
      </c>
    </row>
    <row r="105" spans="1:9">
      <c r="A105" s="1" t="str">
        <f>"411326200203220024"</f>
        <v>411326200203220024</v>
      </c>
      <c r="B105" s="1" t="str">
        <f>"中共党员"</f>
        <v>中共党员</v>
      </c>
      <c r="C105" s="1" t="str">
        <f t="shared" si="49"/>
        <v>本科</v>
      </c>
      <c r="D105" s="1" t="str">
        <f>"20240630"</f>
        <v>20240630</v>
      </c>
      <c r="E105" s="1" t="str">
        <f>"郑州工程技术学院"</f>
        <v>郑州工程技术学院</v>
      </c>
      <c r="F105" s="1" t="str">
        <f>"网络与新媒体"</f>
        <v>网络与新媒体</v>
      </c>
      <c r="G105" s="1" t="str">
        <f>"河南省南阳市南召县盛世北城旁"</f>
        <v>河南省南阳市南召县盛世北城旁</v>
      </c>
      <c r="H105" s="1" t="str">
        <f t="shared" ref="H105:H107" si="50">"无"</f>
        <v>无</v>
      </c>
      <c r="I105" s="1" t="str">
        <f>"202009—20240630 郑州工程技术学院传媒学院网络与新媒体专业就读 全日制
2024630—至今 河南省南阳市南召县待业"</f>
        <v>202009—20240630 郑州工程技术学院传媒学院网络与新媒体专业就读 全日制
2024630—至今 河南省南阳市南召县待业</v>
      </c>
    </row>
    <row r="106" spans="1:9">
      <c r="A106" s="1" t="str">
        <f>"511681200207246226"</f>
        <v>511681200207246226</v>
      </c>
      <c r="B106" s="1" t="str">
        <f t="shared" si="47"/>
        <v>群众</v>
      </c>
      <c r="C106" s="1" t="str">
        <f t="shared" si="49"/>
        <v>本科</v>
      </c>
      <c r="D106" s="1" t="str">
        <f>"20240628"</f>
        <v>20240628</v>
      </c>
      <c r="E106" s="1" t="str">
        <f>"西南科技大学"</f>
        <v>西南科技大学</v>
      </c>
      <c r="F106" s="1" t="str">
        <f>"农学"</f>
        <v>农学</v>
      </c>
      <c r="G106" s="1" t="str">
        <f>"河南省南阳市内乡县"</f>
        <v>河南省南阳市内乡县</v>
      </c>
      <c r="H106" s="1" t="str">
        <f t="shared" si="50"/>
        <v>无</v>
      </c>
      <c r="I106" s="1" t="str">
        <f>"20200901-20240628在西南科技大学生命科学与工程学院农学专业学习，是全日制学历；20240629-20241109在四川省广安市华蓥市待业；20241110至今在河南牧原农业发展有限公司工作"</f>
        <v>20200901-20240628在西南科技大学生命科学与工程学院农学专业学习，是全日制学历；20240629-20241109在四川省广安市华蓥市待业；20241110至今在河南牧原农业发展有限公司工作</v>
      </c>
    </row>
    <row r="107" spans="1:9">
      <c r="A107" s="1" t="str">
        <f>"411327200006054529"</f>
        <v>411327200006054529</v>
      </c>
      <c r="B107" s="1" t="str">
        <f t="shared" si="48"/>
        <v>共青团员</v>
      </c>
      <c r="C107" s="1" t="str">
        <f t="shared" si="49"/>
        <v>本科</v>
      </c>
      <c r="D107" s="1" t="str">
        <f>"20230607"</f>
        <v>20230607</v>
      </c>
      <c r="E107" s="1" t="str">
        <f>"周口师范学院"</f>
        <v>周口师范学院</v>
      </c>
      <c r="F107" s="1" t="str">
        <f>"学前教育"</f>
        <v>学前教育</v>
      </c>
      <c r="G107" s="1" t="str">
        <f>"河南省内乡县大成相府"</f>
        <v>河南省内乡县大成相府</v>
      </c>
      <c r="H107" s="1" t="str">
        <f t="shared" si="50"/>
        <v>无</v>
      </c>
      <c r="I107" s="1" t="str">
        <f>"2006.9.1-2012.7.31刘营小学
2012.9.1-2015.7.31内乡实验初中
2015.9.1-2018.7.31南阳幼儿师范学校
2018.9.1-2021.7.31郑州幼儿师范高等专科学校
2021.9.1-2023.7.31 周口师范学院
2023.9.1-2025.6.30中电建镇冲资料员
2025.6.30待业"</f>
        <v>2006.9.1-2012.7.31刘营小学
2012.9.1-2015.7.31内乡实验初中
2015.9.1-2018.7.31南阳幼儿师范学校
2018.9.1-2021.7.31郑州幼儿师范高等专科学校
2021.9.1-2023.7.31 周口师范学院
2023.9.1-2025.6.30中电建镇冲资料员
2025.6.30待业</v>
      </c>
    </row>
    <row r="108" spans="1:9">
      <c r="A108" s="1" t="str">
        <f>"41132719900615062X"</f>
        <v>41132719900615062X</v>
      </c>
      <c r="B108" s="1" t="str">
        <f>"中共党员"</f>
        <v>中共党员</v>
      </c>
      <c r="C108" s="1" t="str">
        <f t="shared" si="49"/>
        <v>本科</v>
      </c>
      <c r="D108" s="1" t="str">
        <f>"201407"</f>
        <v>201407</v>
      </c>
      <c r="E108" s="1" t="str">
        <f>"西安外事学院"</f>
        <v>西安外事学院</v>
      </c>
      <c r="F108" s="1" t="str">
        <f>"财务管理"</f>
        <v>财务管理</v>
      </c>
      <c r="G108" s="1" t="str">
        <f>"河南省南阳市内乡县湍东镇飞龙大道菊城豪庭"</f>
        <v>河南省南阳市内乡县湍东镇飞龙大道菊城豪庭</v>
      </c>
      <c r="H108" s="1" t="str">
        <f>"初级会计证书"</f>
        <v>初级会计证书</v>
      </c>
      <c r="I108" s="1" t="str">
        <f>"201009-201407西安外事学院财务管理专业全日制本科就读
201407-201505在内乡县待业
201505-201712在牧原食品股份有限公司财务部就职
201801至今在内乡县待业"</f>
        <v>201009-201407西安外事学院财务管理专业全日制本科就读
201407-201505在内乡县待业
201505-201712在牧原食品股份有限公司财务部就职
201801至今在内乡县待业</v>
      </c>
    </row>
    <row r="109" spans="1:9">
      <c r="A109" s="1" t="str">
        <f>"411381200204198257"</f>
        <v>411381200204198257</v>
      </c>
      <c r="B109" s="1" t="str">
        <f t="shared" si="48"/>
        <v>共青团员</v>
      </c>
      <c r="C109" s="1" t="str">
        <f t="shared" si="49"/>
        <v>本科</v>
      </c>
      <c r="D109" s="1" t="str">
        <f>"20240701"</f>
        <v>20240701</v>
      </c>
      <c r="E109" s="1" t="str">
        <f>"河南理工大学"</f>
        <v>河南理工大学</v>
      </c>
      <c r="F109" s="1" t="str">
        <f>"土木工程"</f>
        <v>土木工程</v>
      </c>
      <c r="G109" s="1" t="str">
        <f>"河南省南阳市穰东镇"</f>
        <v>河南省南阳市穰东镇</v>
      </c>
      <c r="H109" s="1" t="str">
        <f t="shared" ref="H109:H111" si="51">"无"</f>
        <v>无</v>
      </c>
      <c r="I109" s="1" t="str">
        <f>"20200920-20240701 河南理工大学土木学院土木工程专业就读，全日制学历
至今河南焦作待业"</f>
        <v>20200920-20240701 河南理工大学土木学院土木工程专业就读，全日制学历
至今河南焦作待业</v>
      </c>
    </row>
    <row r="110" spans="1:9">
      <c r="A110" s="1" t="str">
        <f>"41133020021017151X"</f>
        <v>41133020021017151X</v>
      </c>
      <c r="B110" s="1" t="str">
        <f t="shared" ref="B110:B113" si="52">"群众"</f>
        <v>群众</v>
      </c>
      <c r="C110" s="1" t="str">
        <f t="shared" si="49"/>
        <v>本科</v>
      </c>
      <c r="D110" s="1" t="str">
        <f>"20250615"</f>
        <v>20250615</v>
      </c>
      <c r="E110" s="1" t="str">
        <f>"华北水利水电大学"</f>
        <v>华北水利水电大学</v>
      </c>
      <c r="F110" s="1" t="str">
        <f>"环境设计"</f>
        <v>环境设计</v>
      </c>
      <c r="G110" s="1" t="str">
        <f>"河南省南阳市西峡县西城门南路22号"</f>
        <v>河南省南阳市西峡县西城门南路22号</v>
      </c>
      <c r="H110" s="1" t="str">
        <f t="shared" si="51"/>
        <v>无</v>
      </c>
      <c r="I110" s="1" t="str">
        <f>"202109-202506在华北水利水电大学就读全日制本科"</f>
        <v>202109-202506在华北水利水电大学就读全日制本科</v>
      </c>
    </row>
    <row r="111" spans="1:9">
      <c r="A111" s="1" t="str">
        <f>"41052320020524002X"</f>
        <v>41052320020524002X</v>
      </c>
      <c r="B111" s="1" t="str">
        <f t="shared" ref="B111:B118" si="53">"共青团员"</f>
        <v>共青团员</v>
      </c>
      <c r="C111" s="1" t="str">
        <f t="shared" si="49"/>
        <v>本科</v>
      </c>
      <c r="D111" s="1" t="str">
        <f>"20240701"</f>
        <v>20240701</v>
      </c>
      <c r="E111" s="1" t="str">
        <f>"河南师范大学"</f>
        <v>河南师范大学</v>
      </c>
      <c r="F111" s="1" t="str">
        <f>"马克思主义理论"</f>
        <v>马克思主义理论</v>
      </c>
      <c r="G111" s="1" t="str">
        <f>"河南省安阳市汤阴县易苑国际"</f>
        <v>河南省安阳市汤阴县易苑国际</v>
      </c>
      <c r="H111" s="1" t="str">
        <f t="shared" si="51"/>
        <v>无</v>
      </c>
      <c r="I111" s="1" t="str">
        <f>"202009-202407河南师范大学马克思主义学院马克思主义理论专业就读，全日制本科
202407-至今在河南省安阳市汤阴县待业"</f>
        <v>202009-202407河南师范大学马克思主义学院马克思主义理论专业就读，全日制本科
202407-至今在河南省安阳市汤阴县待业</v>
      </c>
    </row>
    <row r="112" spans="1:9">
      <c r="A112" s="1" t="str">
        <f>"411327200410080024"</f>
        <v>411327200410080024</v>
      </c>
      <c r="B112" s="1" t="str">
        <f t="shared" si="52"/>
        <v>群众</v>
      </c>
      <c r="C112" s="1" t="str">
        <f t="shared" ref="C112:C115" si="54">"专科"</f>
        <v>专科</v>
      </c>
      <c r="D112" s="1" t="str">
        <f>"20240612"</f>
        <v>20240612</v>
      </c>
      <c r="E112" s="1" t="str">
        <f>"南阳医学高等专科学校"</f>
        <v>南阳医学高等专科学校</v>
      </c>
      <c r="F112" s="1" t="str">
        <f>"药品经营与管理"</f>
        <v>药品经营与管理</v>
      </c>
      <c r="G112" s="1" t="str">
        <f>"河南省南阳市内乡县实验高中"</f>
        <v>河南省南阳市内乡县实验高中</v>
      </c>
      <c r="H112" s="1" t="str">
        <f>"职业技能等级证书"</f>
        <v>职业技能等级证书</v>
      </c>
      <c r="I112" s="1" t="str">
        <f>"201909-202406 南阳医学高等专科学校就读 是全日制学历"</f>
        <v>201909-202406 南阳医学高等专科学校就读 是全日制学历</v>
      </c>
    </row>
    <row r="113" spans="1:9">
      <c r="A113" s="1" t="str">
        <f>"411324199309110052"</f>
        <v>411324199309110052</v>
      </c>
      <c r="B113" s="1" t="str">
        <f t="shared" si="52"/>
        <v>群众</v>
      </c>
      <c r="C113" s="1" t="str">
        <f t="shared" si="54"/>
        <v>专科</v>
      </c>
      <c r="D113" s="1" t="str">
        <f>"20160701"</f>
        <v>20160701</v>
      </c>
      <c r="E113" s="1" t="str">
        <f>"洛阳理工学院"</f>
        <v>洛阳理工学院</v>
      </c>
      <c r="F113" s="1" t="str">
        <f>"电气自动化技术"</f>
        <v>电气自动化技术</v>
      </c>
      <c r="G113" s="1" t="str">
        <f>"镇平县雪枫街道春泽里小区1-1403"</f>
        <v>镇平县雪枫街道春泽里小区1-1403</v>
      </c>
      <c r="H113" s="1" t="str">
        <f t="shared" ref="H113:H135" si="55">"无"</f>
        <v>无</v>
      </c>
      <c r="I113" s="1" t="str">
        <f>"2013.09  -2016.06就读 洛阳理工学院，电气自动化技术专业，全日制大专。2016.10-2019.07 工作于中国通号长沙轨道交通控制技术有限公司，参与京广线安阳至孟庙牵引供电设施改造工程 ，焦柳铁路怀化至柳州段电气化改造工程3标段。2019.07- 2023.8工作于华信集团镇平实验学校。2023.10-至今，镇平县市场监管局公益岗。  "</f>
        <v>2013.09  -2016.06就读 洛阳理工学院，电气自动化技术专业，全日制大专。2016.10-2019.07 工作于中国通号长沙轨道交通控制技术有限公司，参与京广线安阳至孟庙牵引供电设施改造工程 ，焦柳铁路怀化至柳州段电气化改造工程3标段。2019.07- 2023.8工作于华信集团镇平实验学校。2023.10-至今，镇平县市场监管局公益岗。  </v>
      </c>
    </row>
    <row r="114" spans="1:9">
      <c r="A114" s="1" t="str">
        <f>"41133019980826001X"</f>
        <v>41133019980826001X</v>
      </c>
      <c r="B114" s="1" t="str">
        <f t="shared" si="53"/>
        <v>共青团员</v>
      </c>
      <c r="C114" s="1" t="str">
        <f t="shared" ref="C114:C125" si="56">"本科"</f>
        <v>本科</v>
      </c>
      <c r="D114" s="1" t="str">
        <f>"20210701"</f>
        <v>20210701</v>
      </c>
      <c r="E114" s="1" t="str">
        <f>"郑州经贸学院"</f>
        <v>郑州经贸学院</v>
      </c>
      <c r="F114" s="1" t="str">
        <f>"电气工程及其自动化"</f>
        <v>电气工程及其自动化</v>
      </c>
      <c r="G114" s="1" t="str">
        <f>"河南省南阳市西峡县五里桥镇金荷雅苑"</f>
        <v>河南省南阳市西峡县五里桥镇金荷雅苑</v>
      </c>
      <c r="H114" s="1" t="str">
        <f>"电工证"</f>
        <v>电工证</v>
      </c>
      <c r="I114" s="1" t="str">
        <f>"高低压电工证   电气试验证"</f>
        <v>高低压电工证   电气试验证</v>
      </c>
    </row>
    <row r="115" spans="1:9">
      <c r="A115" s="1" t="str">
        <f>"411321200207105523"</f>
        <v>411321200207105523</v>
      </c>
      <c r="B115" s="1" t="str">
        <f>"中共党员"</f>
        <v>中共党员</v>
      </c>
      <c r="C115" s="1" t="str">
        <f t="shared" si="54"/>
        <v>专科</v>
      </c>
      <c r="D115" s="1" t="str">
        <f>"20230701"</f>
        <v>20230701</v>
      </c>
      <c r="E115" s="1" t="str">
        <f>"郑州升达经贸管理学院"</f>
        <v>郑州升达经贸管理学院</v>
      </c>
      <c r="F115" s="1" t="str">
        <f>"商务英语"</f>
        <v>商务英语</v>
      </c>
      <c r="G115" s="1" t="str">
        <f>"河南省南阳市南召县马市坪乡街西"</f>
        <v>河南省南阳市南召县马市坪乡街西</v>
      </c>
      <c r="H115" s="1" t="str">
        <f t="shared" si="55"/>
        <v>无</v>
      </c>
      <c r="I115" s="1" t="str">
        <f>"202009-202307 郑州升达经贸管理学院就读 商务英语专业 全日制大专"</f>
        <v>202009-202307 郑州升达经贸管理学院就读 商务英语专业 全日制大专</v>
      </c>
    </row>
    <row r="116" spans="1:9">
      <c r="A116" s="1" t="str">
        <f>"41142220000727122X"</f>
        <v>41142220000727122X</v>
      </c>
      <c r="B116" s="1" t="str">
        <f t="shared" si="53"/>
        <v>共青团员</v>
      </c>
      <c r="C116" s="1" t="str">
        <f t="shared" si="56"/>
        <v>本科</v>
      </c>
      <c r="D116" s="1" t="str">
        <f>"20240701"</f>
        <v>20240701</v>
      </c>
      <c r="E116" s="1" t="str">
        <f>"齐齐哈尔工程学院"</f>
        <v>齐齐哈尔工程学院</v>
      </c>
      <c r="F116" s="1" t="str">
        <f>"健康服务与管理"</f>
        <v>健康服务与管理</v>
      </c>
      <c r="G116" s="1" t="str">
        <f>"河南省商丘睢县周堂镇"</f>
        <v>河南省商丘睢县周堂镇</v>
      </c>
      <c r="H116" s="1" t="str">
        <f t="shared" si="55"/>
        <v>无</v>
      </c>
      <c r="I116" s="1" t="str">
        <f>"202010-202407齐齐哈尔工程学院康护工程系健康服务与管理专业就读
202407-至今待业"</f>
        <v>202010-202407齐齐哈尔工程学院康护工程系健康服务与管理专业就读
202407-至今待业</v>
      </c>
    </row>
    <row r="117" spans="1:9">
      <c r="A117" s="1" t="str">
        <f>"412821200203040775"</f>
        <v>412821200203040775</v>
      </c>
      <c r="B117" s="1" t="str">
        <f t="shared" si="53"/>
        <v>共青团员</v>
      </c>
      <c r="C117" s="1" t="str">
        <f t="shared" si="56"/>
        <v>本科</v>
      </c>
      <c r="D117" s="1" t="str">
        <f>"20250613"</f>
        <v>20250613</v>
      </c>
      <c r="E117" s="1" t="str">
        <f>"鲁东大学"</f>
        <v>鲁东大学</v>
      </c>
      <c r="F117" s="1" t="str">
        <f>"化学"</f>
        <v>化学</v>
      </c>
      <c r="G117" s="1" t="str">
        <f>"河南省驻马店市驿城区朱古洞乡"</f>
        <v>河南省驻马店市驿城区朱古洞乡</v>
      </c>
      <c r="H117" s="1" t="str">
        <f t="shared" si="55"/>
        <v>无</v>
      </c>
      <c r="I117" s="1" t="str">
        <f>"202109-202506 鲁东大学化学与材料科学学院化学专业就读 全日制"</f>
        <v>202109-202506 鲁东大学化学与材料科学学院化学专业就读 全日制</v>
      </c>
    </row>
    <row r="118" spans="1:9">
      <c r="A118" s="1" t="str">
        <f>"411327200003022038"</f>
        <v>411327200003022038</v>
      </c>
      <c r="B118" s="1" t="str">
        <f t="shared" si="53"/>
        <v>共青团员</v>
      </c>
      <c r="C118" s="1" t="str">
        <f t="shared" si="56"/>
        <v>本科</v>
      </c>
      <c r="D118" s="1" t="str">
        <f>"20220607"</f>
        <v>20220607</v>
      </c>
      <c r="E118" s="1" t="str">
        <f>"商丘学院"</f>
        <v>商丘学院</v>
      </c>
      <c r="F118" s="1" t="str">
        <f>"物联网工程"</f>
        <v>物联网工程</v>
      </c>
      <c r="G118" s="1" t="str">
        <f>"河南省南阳市内乡县师岗镇"</f>
        <v>河南省南阳市内乡县师岗镇</v>
      </c>
      <c r="H118" s="1" t="str">
        <f t="shared" si="55"/>
        <v>无</v>
      </c>
      <c r="I118" s="1" t="str">
        <f>"201809—202206在商丘学院就读，是全日制学历"</f>
        <v>201809—202206在商丘学院就读，是全日制学历</v>
      </c>
    </row>
    <row r="119" spans="1:9">
      <c r="A119" s="1" t="str">
        <f>"411327199308130034"</f>
        <v>411327199308130034</v>
      </c>
      <c r="B119" s="1" t="str">
        <f t="shared" ref="B119:B124" si="57">"群众"</f>
        <v>群众</v>
      </c>
      <c r="C119" s="1" t="str">
        <f t="shared" si="56"/>
        <v>本科</v>
      </c>
      <c r="D119" s="1" t="str">
        <f>"2016-06-20"</f>
        <v>2016-06-20</v>
      </c>
      <c r="E119" s="1" t="str">
        <f>"海口经济学院"</f>
        <v>海口经济学院</v>
      </c>
      <c r="F119" s="1" t="str">
        <f>"电气工程及其自动化"</f>
        <v>电气工程及其自动化</v>
      </c>
      <c r="G119" s="1" t="str">
        <f>"河南省内乡县湍东镇检察院西150米"</f>
        <v>河南省内乡县湍东镇检察院西150米</v>
      </c>
      <c r="H119" s="1" t="str">
        <f t="shared" si="55"/>
        <v>无</v>
      </c>
      <c r="I119" s="1" t="str">
        <f>"201209-201607  海口经济学院 电气工程及其自动化
201607-201911  迅达(中国)电梯有限公司云南分公司 维保部主管
201911-202010  河南省内乡县待业
202010-202203  通力电梯有限公司云南分公司 维保员工
202203-202302  河南省内乡县待业
202302-202308  快意电梯有限公司昆明分公司 销售经理
202308-至今 内乡县畜牧局 司机"</f>
        <v>201209-201607  海口经济学院 电气工程及其自动化
201607-201911  迅达(中国)电梯有限公司云南分公司 维保部主管
201911-202010  河南省内乡县待业
202010-202203  通力电梯有限公司云南分公司 维保员工
202203-202302  河南省内乡县待业
202302-202308  快意电梯有限公司昆明分公司 销售经理
202308-至今 内乡县畜牧局 司机</v>
      </c>
    </row>
    <row r="120" spans="1:9">
      <c r="A120" s="1" t="str">
        <f>"411082200212050631"</f>
        <v>411082200212050631</v>
      </c>
      <c r="B120" s="1" t="str">
        <f t="shared" ref="B120:B123" si="58">"共青团员"</f>
        <v>共青团员</v>
      </c>
      <c r="C120" s="1" t="str">
        <f t="shared" si="56"/>
        <v>本科</v>
      </c>
      <c r="D120" s="1" t="str">
        <f>"2025-06-06"</f>
        <v>2025-06-06</v>
      </c>
      <c r="E120" s="1" t="str">
        <f>"信阳学院"</f>
        <v>信阳学院</v>
      </c>
      <c r="F120" s="1" t="str">
        <f>"汉语言文学"</f>
        <v>汉语言文学</v>
      </c>
      <c r="G120" s="1" t="str">
        <f>"河南省许昌市长葛市坡胡镇水磨河村2组"</f>
        <v>河南省许昌市长葛市坡胡镇水磨河村2组</v>
      </c>
      <c r="H120" s="1" t="str">
        <f t="shared" si="55"/>
        <v>无</v>
      </c>
      <c r="I120" s="1" t="str">
        <f>"202109-202506 信阳学院 文学院 汉语言文学专业全日制本科"</f>
        <v>202109-202506 信阳学院 文学院 汉语言文学专业全日制本科</v>
      </c>
    </row>
    <row r="121" spans="1:9">
      <c r="A121" s="1" t="str">
        <f>"411322200305042016"</f>
        <v>411322200305042016</v>
      </c>
      <c r="B121" s="1" t="str">
        <f t="shared" si="58"/>
        <v>共青团员</v>
      </c>
      <c r="C121" s="1" t="str">
        <f t="shared" si="56"/>
        <v>本科</v>
      </c>
      <c r="D121" s="1" t="str">
        <f>"20250605"</f>
        <v>20250605</v>
      </c>
      <c r="E121" s="1" t="str">
        <f>"新乡工程学院"</f>
        <v>新乡工程学院</v>
      </c>
      <c r="F121" s="1" t="str">
        <f>"机械设计制造及其自动化"</f>
        <v>机械设计制造及其自动化</v>
      </c>
      <c r="G121" s="1" t="str">
        <f>"河南省南阳市方城县广阳镇"</f>
        <v>河南省南阳市方城县广阳镇</v>
      </c>
      <c r="H121" s="1" t="str">
        <f t="shared" si="55"/>
        <v>无</v>
      </c>
      <c r="I121" s="1" t="str">
        <f>"202010-202306郑州电力高等专科学校电气工程学院数控技术就读全日制
202309-202506新乡工程学院机电工程专业机械设计制造及其自动化就读全日制"</f>
        <v>202010-202306郑州电力高等专科学校电气工程学院数控技术就读全日制
202309-202506新乡工程学院机电工程专业机械设计制造及其自动化就读全日制</v>
      </c>
    </row>
    <row r="122" spans="1:9">
      <c r="A122" s="1" t="str">
        <f>"411327199809110015"</f>
        <v>411327199809110015</v>
      </c>
      <c r="B122" s="1" t="str">
        <f t="shared" si="57"/>
        <v>群众</v>
      </c>
      <c r="C122" s="1" t="str">
        <f t="shared" si="56"/>
        <v>本科</v>
      </c>
      <c r="D122" s="1" t="str">
        <f>"20240622"</f>
        <v>20240622</v>
      </c>
      <c r="E122" s="1" t="str">
        <f>"山东理工大学"</f>
        <v>山东理工大学</v>
      </c>
      <c r="F122" s="1" t="str">
        <f>"城乡规划"</f>
        <v>城乡规划</v>
      </c>
      <c r="G122" s="1" t="str">
        <f>"河南省南阳市内乡县公园南路136号"</f>
        <v>河南省南阳市内乡县公园南路136号</v>
      </c>
      <c r="H122" s="1" t="str">
        <f t="shared" si="55"/>
        <v>无</v>
      </c>
      <c r="I122" s="1" t="str">
        <f>"201609-202106 山东理工大学城乡规划专业 就读，全日制
202106-202110 待业
202110-202412 河南师范大学制药工程专业 就读，全日制
202412-至今 待业"</f>
        <v>201609-202106 山东理工大学城乡规划专业 就读，全日制
202106-202110 待业
202110-202412 河南师范大学制药工程专业 就读，全日制
202412-至今 待业</v>
      </c>
    </row>
    <row r="123" spans="1:9">
      <c r="A123" s="1" t="str">
        <f>"411324200112241126"</f>
        <v>411324200112241126</v>
      </c>
      <c r="B123" s="1" t="str">
        <f t="shared" si="58"/>
        <v>共青团员</v>
      </c>
      <c r="C123" s="1" t="str">
        <f t="shared" si="56"/>
        <v>本科</v>
      </c>
      <c r="D123" s="1" t="str">
        <f>"20240701"</f>
        <v>20240701</v>
      </c>
      <c r="E123" s="1" t="str">
        <f>"河南师范大学"</f>
        <v>河南师范大学</v>
      </c>
      <c r="F123" s="1" t="str">
        <f>"旅游管理"</f>
        <v>旅游管理</v>
      </c>
      <c r="G123" s="1" t="str">
        <f>"河南省南阳市镇平县老庄镇"</f>
        <v>河南省南阳市镇平县老庄镇</v>
      </c>
      <c r="H123" s="1" t="str">
        <f t="shared" si="55"/>
        <v>无</v>
      </c>
      <c r="I123" s="1" t="str">
        <f>"202009-202407 河南师范大学旅游学院旅游管理专业就读  全日制"</f>
        <v>202009-202407 河南师范大学旅游学院旅游管理专业就读  全日制</v>
      </c>
    </row>
    <row r="124" spans="1:9">
      <c r="A124" s="1" t="str">
        <f>"411327199311131134"</f>
        <v>411327199311131134</v>
      </c>
      <c r="B124" s="1" t="str">
        <f t="shared" si="57"/>
        <v>群众</v>
      </c>
      <c r="C124" s="1" t="str">
        <f t="shared" si="56"/>
        <v>本科</v>
      </c>
      <c r="D124" s="1" t="str">
        <f>"20170701"</f>
        <v>20170701</v>
      </c>
      <c r="E124" s="1" t="str">
        <f>"信阳师范大学"</f>
        <v>信阳师范大学</v>
      </c>
      <c r="F124" s="1" t="str">
        <f>"应用物理"</f>
        <v>应用物理</v>
      </c>
      <c r="G124" s="1" t="str">
        <f>"河南省内乡县赤眉镇陈湾村"</f>
        <v>河南省内乡县赤眉镇陈湾村</v>
      </c>
      <c r="H124" s="1" t="str">
        <f t="shared" si="55"/>
        <v>无</v>
      </c>
      <c r="I124" s="1" t="str">
        <f>"201309~201707 信阳师院"</f>
        <v>201309~201707 信阳师院</v>
      </c>
    </row>
    <row r="125" spans="1:9">
      <c r="A125" s="1" t="str">
        <f>"411221200009200241"</f>
        <v>411221200009200241</v>
      </c>
      <c r="B125" s="1" t="str">
        <f>"共青团员"</f>
        <v>共青团员</v>
      </c>
      <c r="C125" s="1" t="str">
        <f t="shared" si="56"/>
        <v>本科</v>
      </c>
      <c r="D125" s="1" t="str">
        <f>"20220701"</f>
        <v>20220701</v>
      </c>
      <c r="E125" s="1" t="str">
        <f>"商丘工学院"</f>
        <v>商丘工学院</v>
      </c>
      <c r="F125" s="1" t="str">
        <f>"电气工程及其自动化"</f>
        <v>电气工程及其自动化</v>
      </c>
      <c r="G125" s="1" t="str">
        <f>"河南省三门峡市渑池县城关镇金堂国际22号楼503"</f>
        <v>河南省三门峡市渑池县城关镇金堂国际22号楼503</v>
      </c>
      <c r="H125" s="1" t="str">
        <f t="shared" si="55"/>
        <v>无</v>
      </c>
      <c r="I125" s="1" t="str">
        <f>"201809-202207商丘工学院信息与电子工程学院电气工程及其自动化专业就读，是全日制学历
202207-至今在渑池县待业
"</f>
        <v>201809-202207商丘工学院信息与电子工程学院电气工程及其自动化专业就读，是全日制学历
202207-至今在渑池县待业
</v>
      </c>
    </row>
    <row r="126" spans="1:9">
      <c r="A126" s="1" t="str">
        <f>"41132720010110001X"</f>
        <v>41132720010110001X</v>
      </c>
      <c r="B126" s="1" t="str">
        <f t="shared" ref="B126:B130" si="59">"群众"</f>
        <v>群众</v>
      </c>
      <c r="C126" s="1" t="str">
        <f t="shared" ref="C126:C131" si="60">"专科"</f>
        <v>专科</v>
      </c>
      <c r="D126" s="1" t="str">
        <f>"20210701"</f>
        <v>20210701</v>
      </c>
      <c r="E126" s="1" t="str">
        <f>"信阳职业技术学院"</f>
        <v>信阳职业技术学院</v>
      </c>
      <c r="F126" s="1" t="str">
        <f>"投资与理财（风险分析与控制方向）"</f>
        <v>投资与理财（风险分析与控制方向）</v>
      </c>
      <c r="G126" s="1" t="str">
        <f>"南阳市内乡县"</f>
        <v>南阳市内乡县</v>
      </c>
      <c r="H126" s="1" t="str">
        <f t="shared" si="55"/>
        <v>无</v>
      </c>
      <c r="I126" s="1" t="str">
        <f>"200609--201206内乡县第一小学
201209--201506内乡初中
201509--201806内乡县职业中等专业学校
201809--202107信阳职业技术学院 投资与理财（风险分析与控制方向） 全日制"</f>
        <v>200609--201206内乡县第一小学
201209--201506内乡初中
201509--201806内乡县职业中等专业学校
201809--202107信阳职业技术学院 投资与理财（风险分析与控制方向） 全日制</v>
      </c>
    </row>
    <row r="127" spans="1:9">
      <c r="A127" s="1" t="str">
        <f>"411327200502031537"</f>
        <v>411327200502031537</v>
      </c>
      <c r="B127" s="1" t="str">
        <f t="shared" si="59"/>
        <v>群众</v>
      </c>
      <c r="C127" s="1" t="str">
        <f t="shared" si="60"/>
        <v>专科</v>
      </c>
      <c r="D127" s="1" t="str">
        <f>"20260707"</f>
        <v>20260707</v>
      </c>
      <c r="E127" s="1" t="str">
        <f>"郑州城建职业学院"</f>
        <v>郑州城建职业学院</v>
      </c>
      <c r="F127" s="1" t="str">
        <f>"宠物医疗技术"</f>
        <v>宠物医疗技术</v>
      </c>
      <c r="G127" s="1" t="str">
        <f>"河南省南阳市内乡县黄金花园"</f>
        <v>河南省南阳市内乡县黄金花园</v>
      </c>
      <c r="H127" s="1" t="str">
        <f t="shared" si="55"/>
        <v>无</v>
      </c>
      <c r="I127" s="1" t="str">
        <f>"202309-202607郑州城建职业学院宠物科技学院宠物医疗技术专业就读（是全日制学历）"</f>
        <v>202309-202607郑州城建职业学院宠物科技学院宠物医疗技术专业就读（是全日制学历）</v>
      </c>
    </row>
    <row r="128" spans="1:9">
      <c r="A128" s="1" t="str">
        <f>"411327200205050029"</f>
        <v>411327200205050029</v>
      </c>
      <c r="B128" s="1" t="str">
        <f>"中共党员"</f>
        <v>中共党员</v>
      </c>
      <c r="C128" s="1" t="str">
        <f t="shared" ref="C128:C130" si="61">"本科"</f>
        <v>本科</v>
      </c>
      <c r="D128" s="1" t="str">
        <f>"2023.07"</f>
        <v>2023.07</v>
      </c>
      <c r="E128" s="1" t="str">
        <f>"中南民族大学"</f>
        <v>中南民族大学</v>
      </c>
      <c r="F128" s="1" t="str">
        <f>"舞蹈学"</f>
        <v>舞蹈学</v>
      </c>
      <c r="G128" s="1" t="str">
        <f>"河南省南阳市内乡县大丞相府南门"</f>
        <v>河南省南阳市内乡县大丞相府南门</v>
      </c>
      <c r="H128" s="1" t="str">
        <f t="shared" si="55"/>
        <v>无</v>
      </c>
      <c r="I128" s="1" t="str">
        <f>"201909-202307 中南民族大学音乐舞蹈学院就读；
202505-至今 内乡县人力资源与社会保障局公益性岗位"</f>
        <v>201909-202307 中南民族大学音乐舞蹈学院就读；
202505-至今 内乡县人力资源与社会保障局公益性岗位</v>
      </c>
    </row>
    <row r="129" spans="1:9">
      <c r="A129" s="1" t="str">
        <f>"411325200210212982"</f>
        <v>411325200210212982</v>
      </c>
      <c r="B129" s="1" t="str">
        <f t="shared" ref="B129:B133" si="62">"共青团员"</f>
        <v>共青团员</v>
      </c>
      <c r="C129" s="1" t="str">
        <f t="shared" si="61"/>
        <v>本科</v>
      </c>
      <c r="D129" s="1" t="str">
        <f>"202407"</f>
        <v>202407</v>
      </c>
      <c r="E129" s="1" t="str">
        <f>"宁波财经学院"</f>
        <v>宁波财经学院</v>
      </c>
      <c r="F129" s="1" t="str">
        <f>"金融工程"</f>
        <v>金融工程</v>
      </c>
      <c r="G129" s="1" t="str">
        <f>"河南省南阳市内乡县状元府"</f>
        <v>河南省南阳市内乡县状元府</v>
      </c>
      <c r="H129" s="1" t="str">
        <f t="shared" si="55"/>
        <v>无</v>
      </c>
      <c r="I129" s="1" t="str">
        <f>"202006-202407宁波财经学院金融工程专业就读"</f>
        <v>202006-202407宁波财经学院金融工程专业就读</v>
      </c>
    </row>
    <row r="130" spans="1:9">
      <c r="A130" s="1" t="str">
        <f>"411327200204284528"</f>
        <v>411327200204284528</v>
      </c>
      <c r="B130" s="1" t="str">
        <f t="shared" si="59"/>
        <v>群众</v>
      </c>
      <c r="C130" s="1" t="str">
        <f t="shared" si="61"/>
        <v>本科</v>
      </c>
      <c r="D130" s="1" t="str">
        <f>"20250605"</f>
        <v>20250605</v>
      </c>
      <c r="E130" s="1" t="str">
        <f>"新乡工程学院"</f>
        <v>新乡工程学院</v>
      </c>
      <c r="F130" s="1" t="str">
        <f>"环境科学"</f>
        <v>环境科学</v>
      </c>
      <c r="G130" s="1" t="str">
        <f>"河南省南阳市内乡县城关镇书院南组"</f>
        <v>河南省南阳市内乡县城关镇书院南组</v>
      </c>
      <c r="H130" s="1" t="str">
        <f t="shared" si="55"/>
        <v>无</v>
      </c>
      <c r="I130" s="1" t="str">
        <f>"202110-202506 新乡工程学院生物工程学院环境科学全日制 就读"</f>
        <v>202110-202506 新乡工程学院生物工程学院环境科学全日制 就读</v>
      </c>
    </row>
    <row r="131" spans="1:9">
      <c r="A131" s="1" t="str">
        <f>"411328200101098630"</f>
        <v>411328200101098630</v>
      </c>
      <c r="B131" s="1" t="str">
        <f t="shared" si="62"/>
        <v>共青团员</v>
      </c>
      <c r="C131" s="1" t="str">
        <f t="shared" si="60"/>
        <v>专科</v>
      </c>
      <c r="D131" s="1" t="str">
        <f>"20230901"</f>
        <v>20230901</v>
      </c>
      <c r="E131" s="1" t="str">
        <f>"周口职业技术学院"</f>
        <v>周口职业技术学院</v>
      </c>
      <c r="F131" s="1" t="str">
        <f>"软件技术"</f>
        <v>软件技术</v>
      </c>
      <c r="G131" s="1" t="str">
        <f>"河南省南阳市内乡县小王庄"</f>
        <v>河南省南阳市内乡县小王庄</v>
      </c>
      <c r="H131" s="1" t="str">
        <f t="shared" si="55"/>
        <v>无</v>
      </c>
      <c r="I131" s="1" t="str">
        <f>"202006-202309周口职业技术学院
202303-202503武警陕西总队西安支队第五大队执勤十六中队"</f>
        <v>202006-202309周口职业技术学院
202303-202503武警陕西总队西安支队第五大队执勤十六中队</v>
      </c>
    </row>
    <row r="132" spans="1:9">
      <c r="A132" s="1" t="str">
        <f>"411327200104273127"</f>
        <v>411327200104273127</v>
      </c>
      <c r="B132" s="1" t="str">
        <f t="shared" ref="B132:B137" si="63">"群众"</f>
        <v>群众</v>
      </c>
      <c r="C132" s="1" t="str">
        <f t="shared" ref="C132:C136" si="64">"本科"</f>
        <v>本科</v>
      </c>
      <c r="D132" s="1" t="str">
        <f>"20240616"</f>
        <v>20240616</v>
      </c>
      <c r="E132" s="1" t="str">
        <f>"郑州工商学院"</f>
        <v>郑州工商学院</v>
      </c>
      <c r="F132" s="1" t="str">
        <f>"学前教育"</f>
        <v>学前教育</v>
      </c>
      <c r="G132" s="1" t="str">
        <f>"河南省南阳市内乡县夏馆镇大栗坪村后营组119号"</f>
        <v>河南省南阳市内乡县夏馆镇大栗坪村后营组119号</v>
      </c>
      <c r="H132" s="1" t="str">
        <f t="shared" si="55"/>
        <v>无</v>
      </c>
      <c r="I132" s="1" t="str">
        <f>"202009-202406在郑州工商学院文法学院学前教育专业就读，全日制学历。"</f>
        <v>202009-202406在郑州工商学院文法学院学前教育专业就读，全日制学历。</v>
      </c>
    </row>
    <row r="133" spans="1:9">
      <c r="A133" s="1" t="str">
        <f>"411330200204060514"</f>
        <v>411330200204060514</v>
      </c>
      <c r="B133" s="1" t="str">
        <f t="shared" si="62"/>
        <v>共青团员</v>
      </c>
      <c r="C133" s="1" t="str">
        <f t="shared" si="64"/>
        <v>本科</v>
      </c>
      <c r="D133" s="1" t="str">
        <f>"20240617"</f>
        <v>20240617</v>
      </c>
      <c r="E133" s="1" t="str">
        <f>"郑州工商学院"</f>
        <v>郑州工商学院</v>
      </c>
      <c r="F133" s="1" t="str">
        <f>"计算机科学与技术"</f>
        <v>计算机科学与技术</v>
      </c>
      <c r="G133" s="1" t="str">
        <f>"河南省南阳市西峡县田关乡别沟村徐岈子组212号"</f>
        <v>河南省南阳市西峡县田关乡别沟村徐岈子组212号</v>
      </c>
      <c r="H133" s="1" t="str">
        <f t="shared" si="55"/>
        <v>无</v>
      </c>
      <c r="I133" s="1" t="str">
        <f>"202009-202406郑州工商学院信息工程学院计算机科学与技术专业就读，全日制本科，202407-至今，待业"</f>
        <v>202009-202406郑州工商学院信息工程学院计算机科学与技术专业就读，全日制本科，202407-至今，待业</v>
      </c>
    </row>
    <row r="134" spans="1:9">
      <c r="A134" s="1" t="str">
        <f>"411324199808026023"</f>
        <v>411324199808026023</v>
      </c>
      <c r="B134" s="1" t="str">
        <f>"中共党员"</f>
        <v>中共党员</v>
      </c>
      <c r="C134" s="1" t="str">
        <f t="shared" si="64"/>
        <v>本科</v>
      </c>
      <c r="D134" s="1" t="str">
        <f>"202107"</f>
        <v>202107</v>
      </c>
      <c r="E134" s="1" t="str">
        <f>"郑州大学西亚斯国际学院"</f>
        <v>郑州大学西亚斯国际学院</v>
      </c>
      <c r="F134" s="1" t="str">
        <f>"旅游管理"</f>
        <v>旅游管理</v>
      </c>
      <c r="G134" s="1" t="str">
        <f>"河南省南阳市镇平县郭庄乡团结口街5号"</f>
        <v>河南省南阳市镇平县郭庄乡团结口街5号</v>
      </c>
      <c r="H134" s="1" t="str">
        <f t="shared" si="55"/>
        <v>无</v>
      </c>
      <c r="I134" s="1" t="str">
        <f>"201709-202107 郑州大学西亚斯国际学院旅游管理专业就读；
202108-202207 参加大学生西部计划，服务于新疆维吾尔自治区克拉玛依乌尔禾区文旅局；
202209-202502 南阳市第十一完全学校；
202503-202507 在南阳待业。"</f>
        <v>201709-202107 郑州大学西亚斯国际学院旅游管理专业就读；
202108-202207 参加大学生西部计划，服务于新疆维吾尔自治区克拉玛依乌尔禾区文旅局；
202209-202502 南阳市第十一完全学校；
202503-202507 在南阳待业。</v>
      </c>
    </row>
    <row r="135" spans="1:9">
      <c r="A135" s="1" t="str">
        <f>"142730199904203231"</f>
        <v>142730199904203231</v>
      </c>
      <c r="B135" s="1" t="str">
        <f t="shared" si="63"/>
        <v>群众</v>
      </c>
      <c r="C135" s="1" t="str">
        <f t="shared" si="64"/>
        <v>本科</v>
      </c>
      <c r="D135" s="1" t="str">
        <f>"20220701"</f>
        <v>20220701</v>
      </c>
      <c r="E135" s="1" t="str">
        <f>"山西工商学院"</f>
        <v>山西工商学院</v>
      </c>
      <c r="F135" s="1" t="str">
        <f>"工商管理"</f>
        <v>工商管理</v>
      </c>
      <c r="G135" s="1" t="str">
        <f>"山西省运城市夏县祁家河乡祁家河村"</f>
        <v>山西省运城市夏县祁家河乡祁家河村</v>
      </c>
      <c r="H135" s="1" t="str">
        <f t="shared" si="55"/>
        <v>无</v>
      </c>
      <c r="I135" s="1" t="str">
        <f>"201709-202007 山西应用科技学院就读财经系电子商务专业
202009-202207 山西工商学院就读商学院工商管理专业
202207-202308 待业
202308-202407 于山西焦煤集团霍州煤电工作
202407-至今 待业"</f>
        <v>201709-202007 山西应用科技学院就读财经系电子商务专业
202009-202207 山西工商学院就读商学院工商管理专业
202207-202308 待业
202308-202407 于山西焦煤集团霍州煤电工作
202407-至今 待业</v>
      </c>
    </row>
    <row r="136" spans="1:9">
      <c r="A136" s="1" t="str">
        <f>"41132720020922062X"</f>
        <v>41132720020922062X</v>
      </c>
      <c r="B136" s="1" t="str">
        <f t="shared" ref="B136:B141" si="65">"共青团员"</f>
        <v>共青团员</v>
      </c>
      <c r="C136" s="1" t="str">
        <f t="shared" si="64"/>
        <v>本科</v>
      </c>
      <c r="D136" s="1" t="str">
        <f>"20250617"</f>
        <v>20250617</v>
      </c>
      <c r="E136" s="1" t="str">
        <f>"洛阳理工学院"</f>
        <v>洛阳理工学院</v>
      </c>
      <c r="F136" s="1" t="str">
        <f>"审计学"</f>
        <v>审计学</v>
      </c>
      <c r="G136" s="1" t="str">
        <f>"河南省南阳市内乡县马山口镇"</f>
        <v>河南省南阳市内乡县马山口镇</v>
      </c>
      <c r="H136" s="1" t="str">
        <f>"初级会计证"</f>
        <v>初级会计证</v>
      </c>
      <c r="I136" s="1" t="str">
        <f>"202109-202506在洛阳理工学院会计学院审计学专业就读，是全日制学历。"</f>
        <v>202109-202506在洛阳理工学院会计学院审计学专业就读，是全日制学历。</v>
      </c>
    </row>
    <row r="137" spans="1:9">
      <c r="A137" s="1" t="str">
        <f>"411381200310200429"</f>
        <v>411381200310200429</v>
      </c>
      <c r="B137" s="1" t="str">
        <f t="shared" si="63"/>
        <v>群众</v>
      </c>
      <c r="C137" s="1" t="str">
        <f>"专科"</f>
        <v>专科</v>
      </c>
      <c r="D137" s="1" t="str">
        <f>"20250607"</f>
        <v>20250607</v>
      </c>
      <c r="E137" s="1" t="str">
        <f>"中原科技学院"</f>
        <v>中原科技学院</v>
      </c>
      <c r="F137" s="1" t="str">
        <f>"小学英语教育"</f>
        <v>小学英语教育</v>
      </c>
      <c r="G137" s="1" t="str">
        <f>"河南省南阳市邓州市花洲办小东关"</f>
        <v>河南省南阳市邓州市花洲办小东关</v>
      </c>
      <c r="H137" s="1" t="str">
        <f t="shared" ref="H137:H144" si="66">"无"</f>
        <v>无</v>
      </c>
      <c r="I137" s="1" t="str">
        <f>"202209-202506中原科技学院外语系小学英语教育专业就读，全日制学历无间断"</f>
        <v>202209-202506中原科技学院外语系小学英语教育专业就读，全日制学历无间断</v>
      </c>
    </row>
    <row r="138" spans="1:9">
      <c r="A138" s="1" t="str">
        <f>"411327200310142101"</f>
        <v>411327200310142101</v>
      </c>
      <c r="B138" s="1" t="str">
        <f t="shared" si="65"/>
        <v>共青团员</v>
      </c>
      <c r="C138" s="1" t="str">
        <f t="shared" ref="C138:C141" si="67">"本科"</f>
        <v>本科</v>
      </c>
      <c r="D138" s="1" t="str">
        <f>"202206"</f>
        <v>202206</v>
      </c>
      <c r="E138" s="1" t="str">
        <f>"新乡学院"</f>
        <v>新乡学院</v>
      </c>
      <c r="F138" s="1" t="str">
        <f>"信息与计算科学"</f>
        <v>信息与计算科学</v>
      </c>
      <c r="G138" s="1" t="str">
        <f>"河南省南阳市内乡县师岗镇师岗村"</f>
        <v>河南省南阳市内乡县师岗镇师岗村</v>
      </c>
      <c r="H138" s="1" t="str">
        <f t="shared" si="66"/>
        <v>无</v>
      </c>
      <c r="I138" s="1" t="str">
        <f>"201809-202206  新乡学院  就读
202209-至今  郦都学校  教学"</f>
        <v>201809-202206  新乡学院  就读
202209-至今  郦都学校  教学</v>
      </c>
    </row>
    <row r="139" spans="1:9">
      <c r="A139" s="1" t="str">
        <f>"411303199408061530"</f>
        <v>411303199408061530</v>
      </c>
      <c r="B139" s="1" t="str">
        <f>"中共党员"</f>
        <v>中共党员</v>
      </c>
      <c r="C139" s="1" t="str">
        <f t="shared" si="67"/>
        <v>本科</v>
      </c>
      <c r="D139" s="1" t="str">
        <f>"20180701"</f>
        <v>20180701</v>
      </c>
      <c r="E139" s="1" t="str">
        <f>"南阳师范学院"</f>
        <v>南阳师范学院</v>
      </c>
      <c r="F139" s="1" t="str">
        <f>"土木工程"</f>
        <v>土木工程</v>
      </c>
      <c r="G139" s="1" t="str">
        <f>"河南省南阳市卧龙区雪枫路雪枫家苑"</f>
        <v>河南省南阳市卧龙区雪枫路雪枫家苑</v>
      </c>
      <c r="H139" s="1" t="str">
        <f>"助理工程师"</f>
        <v>助理工程师</v>
      </c>
      <c r="I139" s="1" t="str">
        <f>"201409-201807在南阳师范学院的建筑与土木工程学院就读土木工程专业，全日制本科。
201808-202107待业
202108至今在乐凯华光印刷科技有限公司"</f>
        <v>201409-201807在南阳师范学院的建筑与土木工程学院就读土木工程专业，全日制本科。
201808-202107待业
202108至今在乐凯华光印刷科技有限公司</v>
      </c>
    </row>
    <row r="140" spans="1:9">
      <c r="A140" s="1" t="str">
        <f>"411327200011202549"</f>
        <v>411327200011202549</v>
      </c>
      <c r="B140" s="1" t="str">
        <f t="shared" si="65"/>
        <v>共青团员</v>
      </c>
      <c r="C140" s="1" t="str">
        <f t="shared" si="67"/>
        <v>本科</v>
      </c>
      <c r="D140" s="1" t="str">
        <f>"20230701"</f>
        <v>20230701</v>
      </c>
      <c r="E140" s="1" t="str">
        <f>"黄河交通学院"</f>
        <v>黄河交通学院</v>
      </c>
      <c r="F140" s="1" t="str">
        <f>"电子商务"</f>
        <v>电子商务</v>
      </c>
      <c r="G140" s="1" t="str">
        <f>"河南省南阳市内乡县王店镇雷沟村桑庄"</f>
        <v>河南省南阳市内乡县王店镇雷沟村桑庄</v>
      </c>
      <c r="H140" s="1" t="str">
        <f t="shared" si="66"/>
        <v>无</v>
      </c>
      <c r="I140" s="1" t="str">
        <f>"201909-202307 黄河交通学院经济管理学院电子商务专业就读 是全日制学历
202307-至今 在家待业
"</f>
        <v>201909-202307 黄河交通学院经济管理学院电子商务专业就读 是全日制学历
202307-至今 在家待业
</v>
      </c>
    </row>
    <row r="141" spans="1:9">
      <c r="A141" s="1" t="str">
        <f>"140427200310238057"</f>
        <v>140427200310238057</v>
      </c>
      <c r="B141" s="1" t="str">
        <f t="shared" si="65"/>
        <v>共青团员</v>
      </c>
      <c r="C141" s="1" t="str">
        <f t="shared" si="67"/>
        <v>本科</v>
      </c>
      <c r="D141" s="1" t="str">
        <f>"20250612"</f>
        <v>20250612</v>
      </c>
      <c r="E141" s="1" t="str">
        <f>"太原理工大学"</f>
        <v>太原理工大学</v>
      </c>
      <c r="F141" s="1" t="str">
        <f>"安全工程"</f>
        <v>安全工程</v>
      </c>
      <c r="G141" s="1" t="str">
        <f>"山西省长治市壶关县龙泉镇成才中学家属院43082号"</f>
        <v>山西省长治市壶关县龙泉镇成才中学家属院43082号</v>
      </c>
      <c r="H141" s="1" t="str">
        <f t="shared" si="66"/>
        <v>无</v>
      </c>
      <c r="I141" s="1" t="str">
        <f>"202109-202506 太原理工大学安全与应急管理工程学院安全工程专业 就读 全日制学历"</f>
        <v>202109-202506 太原理工大学安全与应急管理工程学院安全工程专业 就读 全日制学历</v>
      </c>
    </row>
    <row r="142" spans="1:9">
      <c r="A142" s="1" t="str">
        <f>"411327199703173923"</f>
        <v>411327199703173923</v>
      </c>
      <c r="B142" s="1" t="str">
        <f>"中共党员"</f>
        <v>中共党员</v>
      </c>
      <c r="C142" s="1" t="str">
        <f>"硕士研究生"</f>
        <v>硕士研究生</v>
      </c>
      <c r="D142" s="1" t="str">
        <f>"20240614"</f>
        <v>20240614</v>
      </c>
      <c r="E142" s="1" t="str">
        <f>"云南大学"</f>
        <v>云南大学</v>
      </c>
      <c r="F142" s="1" t="str">
        <f>"社会学-人类学"</f>
        <v>社会学-人类学</v>
      </c>
      <c r="G142" s="1" t="str">
        <f>"河南省南阳市内乡县"</f>
        <v>河南省南阳市内乡县</v>
      </c>
      <c r="H142" s="1" t="str">
        <f t="shared" si="66"/>
        <v>无</v>
      </c>
      <c r="I142" s="1" t="str">
        <f>"
2017年09-2021.06，新疆师范大学	历史学与社会学学院 民族学 全日制
2021.09-2024.06	云南大学	民族学与社会学学院 人类学	全日制
"</f>
        <v>
2017年09-2021.06，新疆师范大学	历史学与社会学学院 民族学 全日制
2021.09-2024.06	云南大学	民族学与社会学学院 人类学	全日制
</v>
      </c>
    </row>
    <row r="143" spans="1:9">
      <c r="A143" s="1" t="str">
        <f>"411102200105060010"</f>
        <v>411102200105060010</v>
      </c>
      <c r="B143" s="1" t="str">
        <f t="shared" ref="B143:B148" si="68">"共青团员"</f>
        <v>共青团员</v>
      </c>
      <c r="C143" s="1" t="str">
        <f>"本科"</f>
        <v>本科</v>
      </c>
      <c r="D143" s="1" t="str">
        <f>"20240601"</f>
        <v>20240601</v>
      </c>
      <c r="E143" s="1" t="str">
        <f>"武昌理工学院"</f>
        <v>武昌理工学院</v>
      </c>
      <c r="F143" s="1" t="str">
        <f>"汉语言文学"</f>
        <v>汉语言文学</v>
      </c>
      <c r="G143" s="1" t="str">
        <f>"河南省漯河市源汇区螺湾小镇"</f>
        <v>河南省漯河市源汇区螺湾小镇</v>
      </c>
      <c r="H143" s="1" t="str">
        <f t="shared" si="66"/>
        <v>无</v>
      </c>
      <c r="I143" s="1" t="str">
        <f>"201909-202206湖北科技职业学院 酒店管理专业 专科 全日制
202209-202406武昌理工学院 汉语言文学专业 本科 全日制 学士学位"</f>
        <v>201909-202206湖北科技职业学院 酒店管理专业 专科 全日制
202209-202406武昌理工学院 汉语言文学专业 本科 全日制 学士学位</v>
      </c>
    </row>
    <row r="144" spans="1:9">
      <c r="A144" s="1" t="str">
        <f>"410521199901140059"</f>
        <v>410521199901140059</v>
      </c>
      <c r="B144" s="1" t="str">
        <f>"群众"</f>
        <v>群众</v>
      </c>
      <c r="C144" s="1" t="str">
        <f t="shared" ref="C144:C146" si="69">"专科"</f>
        <v>专科</v>
      </c>
      <c r="D144" s="1" t="str">
        <f>"20190607"</f>
        <v>20190607</v>
      </c>
      <c r="E144" s="1" t="str">
        <f>"安阳职业技术学院"</f>
        <v>安阳职业技术学院</v>
      </c>
      <c r="F144" s="1" t="str">
        <f>"会计"</f>
        <v>会计</v>
      </c>
      <c r="G144" s="1" t="str">
        <f>"河南省林州市"</f>
        <v>河南省林州市</v>
      </c>
      <c r="H144" s="1" t="str">
        <f t="shared" si="66"/>
        <v>无</v>
      </c>
      <c r="I144" s="1" t="str">
        <f>"201409-201906 安阳职业技术学院 就读，3+2全日制大专就读毕业"</f>
        <v>201409-201906 安阳职业技术学院 就读，3+2全日制大专就读毕业</v>
      </c>
    </row>
    <row r="145" spans="1:9">
      <c r="A145" s="1" t="str">
        <f>"411303200003142119"</f>
        <v>411303200003142119</v>
      </c>
      <c r="B145" s="1" t="str">
        <f t="shared" si="68"/>
        <v>共青团员</v>
      </c>
      <c r="C145" s="1" t="str">
        <f t="shared" si="69"/>
        <v>专科</v>
      </c>
      <c r="D145" s="1" t="str">
        <f>"20250620"</f>
        <v>20250620</v>
      </c>
      <c r="E145" s="1" t="str">
        <f>"平顶山工业职业技术学院"</f>
        <v>平顶山工业职业技术学院</v>
      </c>
      <c r="F145" s="1" t="str">
        <f>"环境艺术设计"</f>
        <v>环境艺术设计</v>
      </c>
      <c r="G145" s="1" t="str">
        <f>"河南省南阳市卧龙区百里奚街道小白庄"</f>
        <v>河南省南阳市卧龙区百里奚街道小白庄</v>
      </c>
      <c r="H145" s="1" t="str">
        <f>"室内设计职业等级证书中级"</f>
        <v>室内设计职业等级证书中级</v>
      </c>
      <c r="I145" s="1" t="str">
        <f>"202209-202506平顶山工业职业技术学院艺术学院环境艺术设计专业全日制就读"</f>
        <v>202209-202506平顶山工业职业技术学院艺术学院环境艺术设计专业全日制就读</v>
      </c>
    </row>
    <row r="146" spans="1:9">
      <c r="A146" s="1" t="str">
        <f>"411327199006074559"</f>
        <v>411327199006074559</v>
      </c>
      <c r="B146" s="1" t="str">
        <f t="shared" si="68"/>
        <v>共青团员</v>
      </c>
      <c r="C146" s="1" t="str">
        <f t="shared" si="69"/>
        <v>专科</v>
      </c>
      <c r="D146" s="1" t="str">
        <f>"20140701"</f>
        <v>20140701</v>
      </c>
      <c r="E146" s="1" t="str">
        <f>"郑州信息工程职业学院"</f>
        <v>郑州信息工程职业学院</v>
      </c>
      <c r="F146" s="1" t="str">
        <f>"会计"</f>
        <v>会计</v>
      </c>
      <c r="G146" s="1" t="str">
        <f>"南阳市内乡县"</f>
        <v>南阳市内乡县</v>
      </c>
      <c r="H146" s="1" t="str">
        <f t="shared" ref="H146:H149" si="70">"无"</f>
        <v>无</v>
      </c>
      <c r="I146" s="1" t="str">
        <f>"201109-201407郑州信息工程职业学院财经系会计专业就读，全日制大专"</f>
        <v>201109-201407郑州信息工程职业学院财经系会计专业就读，全日制大专</v>
      </c>
    </row>
    <row r="147" spans="1:9">
      <c r="A147" s="1" t="str">
        <f>"411327199903042557"</f>
        <v>411327199903042557</v>
      </c>
      <c r="B147" s="1" t="str">
        <f t="shared" si="68"/>
        <v>共青团员</v>
      </c>
      <c r="C147" s="1" t="str">
        <f>"硕士研究生"</f>
        <v>硕士研究生</v>
      </c>
      <c r="D147" s="1" t="str">
        <f>"20250701"</f>
        <v>20250701</v>
      </c>
      <c r="E147" s="1" t="str">
        <f>"河南师范大学"</f>
        <v>河南师范大学</v>
      </c>
      <c r="F147" s="1" t="str">
        <f>"马克思主义理论"</f>
        <v>马克思主义理论</v>
      </c>
      <c r="G147" s="1" t="str">
        <f>"河南省南阳市内乡县"</f>
        <v>河南省南阳市内乡县</v>
      </c>
      <c r="H147" s="1" t="str">
        <f>"高中教师资格证"</f>
        <v>高中教师资格证</v>
      </c>
      <c r="I147" s="1" t="str">
        <f>"201809-202206 河南师范大学新联学院就读 政法学院 思想政治教育专业 全日制学士
202209-202506 河南师范大学 马克思主义学院 马克思主义理论专业 全日制硕士"</f>
        <v>201809-202206 河南师范大学新联学院就读 政法学院 思想政治教育专业 全日制学士
202209-202506 河南师范大学 马克思主义学院 马克思主义理论专业 全日制硕士</v>
      </c>
    </row>
    <row r="148" spans="1:9">
      <c r="A148" s="1" t="str">
        <f>"411122200206190012"</f>
        <v>411122200206190012</v>
      </c>
      <c r="B148" s="1" t="str">
        <f t="shared" si="68"/>
        <v>共青团员</v>
      </c>
      <c r="C148" s="1" t="str">
        <f t="shared" ref="C148:C155" si="71">"本科"</f>
        <v>本科</v>
      </c>
      <c r="D148" s="1" t="str">
        <f>"2024-07-23"</f>
        <v>2024-07-23</v>
      </c>
      <c r="E148" s="1" t="str">
        <f>"山东建筑大学"</f>
        <v>山东建筑大学</v>
      </c>
      <c r="F148" s="1" t="str">
        <f>"电气工程及其自动化"</f>
        <v>电气工程及其自动化</v>
      </c>
      <c r="G148" s="1" t="str">
        <f>"河南省漯河市召陵区瑞贝卡家天下"</f>
        <v>河南省漯河市召陵区瑞贝卡家天下</v>
      </c>
      <c r="H148" s="1" t="str">
        <f t="shared" si="70"/>
        <v>无</v>
      </c>
      <c r="I148" s="1" t="str">
        <f>"202009-202407在山东建筑大学信息与电气工程学院电气工程及其自动化专业就读"</f>
        <v>202009-202407在山东建筑大学信息与电气工程学院电气工程及其自动化专业就读</v>
      </c>
    </row>
    <row r="149" spans="1:9">
      <c r="A149" s="1" t="str">
        <f>"140430200210024025"</f>
        <v>140430200210024025</v>
      </c>
      <c r="B149" s="1" t="str">
        <f t="shared" ref="B149:B152" si="72">"群众"</f>
        <v>群众</v>
      </c>
      <c r="C149" s="1" t="str">
        <f t="shared" si="71"/>
        <v>本科</v>
      </c>
      <c r="D149" s="1" t="str">
        <f>"20250701"</f>
        <v>20250701</v>
      </c>
      <c r="E149" s="1" t="str">
        <f>"太原学院"</f>
        <v>太原学院</v>
      </c>
      <c r="F149" s="1" t="str">
        <f>"给排水科学与工程"</f>
        <v>给排水科学与工程</v>
      </c>
      <c r="G149" s="1" t="str">
        <f>"山西省长治市沁县牛寺乡南牛寺村"</f>
        <v>山西省长治市沁县牛寺乡南牛寺村</v>
      </c>
      <c r="H149" s="1" t="str">
        <f t="shared" si="70"/>
        <v>无</v>
      </c>
      <c r="I149" s="1" t="str">
        <f>"2021010-202507太原学院建筑与环境工程系给排水科学与工程专业就读，是全日制学历。"</f>
        <v>2021010-202507太原学院建筑与环境工程系给排水科学与工程专业就读，是全日制学历。</v>
      </c>
    </row>
    <row r="150" spans="1:9">
      <c r="A150" s="1" t="str">
        <f>"412701200003022010"</f>
        <v>412701200003022010</v>
      </c>
      <c r="B150" s="1" t="str">
        <f>"共青团员"</f>
        <v>共青团员</v>
      </c>
      <c r="C150" s="1" t="str">
        <f t="shared" si="71"/>
        <v>本科</v>
      </c>
      <c r="D150" s="1" t="str">
        <f>"20250607"</f>
        <v>20250607</v>
      </c>
      <c r="E150" s="1" t="str">
        <f>"通化师范学院"</f>
        <v>通化师范学院</v>
      </c>
      <c r="F150" s="1" t="str">
        <f>"财务管理"</f>
        <v>财务管理</v>
      </c>
      <c r="G150" s="1" t="str">
        <f>"河南省周口市川汇区七一路办事处"</f>
        <v>河南省周口市川汇区七一路办事处</v>
      </c>
      <c r="H150" s="1" t="str">
        <f>"机动车检验检测人员培训证书"</f>
        <v>机动车检验检测人员培训证书</v>
      </c>
      <c r="I150" s="1" t="str">
        <f>"201809-202106在周口职业技术学院就读是全日制学历"</f>
        <v>201809-202106在周口职业技术学院就读是全日制学历</v>
      </c>
    </row>
    <row r="151" spans="1:9">
      <c r="A151" s="1" t="str">
        <f>"411327199603013981"</f>
        <v>411327199603013981</v>
      </c>
      <c r="B151" s="1" t="str">
        <f t="shared" si="72"/>
        <v>群众</v>
      </c>
      <c r="C151" s="1" t="str">
        <f t="shared" si="71"/>
        <v>本科</v>
      </c>
      <c r="D151" s="1" t="str">
        <f>"20230701"</f>
        <v>20230701</v>
      </c>
      <c r="E151" s="1" t="str">
        <f>"河南农业大学"</f>
        <v>河南农业大学</v>
      </c>
      <c r="F151" s="1" t="str">
        <f>"行政管理"</f>
        <v>行政管理</v>
      </c>
      <c r="G151" s="1" t="str">
        <f>"河南省南阳市内乡县湍东镇屈庄村"</f>
        <v>河南省南阳市内乡县湍东镇屈庄村</v>
      </c>
      <c r="H151" s="1" t="str">
        <f t="shared" ref="H151:H157" si="73">"无"</f>
        <v>无</v>
      </c>
      <c r="I151" s="1" t="str">
        <f>"201509-201807南阳理工学院初等教育英语专业就读，全日制学历
201807-201808待业
201809至今灌涨镇政府职员
202103-202307河南农业大学行政管理就读"</f>
        <v>201509-201807南阳理工学院初等教育英语专业就读，全日制学历
201807-201808待业
201809至今灌涨镇政府职员
202103-202307河南农业大学行政管理就读</v>
      </c>
    </row>
    <row r="152" spans="1:9">
      <c r="A152" s="1" t="str">
        <f>"411327199812080021"</f>
        <v>411327199812080021</v>
      </c>
      <c r="B152" s="1" t="str">
        <f t="shared" si="72"/>
        <v>群众</v>
      </c>
      <c r="C152" s="1" t="str">
        <f t="shared" si="71"/>
        <v>本科</v>
      </c>
      <c r="D152" s="1" t="str">
        <f>"20200701"</f>
        <v>20200701</v>
      </c>
      <c r="E152" s="1" t="str">
        <f>"郑州大学西亚斯国际学院"</f>
        <v>郑州大学西亚斯国际学院</v>
      </c>
      <c r="F152" s="1" t="str">
        <f>"法学"</f>
        <v>法学</v>
      </c>
      <c r="G152" s="1" t="str">
        <f>"河南省南阳市内乡县城关镇明珠花园"</f>
        <v>河南省南阳市内乡县城关镇明珠花园</v>
      </c>
      <c r="H152" s="1" t="str">
        <f t="shared" si="73"/>
        <v>无</v>
      </c>
      <c r="I152" s="1" t="str">
        <f>"2016.09-2020.07   郑州大学西亚斯国际学院  法学专业就读 全日制学历
2020.07-2022.10   在家待业
2022.10-今        余关镇人民政府"</f>
        <v>2016.09-2020.07   郑州大学西亚斯国际学院  法学专业就读 全日制学历
2020.07-2022.10   在家待业
2022.10-今        余关镇人民政府</v>
      </c>
    </row>
    <row r="153" spans="1:9">
      <c r="A153" s="1" t="str">
        <f>"410326200108250021"</f>
        <v>410326200108250021</v>
      </c>
      <c r="B153" s="1" t="str">
        <f>"中共党员"</f>
        <v>中共党员</v>
      </c>
      <c r="C153" s="1" t="str">
        <f t="shared" si="71"/>
        <v>本科</v>
      </c>
      <c r="D153" s="1" t="str">
        <f>"20240701"</f>
        <v>20240701</v>
      </c>
      <c r="E153" s="1" t="str">
        <f>"河南工程学院"</f>
        <v>河南工程学院</v>
      </c>
      <c r="F153" s="1" t="str">
        <f>"财务管理"</f>
        <v>财务管理</v>
      </c>
      <c r="G153" s="1" t="str">
        <f>"河南省洛阳市汝阳县丽景明珠"</f>
        <v>河南省洛阳市汝阳县丽景明珠</v>
      </c>
      <c r="H153" s="1" t="str">
        <f>"初级会计证"</f>
        <v>初级会计证</v>
      </c>
      <c r="I153" s="1" t="str">
        <f>"201909-202206在焦作大学会计学院财务管理专业就读，全日制；202209-202406在河南工程学院会计学院财务管理专业就读，全日制；
202409至今在家待业"</f>
        <v>201909-202206在焦作大学会计学院财务管理专业就读，全日制；202209-202406在河南工程学院会计学院财务管理专业就读，全日制；
202409至今在家待业</v>
      </c>
    </row>
    <row r="154" spans="1:9">
      <c r="A154" s="1" t="str">
        <f>"41132719981206374X"</f>
        <v>41132719981206374X</v>
      </c>
      <c r="B154" s="1" t="str">
        <f t="shared" ref="B154:B157" si="74">"群众"</f>
        <v>群众</v>
      </c>
      <c r="C154" s="1" t="str">
        <f t="shared" si="71"/>
        <v>本科</v>
      </c>
      <c r="D154" s="1" t="str">
        <f>"20210701"</f>
        <v>20210701</v>
      </c>
      <c r="E154" s="1" t="str">
        <f>"河南师范大学"</f>
        <v>河南师范大学</v>
      </c>
      <c r="F154" s="1" t="str">
        <f>"历史学"</f>
        <v>历史学</v>
      </c>
      <c r="G154" s="1" t="str">
        <f>"河南省南阳市内乡县桃溪镇"</f>
        <v>河南省南阳市内乡县桃溪镇</v>
      </c>
      <c r="H154" s="1" t="str">
        <f t="shared" si="73"/>
        <v>无</v>
      </c>
      <c r="I154" s="1" t="str">
        <f>"201709-202107河南师范大学历史文化学院历史系就读全日制学历；
"</f>
        <v>201709-202107河南师范大学历史文化学院历史系就读全日制学历；
</v>
      </c>
    </row>
    <row r="155" ht="216" spans="1:9">
      <c r="A155" s="1" t="str">
        <f>"412723199112288611"</f>
        <v>412723199112288611</v>
      </c>
      <c r="B155" s="1" t="str">
        <f t="shared" si="74"/>
        <v>群众</v>
      </c>
      <c r="C155" s="1" t="str">
        <f t="shared" si="71"/>
        <v>本科</v>
      </c>
      <c r="D155" s="1" t="str">
        <f>"2024.01"</f>
        <v>2024.01</v>
      </c>
      <c r="E155" s="1" t="str">
        <f>"天津大学"</f>
        <v>天津大学</v>
      </c>
      <c r="F155" s="1" t="str">
        <f>"工商管理"</f>
        <v>工商管理</v>
      </c>
      <c r="G155" s="1" t="str">
        <f>"漯河市郾城区黄河路287号"</f>
        <v>漯河市郾城区黄河路287号</v>
      </c>
      <c r="H155" s="1" t="str">
        <f t="shared" si="73"/>
        <v>无</v>
      </c>
      <c r="I155" s="3" t="s">
        <v>203</v>
      </c>
    </row>
    <row r="156" spans="1:9">
      <c r="A156" s="1" t="str">
        <f>"411302199704281312"</f>
        <v>411302199704281312</v>
      </c>
      <c r="B156" s="1" t="str">
        <f t="shared" si="74"/>
        <v>群众</v>
      </c>
      <c r="C156" s="1" t="str">
        <f>"硕士研究生"</f>
        <v>硕士研究生</v>
      </c>
      <c r="D156" s="1" t="str">
        <f>"20240630"</f>
        <v>20240630</v>
      </c>
      <c r="E156" s="1" t="str">
        <f>"中南民族大学"</f>
        <v>中南民族大学</v>
      </c>
      <c r="F156" s="1" t="str">
        <f>"艺术设计"</f>
        <v>艺术设计</v>
      </c>
      <c r="G156" s="1" t="str">
        <f>"河南省南阳市宛城区工农北路338号"</f>
        <v>河南省南阳市宛城区工农北路338号</v>
      </c>
      <c r="H156" s="1" t="str">
        <f t="shared" si="73"/>
        <v>无</v>
      </c>
      <c r="I156" s="1" t="str">
        <f>"201609-202006 南阳理工学院就读 艺术设计学院 环境设计专业 全日制学历
2020.06-202109 在家待业
202109-202406 中南民族大学就读 美术学院 艺术设计专业 全日制学历"</f>
        <v>201609-202006 南阳理工学院就读 艺术设计学院 环境设计专业 全日制学历
2020.06-202109 在家待业
202109-202406 中南民族大学就读 美术学院 艺术设计专业 全日制学历</v>
      </c>
    </row>
    <row r="157" spans="1:9">
      <c r="A157" s="1" t="str">
        <f>"411302200304180040"</f>
        <v>411302200304180040</v>
      </c>
      <c r="B157" s="1" t="str">
        <f t="shared" si="74"/>
        <v>群众</v>
      </c>
      <c r="C157" s="1" t="str">
        <f>"专科"</f>
        <v>专科</v>
      </c>
      <c r="D157" s="1" t="str">
        <f>"20230701"</f>
        <v>20230701</v>
      </c>
      <c r="E157" s="1" t="str">
        <f>"郑州市幼儿师范高等专科学校"</f>
        <v>郑州市幼儿师范高等专科学校</v>
      </c>
      <c r="F157" s="1" t="str">
        <f>"学前教育"</f>
        <v>学前教育</v>
      </c>
      <c r="G157" s="1" t="str">
        <f>"河南省南阳市宛城区瓦店镇李璜村"</f>
        <v>河南省南阳市宛城区瓦店镇李璜村</v>
      </c>
      <c r="H157" s="1" t="str">
        <f t="shared" si="73"/>
        <v>无</v>
      </c>
      <c r="I157" s="1" t="str">
        <f>"20180901-20230701在郑州幼儿师范高等专科学校学前教育系就读，全日制"</f>
        <v>20180901-20230701在郑州幼儿师范高等专科学校学前教育系就读，全日制</v>
      </c>
    </row>
    <row r="158" spans="1:9">
      <c r="A158" s="1" t="str">
        <f>"411327199907071144"</f>
        <v>411327199907071144</v>
      </c>
      <c r="B158" s="1" t="str">
        <f t="shared" ref="B158:B161" si="75">"共青团员"</f>
        <v>共青团员</v>
      </c>
      <c r="C158" s="1" t="str">
        <f t="shared" ref="C158:C167" si="76">"本科"</f>
        <v>本科</v>
      </c>
      <c r="D158" s="1" t="str">
        <f>"20210602"</f>
        <v>20210602</v>
      </c>
      <c r="E158" s="1" t="str">
        <f>"河南工业大学"</f>
        <v>河南工业大学</v>
      </c>
      <c r="F158" s="1" t="str">
        <f>"法学"</f>
        <v>法学</v>
      </c>
      <c r="G158" s="1" t="str">
        <f>"河南省南阳市内乡县赤眉镇杨店村"</f>
        <v>河南省南阳市内乡县赤眉镇杨店村</v>
      </c>
      <c r="H158" s="1" t="str">
        <f>"法律职业资格证书"</f>
        <v>法律职业资格证书</v>
      </c>
      <c r="I158" s="1" t="str">
        <f>"201709-202106 河南工业大学法学院法学专业就读，全日制本科学历；
"</f>
        <v>201709-202106 河南工业大学法学院法学专业就读，全日制本科学历；
</v>
      </c>
    </row>
    <row r="159" spans="1:9">
      <c r="A159" s="1" t="str">
        <f>"411303200205050028"</f>
        <v>411303200205050028</v>
      </c>
      <c r="B159" s="1" t="str">
        <f t="shared" si="75"/>
        <v>共青团员</v>
      </c>
      <c r="C159" s="1" t="str">
        <f>"硕士研究生"</f>
        <v>硕士研究生</v>
      </c>
      <c r="D159" s="1" t="str">
        <f>"20241121"</f>
        <v>20241121</v>
      </c>
      <c r="E159" s="1" t="str">
        <f>"英国利兹大学"</f>
        <v>英国利兹大学</v>
      </c>
      <c r="F159" s="1" t="str">
        <f>"金融学（金融与投资）"</f>
        <v>金融学（金融与投资）</v>
      </c>
      <c r="G159" s="1" t="str">
        <f>"河南省南阳市宛城区汉冶街道孔明路天麒家园"</f>
        <v>河南省南阳市宛城区汉冶街道孔明路天麒家园</v>
      </c>
      <c r="H159" s="1" t="str">
        <f t="shared" ref="H159:H163" si="77">"无"</f>
        <v>无</v>
      </c>
      <c r="I159" s="1" t="str">
        <f>"202009-202307 英国布里斯托大学就读数学统计与金融专业，全日制本科。202309-202411 英国利兹大学就读金融与投资专业，全日制硕士。"</f>
        <v>202009-202307 英国布里斯托大学就读数学统计与金融专业，全日制本科。202309-202411 英国利兹大学就读金融与投资专业，全日制硕士。</v>
      </c>
    </row>
    <row r="160" spans="1:9">
      <c r="A160" s="1" t="str">
        <f>"411327199805263110"</f>
        <v>411327199805263110</v>
      </c>
      <c r="B160" s="1" t="str">
        <f>"中共党员"</f>
        <v>中共党员</v>
      </c>
      <c r="C160" s="1" t="str">
        <f t="shared" si="76"/>
        <v>本科</v>
      </c>
      <c r="D160" s="1" t="str">
        <f>"2021-07-01"</f>
        <v>2021-07-01</v>
      </c>
      <c r="E160" s="1" t="str">
        <f>"河南城建学院"</f>
        <v>河南城建学院</v>
      </c>
      <c r="F160" s="1" t="str">
        <f>"建筑环境与能源应用工程"</f>
        <v>建筑环境与能源应用工程</v>
      </c>
      <c r="G160" s="1" t="str">
        <f>"河南省南阳市内乡县左岸皇朝"</f>
        <v>河南省南阳市内乡县左岸皇朝</v>
      </c>
      <c r="H160" s="1" t="str">
        <f t="shared" si="77"/>
        <v>无</v>
      </c>
      <c r="I160" s="1" t="str">
        <f>"201709-202107 河南城建学院 建筑环境与能源应用工程 全日制本科"</f>
        <v>201709-202107 河南城建学院 建筑环境与能源应用工程 全日制本科</v>
      </c>
    </row>
    <row r="161" spans="1:9">
      <c r="A161" s="1" t="str">
        <f>"411327200108282557"</f>
        <v>411327200108282557</v>
      </c>
      <c r="B161" s="1" t="str">
        <f t="shared" si="75"/>
        <v>共青团员</v>
      </c>
      <c r="C161" s="1" t="str">
        <f>"专科"</f>
        <v>专科</v>
      </c>
      <c r="D161" s="1" t="str">
        <f>"20240626"</f>
        <v>20240626</v>
      </c>
      <c r="E161" s="1" t="str">
        <f>"大连职业技术学院"</f>
        <v>大连职业技术学院</v>
      </c>
      <c r="F161" s="1" t="str">
        <f>"汽车电子技术"</f>
        <v>汽车电子技术</v>
      </c>
      <c r="G161" s="1" t="str">
        <f>"河南省南阳市内乡县"</f>
        <v>河南省南阳市内乡县</v>
      </c>
      <c r="H161" s="1" t="str">
        <f t="shared" si="77"/>
        <v>无</v>
      </c>
      <c r="I161" s="1" t="str">
        <f>"202009-20240626 大连职业技术学院 就读。
2020年9月至2024年6月在大连职业技术学院汽车工程学院汽车电子技术专业就读,是全日制学历；2024年8月至今在沈阳城市建设学院就读本科。"</f>
        <v>202009-20240626 大连职业技术学院 就读。
2020年9月至2024年6月在大连职业技术学院汽车工程学院汽车电子技术专业就读,是全日制学历；2024年8月至今在沈阳城市建设学院就读本科。</v>
      </c>
    </row>
    <row r="162" spans="1:9">
      <c r="A162" s="1" t="str">
        <f>"411327200110194222"</f>
        <v>411327200110194222</v>
      </c>
      <c r="B162" s="1" t="str">
        <f>"群众"</f>
        <v>群众</v>
      </c>
      <c r="C162" s="1" t="str">
        <f t="shared" si="76"/>
        <v>本科</v>
      </c>
      <c r="D162" s="1" t="str">
        <f>"20240701"</f>
        <v>20240701</v>
      </c>
      <c r="E162" s="1" t="str">
        <f>"黄河交通学院"</f>
        <v>黄河交通学院</v>
      </c>
      <c r="F162" s="1" t="str">
        <f>"物流管理"</f>
        <v>物流管理</v>
      </c>
      <c r="G162" s="1" t="str">
        <f>"河南省南阳市内乡县余关镇岳沟村"</f>
        <v>河南省南阳市内乡县余关镇岳沟村</v>
      </c>
      <c r="H162" s="1" t="str">
        <f t="shared" si="77"/>
        <v>无</v>
      </c>
      <c r="I162" s="1" t="str">
        <f>"202009——202407 黄河交通学院经济管理学院物流管理专业就读全日制学历
202407——202507 在内乡县待业"</f>
        <v>202009——202407 黄河交通学院经济管理学院物流管理专业就读全日制学历
202407——202507 在内乡县待业</v>
      </c>
    </row>
    <row r="163" spans="1:9">
      <c r="A163" s="1" t="str">
        <f>"411323200103133434"</f>
        <v>411323200103133434</v>
      </c>
      <c r="B163" s="1" t="str">
        <f t="shared" ref="B163:B166" si="78">"共青团员"</f>
        <v>共青团员</v>
      </c>
      <c r="C163" s="1" t="str">
        <f t="shared" si="76"/>
        <v>本科</v>
      </c>
      <c r="D163" s="1" t="str">
        <f>"20230701"</f>
        <v>20230701</v>
      </c>
      <c r="E163" s="1" t="str">
        <f>"信阳师范大学"</f>
        <v>信阳师范大学</v>
      </c>
      <c r="F163" s="1" t="str">
        <f>"软件工程"</f>
        <v>软件工程</v>
      </c>
      <c r="G163" s="1" t="str">
        <f>"河南省南阳市淅川县大石桥乡育才路275号"</f>
        <v>河南省南阳市淅川县大石桥乡育才路275号</v>
      </c>
      <c r="H163" s="1" t="str">
        <f t="shared" si="77"/>
        <v>无</v>
      </c>
      <c r="I163" s="1" t="str">
        <f>"201909-202307 信阳师范大学计算机与信息技术学院 就读 全日制学历
202307-至今 待业"</f>
        <v>201909-202307 信阳师范大学计算机与信息技术学院 就读 全日制学历
202307-至今 待业</v>
      </c>
    </row>
    <row r="164" spans="1:9">
      <c r="A164" s="1" t="str">
        <f>"411327200203103924"</f>
        <v>411327200203103924</v>
      </c>
      <c r="B164" s="1" t="str">
        <f t="shared" si="78"/>
        <v>共青团员</v>
      </c>
      <c r="C164" s="1" t="str">
        <f t="shared" si="76"/>
        <v>本科</v>
      </c>
      <c r="D164" s="1" t="str">
        <f>"20240701"</f>
        <v>20240701</v>
      </c>
      <c r="E164" s="1" t="str">
        <f>"郑州财经学院"</f>
        <v>郑州财经学院</v>
      </c>
      <c r="F164" s="1" t="str">
        <f>"数据科学与大数据技术"</f>
        <v>数据科学与大数据技术</v>
      </c>
      <c r="G164" s="1" t="str">
        <f>"河南省南阳市内乡县教育路与灵山路交叉路口"</f>
        <v>河南省南阳市内乡县教育路与灵山路交叉路口</v>
      </c>
      <c r="H164" s="1" t="str">
        <f>"计算机职业技能等级证书三级认证"</f>
        <v>计算机职业技能等级证书三级认证</v>
      </c>
      <c r="I164" s="1" t="str">
        <f>"202009-202407   郑州财经学院   数据科学与大数据技术专业   就读   全日制 
202407-202507    河南省南阳市内乡县  待业"</f>
        <v>202009-202407   郑州财经学院   数据科学与大数据技术专业   就读   全日制 
202407-202507    河南省南阳市内乡县  待业</v>
      </c>
    </row>
    <row r="165" spans="1:9">
      <c r="A165" s="1" t="str">
        <f>"411330199907055118"</f>
        <v>411330199907055118</v>
      </c>
      <c r="B165" s="1" t="str">
        <f t="shared" si="78"/>
        <v>共青团员</v>
      </c>
      <c r="C165" s="1" t="str">
        <f t="shared" si="76"/>
        <v>本科</v>
      </c>
      <c r="D165" s="1" t="str">
        <f>"20220701"</f>
        <v>20220701</v>
      </c>
      <c r="E165" s="1" t="str">
        <f>"郑州升达经贸管理学院"</f>
        <v>郑州升达经贸管理学院</v>
      </c>
      <c r="F165" s="1" t="str">
        <f>"会计学"</f>
        <v>会计学</v>
      </c>
      <c r="G165" s="1" t="str">
        <f>"河南省南阳市西峡县双龙镇山涧沟村"</f>
        <v>河南省南阳市西峡县双龙镇山涧沟村</v>
      </c>
      <c r="H165" s="1" t="str">
        <f t="shared" ref="H165:H167" si="79">"无"</f>
        <v>无</v>
      </c>
      <c r="I165" s="1" t="str">
        <f>"201809-202207郑州升达经贸管理学院会计学院会计系就读。 全日制本科
202207-202302待业
202302-202507河南交通投资集团
"</f>
        <v>201809-202207郑州升达经贸管理学院会计学院会计系就读。 全日制本科
202207-202302待业
202302-202507河南交通投资集团
</v>
      </c>
    </row>
    <row r="166" spans="1:9">
      <c r="A166" s="1" t="str">
        <f>"410423199906180065"</f>
        <v>410423199906180065</v>
      </c>
      <c r="B166" s="1" t="str">
        <f t="shared" si="78"/>
        <v>共青团员</v>
      </c>
      <c r="C166" s="1" t="str">
        <f t="shared" si="76"/>
        <v>本科</v>
      </c>
      <c r="D166" s="1" t="str">
        <f>"20210701"</f>
        <v>20210701</v>
      </c>
      <c r="E166" s="1" t="str">
        <f>"河南农业大学"</f>
        <v>河南农业大学</v>
      </c>
      <c r="F166" s="1" t="str">
        <f>"行政管理（农村社区管理）"</f>
        <v>行政管理（农村社区管理）</v>
      </c>
      <c r="G166" s="1" t="str">
        <f>"河南省鲁山县鲁阳街道鲁平大道与向阳路交叉口北200米鲁阳小学"</f>
        <v>河南省鲁山县鲁阳街道鲁平大道与向阳路交叉口北200米鲁阳小学</v>
      </c>
      <c r="H166" s="1" t="str">
        <f t="shared" si="79"/>
        <v>无</v>
      </c>
      <c r="I166" s="1" t="str">
        <f>"201709-202106河南农业大学应用科技学院行政管理（农村社区管理）专业（全日制学历）就读；
202107-202201在家待业；
202202-202401木林软件有限公司；
202402至今在家待业"</f>
        <v>201709-202106河南农业大学应用科技学院行政管理（农村社区管理）专业（全日制学历）就读；
202107-202201在家待业；
202202-202401木林软件有限公司；
202402至今在家待业</v>
      </c>
    </row>
    <row r="167" spans="1:9">
      <c r="A167" s="1" t="str">
        <f>"411324200203220021"</f>
        <v>411324200203220021</v>
      </c>
      <c r="B167" s="1" t="str">
        <f>"中共党员"</f>
        <v>中共党员</v>
      </c>
      <c r="C167" s="1" t="str">
        <f t="shared" si="76"/>
        <v>本科</v>
      </c>
      <c r="D167" s="1" t="str">
        <f>"202407"</f>
        <v>202407</v>
      </c>
      <c r="E167" s="1" t="str">
        <f>"河南师范大学"</f>
        <v>河南师范大学</v>
      </c>
      <c r="F167" s="1" t="str">
        <f>"人工智能"</f>
        <v>人工智能</v>
      </c>
      <c r="G167" s="1" t="str">
        <f>"河南新乡"</f>
        <v>河南新乡</v>
      </c>
      <c r="H167" s="1" t="str">
        <f t="shared" si="79"/>
        <v>无</v>
      </c>
      <c r="I167" s="1" t="str">
        <f>"   2020.09-2024.07在河南师范大学计算机与信息工程学院人工智能专业就读；2024.07-2025.12在河南安冉云网络科技有限公司职员2024.12至今待业"</f>
        <v>   2020.09-2024.07在河南师范大学计算机与信息工程学院人工智能专业就读；2024.07-2025.12在河南安冉云网络科技有限公司职员2024.12至今待业</v>
      </c>
    </row>
    <row r="168" spans="1:9">
      <c r="A168" s="1" t="str">
        <f>"411324199701182413"</f>
        <v>411324199701182413</v>
      </c>
      <c r="B168" s="1" t="str">
        <f t="shared" ref="B168:B173" si="80">"群众"</f>
        <v>群众</v>
      </c>
      <c r="C168" s="1" t="str">
        <f t="shared" ref="C168:C171" si="81">"专科"</f>
        <v>专科</v>
      </c>
      <c r="D168" s="1" t="str">
        <f>"20190701"</f>
        <v>20190701</v>
      </c>
      <c r="E168" s="1" t="str">
        <f>"平顶山工业职业技术学院"</f>
        <v>平顶山工业职业技术学院</v>
      </c>
      <c r="F168" s="1" t="str">
        <f>"工业机器人技术"</f>
        <v>工业机器人技术</v>
      </c>
      <c r="G168" s="1" t="str">
        <f>"河南省南阳市镇平县高丘镇陈营村"</f>
        <v>河南省南阳市镇平县高丘镇陈营村</v>
      </c>
      <c r="H168" s="1" t="str">
        <f>"电工证中级"</f>
        <v>电工证中级</v>
      </c>
      <c r="I168" s="1" t="str">
        <f>"201609-201907平顶山工业职业技术学院电力工程院系工业机器人专业就读，全日制学历。
201907-202309昆山佰亿贸易有限公司市场推广
202309-202507金冠电气股份有限公司装配"</f>
        <v>201609-201907平顶山工业职业技术学院电力工程院系工业机器人专业就读，全日制学历。
201907-202309昆山佰亿贸易有限公司市场推广
202309-202507金冠电气股份有限公司装配</v>
      </c>
    </row>
    <row r="169" spans="1:9">
      <c r="A169" s="1" t="str">
        <f>"411326200106206968"</f>
        <v>411326200106206968</v>
      </c>
      <c r="B169" s="1" t="str">
        <f t="shared" ref="B169:B175" si="82">"共青团员"</f>
        <v>共青团员</v>
      </c>
      <c r="C169" s="1" t="str">
        <f t="shared" ref="C169:C182" si="83">"本科"</f>
        <v>本科</v>
      </c>
      <c r="D169" s="1" t="str">
        <f>"20240605"</f>
        <v>20240605</v>
      </c>
      <c r="E169" s="1" t="str">
        <f>"安阳学院"</f>
        <v>安阳学院</v>
      </c>
      <c r="F169" s="1" t="str">
        <f>"汉语言文学"</f>
        <v>汉语言文学</v>
      </c>
      <c r="G169" s="1" t="str">
        <f>"河南省南阳市淅川县金河镇巴禺毛肚火锅店对面的日杂百货商店"</f>
        <v>河南省南阳市淅川县金河镇巴禺毛肚火锅店对面的日杂百货商店</v>
      </c>
      <c r="H169" s="1" t="str">
        <f t="shared" ref="H169:H176" si="84">"无"</f>
        <v>无</v>
      </c>
      <c r="I169" s="1" t="str">
        <f>"202009-202406在安阳学院文法学院汉语言文学专业就读，是全日制学历"</f>
        <v>202009-202406在安阳学院文法学院汉语言文学专业就读，是全日制学历</v>
      </c>
    </row>
    <row r="170" spans="1:9">
      <c r="A170" s="1" t="str">
        <f>"411324199902141175"</f>
        <v>411324199902141175</v>
      </c>
      <c r="B170" s="1" t="str">
        <f>"中共党员"</f>
        <v>中共党员</v>
      </c>
      <c r="C170" s="1" t="str">
        <f t="shared" si="81"/>
        <v>专科</v>
      </c>
      <c r="D170" s="1" t="str">
        <f>"20230701"</f>
        <v>20230701</v>
      </c>
      <c r="E170" s="1" t="str">
        <f>"三门峡职业技术学院"</f>
        <v>三门峡职业技术学院</v>
      </c>
      <c r="F170" s="1" t="str">
        <f>"建筑智能化工程技术"</f>
        <v>建筑智能化工程技术</v>
      </c>
      <c r="G170" s="1" t="str">
        <f>"河南省南阳市镇平县老庄镇"</f>
        <v>河南省南阳市镇平县老庄镇</v>
      </c>
      <c r="H170" s="1" t="str">
        <f t="shared" si="84"/>
        <v>无</v>
      </c>
      <c r="I170" s="1" t="str">
        <f>"202303—202503    在校入伍两年   
202009—202306    三门峡职业技术学院      全日制大专
201709—202006     镇平县第二高级中学      全日制高中
201409—201706      老庄镇初级中学"</f>
        <v>202303—202503    在校入伍两年   
202009—202306    三门峡职业技术学院      全日制大专
201709—202006     镇平县第二高级中学      全日制高中
201409—201706      老庄镇初级中学</v>
      </c>
    </row>
    <row r="171" spans="1:9">
      <c r="A171" s="1" t="str">
        <f>"411327200204150028"</f>
        <v>411327200204150028</v>
      </c>
      <c r="B171" s="1" t="str">
        <f t="shared" si="80"/>
        <v>群众</v>
      </c>
      <c r="C171" s="1" t="str">
        <f t="shared" si="81"/>
        <v>专科</v>
      </c>
      <c r="D171" s="1" t="str">
        <f>"20230607"</f>
        <v>20230607</v>
      </c>
      <c r="E171" s="1" t="str">
        <f>"襄阳职业技术学院"</f>
        <v>襄阳职业技术学院</v>
      </c>
      <c r="F171" s="1" t="str">
        <f>"语文教育"</f>
        <v>语文教育</v>
      </c>
      <c r="G171" s="1" t="str">
        <f>"河南省南阳市西峡县老物资局"</f>
        <v>河南省南阳市西峡县老物资局</v>
      </c>
      <c r="H171" s="1" t="str">
        <f>"小学语文老师"</f>
        <v>小学语文老师</v>
      </c>
      <c r="I171" s="1" t="str">
        <f>"2020.09-2023.06"</f>
        <v>2020.09-2023.06</v>
      </c>
    </row>
    <row r="172" spans="1:9">
      <c r="A172" s="1" t="str">
        <f>"410222200211049851"</f>
        <v>410222200211049851</v>
      </c>
      <c r="B172" s="1" t="str">
        <f t="shared" si="82"/>
        <v>共青团员</v>
      </c>
      <c r="C172" s="1" t="str">
        <f t="shared" si="83"/>
        <v>本科</v>
      </c>
      <c r="D172" s="1" t="str">
        <f>"20250610"</f>
        <v>20250610</v>
      </c>
      <c r="E172" s="1" t="str">
        <f>"郑州工商学院"</f>
        <v>郑州工商学院</v>
      </c>
      <c r="F172" s="1" t="str">
        <f>"计算机科学与技术"</f>
        <v>计算机科学与技术</v>
      </c>
      <c r="G172" s="1" t="str">
        <f>"河南省开封市通许县御景湾小区"</f>
        <v>河南省开封市通许县御景湾小区</v>
      </c>
      <c r="H172" s="1" t="str">
        <f t="shared" si="84"/>
        <v>无</v>
      </c>
      <c r="I172" s="1" t="str">
        <f>"202109-202506 郑州工商学院 信息工程学院计算机科学与技术专业就读 全日制本科学历"</f>
        <v>202109-202506 郑州工商学院 信息工程学院计算机科学与技术专业就读 全日制本科学历</v>
      </c>
    </row>
    <row r="173" spans="1:9">
      <c r="A173" s="1" t="str">
        <f>"411327200308084918"</f>
        <v>411327200308084918</v>
      </c>
      <c r="B173" s="1" t="str">
        <f t="shared" si="80"/>
        <v>群众</v>
      </c>
      <c r="C173" s="1" t="str">
        <f t="shared" si="83"/>
        <v>本科</v>
      </c>
      <c r="D173" s="1" t="str">
        <f>"20250624"</f>
        <v>20250624</v>
      </c>
      <c r="E173" s="1" t="str">
        <f>"长春理工大学"</f>
        <v>长春理工大学</v>
      </c>
      <c r="F173" s="1" t="str">
        <f>"应用化学"</f>
        <v>应用化学</v>
      </c>
      <c r="G173" s="1" t="str">
        <f>"河南省南阳市内乡县灌涨镇陈营村符冢东北1号"</f>
        <v>河南省南阳市内乡县灌涨镇陈营村符冢东北1号</v>
      </c>
      <c r="H173" s="1" t="str">
        <f t="shared" si="84"/>
        <v>无</v>
      </c>
      <c r="I173" s="1" t="str">
        <f>"202109-202506在长春理工大学化学与环境工程学院应用化学专业就读，全日制学历。"</f>
        <v>202109-202506在长春理工大学化学与环境工程学院应用化学专业就读，全日制学历。</v>
      </c>
    </row>
    <row r="174" spans="1:9">
      <c r="A174" s="1" t="str">
        <f>"411327200305064217"</f>
        <v>411327200305064217</v>
      </c>
      <c r="B174" s="1" t="str">
        <f t="shared" si="82"/>
        <v>共青团员</v>
      </c>
      <c r="C174" s="1" t="str">
        <f t="shared" si="83"/>
        <v>本科</v>
      </c>
      <c r="D174" s="1" t="str">
        <f>"20240701"</f>
        <v>20240701</v>
      </c>
      <c r="E174" s="1" t="str">
        <f>"辽宁大学"</f>
        <v>辽宁大学</v>
      </c>
      <c r="F174" s="1" t="str">
        <f>"化学专业"</f>
        <v>化学专业</v>
      </c>
      <c r="G174" s="1" t="str">
        <f>"河南省南阳市内乡县余关乡石庙村"</f>
        <v>河南省南阳市内乡县余关乡石庙村</v>
      </c>
      <c r="H174" s="1" t="str">
        <f t="shared" si="84"/>
        <v>无</v>
      </c>
      <c r="I174" s="1" t="str">
        <f>"202009-202407 辽宁大学化学院化学专业就读，全日制学历
 "</f>
        <v>202009-202407 辽宁大学化学院化学专业就读，全日制学历
 </v>
      </c>
    </row>
    <row r="175" spans="1:9">
      <c r="A175" s="1" t="str">
        <f>"411081200305195665"</f>
        <v>411081200305195665</v>
      </c>
      <c r="B175" s="1" t="str">
        <f t="shared" si="82"/>
        <v>共青团员</v>
      </c>
      <c r="C175" s="1" t="str">
        <f t="shared" si="83"/>
        <v>本科</v>
      </c>
      <c r="D175" s="1" t="str">
        <f>"20240620"</f>
        <v>20240620</v>
      </c>
      <c r="E175" s="1" t="str">
        <f>"洛阳理工学院"</f>
        <v>洛阳理工学院</v>
      </c>
      <c r="F175" s="1" t="str">
        <f>"审计学"</f>
        <v>审计学</v>
      </c>
      <c r="G175" s="1" t="str">
        <f>"河南省许昌市禹州市苌庄乡玩南村七组"</f>
        <v>河南省许昌市禹州市苌庄乡玩南村七组</v>
      </c>
      <c r="H175" s="1" t="str">
        <f t="shared" si="84"/>
        <v>无</v>
      </c>
      <c r="I175" s="1" t="str">
        <f>"20200901-20240620 洛阳理工学院 就读。二〇二〇年九月一日至二〇二四年六月二十日在洛阳理工学院会计学院审计学专业就读，是全日制学历。
20240620-20250729在河南省许昌市禹州市苌庄乡玩南村待业。"</f>
        <v>20200901-20240620 洛阳理工学院 就读。二〇二〇年九月一日至二〇二四年六月二十日在洛阳理工学院会计学院审计学专业就读，是全日制学历。
20240620-20250729在河南省许昌市禹州市苌庄乡玩南村待业。</v>
      </c>
    </row>
    <row r="176" spans="1:9">
      <c r="A176" s="1" t="str">
        <f>"130826199807187070"</f>
        <v>130826199807187070</v>
      </c>
      <c r="B176" s="1" t="str">
        <f t="shared" ref="B176:B180" si="85">"群众"</f>
        <v>群众</v>
      </c>
      <c r="C176" s="1" t="str">
        <f t="shared" si="83"/>
        <v>本科</v>
      </c>
      <c r="D176" s="1" t="str">
        <f>"20200607"</f>
        <v>20200607</v>
      </c>
      <c r="E176" s="1" t="str">
        <f>"河北民族师范学院"</f>
        <v>河北民族师范学院</v>
      </c>
      <c r="F176" s="1" t="str">
        <f>"数学与应用数学"</f>
        <v>数学与应用数学</v>
      </c>
      <c r="G176" s="1" t="str">
        <f>"河北省承德市丰宁满族自治县新丰路街道新顺家园小区4号楼四单元701"</f>
        <v>河北省承德市丰宁满族自治县新丰路街道新顺家园小区4号楼四单元701</v>
      </c>
      <c r="H176" s="1" t="str">
        <f t="shared" si="84"/>
        <v>无</v>
      </c>
      <c r="I176" s="1" t="str">
        <f>"201609-202006 河北民族师范学院   数学与计算机科学学院  就读   数学与应用数学专业    全日制学历
202006-202302  丰宁县家中待业
202302至今  丰宁县千腾劳务派遣有限公司  以派遣制在丰宁县森林草原消防大队担任防火方面文职工作"</f>
        <v>201609-202006 河北民族师范学院   数学与计算机科学学院  就读   数学与应用数学专业    全日制学历
202006-202302  丰宁县家中待业
202302至今  丰宁县千腾劳务派遣有限公司  以派遣制在丰宁县森林草原消防大队担任防火方面文职工作</v>
      </c>
    </row>
    <row r="177" spans="1:9">
      <c r="A177" s="1" t="str">
        <f>"411327200010212016"</f>
        <v>411327200010212016</v>
      </c>
      <c r="B177" s="1" t="str">
        <f t="shared" si="85"/>
        <v>群众</v>
      </c>
      <c r="C177" s="1" t="str">
        <f t="shared" si="83"/>
        <v>本科</v>
      </c>
      <c r="D177" s="1" t="str">
        <f>"20250607"</f>
        <v>20250607</v>
      </c>
      <c r="E177" s="1" t="str">
        <f>"郑州工商学院"</f>
        <v>郑州工商学院</v>
      </c>
      <c r="F177" s="1" t="str">
        <f>"市场营销"</f>
        <v>市场营销</v>
      </c>
      <c r="G177" s="1" t="str">
        <f>"河南省南阳市内乡县师岗镇曹营社区"</f>
        <v>河南省南阳市内乡县师岗镇曹营社区</v>
      </c>
      <c r="H177" s="1" t="str">
        <f>"外贸营销员三级\高级工，普通话二级乙等"</f>
        <v>外贸营销员三级\高级工，普通话二级乙等</v>
      </c>
      <c r="I177" s="1" t="str">
        <f>"202009-202306河南工学院商学院国际贸易与实务专业就读全日制学历
202309-202506郑州工商学院商学院市场营销专业就读全日制学历"</f>
        <v>202009-202306河南工学院商学院国际贸易与实务专业就读全日制学历
202309-202506郑州工商学院商学院市场营销专业就读全日制学历</v>
      </c>
    </row>
    <row r="178" spans="1:9">
      <c r="A178" s="1" t="str">
        <f>"412821200009172512"</f>
        <v>412821200009172512</v>
      </c>
      <c r="B178" s="1" t="str">
        <f t="shared" ref="B178:B183" si="86">"共青团员"</f>
        <v>共青团员</v>
      </c>
      <c r="C178" s="1" t="str">
        <f t="shared" si="83"/>
        <v>本科</v>
      </c>
      <c r="D178" s="1" t="str">
        <f>"20240701"</f>
        <v>20240701</v>
      </c>
      <c r="E178" s="1" t="str">
        <f>"郑州经贸学院"</f>
        <v>郑州经贸学院</v>
      </c>
      <c r="F178" s="1" t="str">
        <f>"工商管理"</f>
        <v>工商管理</v>
      </c>
      <c r="G178" s="1" t="str">
        <f>"河南省驻马店市驿城区健康路256号税务局家属院2号楼"</f>
        <v>河南省驻马店市驿城区健康路256号税务局家属院2号楼</v>
      </c>
      <c r="H178" s="1" t="str">
        <f t="shared" ref="H178:H180" si="87">"无"</f>
        <v>无</v>
      </c>
      <c r="I178" s="1" t="str">
        <f>"202009-202407在郑州经贸学院管理学院工商管理专业就读，全日制学历
2002407-202507待业"</f>
        <v>202009-202407在郑州经贸学院管理学院工商管理专业就读，全日制学历
2002407-202507待业</v>
      </c>
    </row>
    <row r="179" spans="1:9">
      <c r="A179" s="1" t="str">
        <f>"410325200103284525"</f>
        <v>410325200103284525</v>
      </c>
      <c r="B179" s="1" t="str">
        <f>"中共党员"</f>
        <v>中共党员</v>
      </c>
      <c r="C179" s="1" t="str">
        <f t="shared" si="83"/>
        <v>本科</v>
      </c>
      <c r="D179" s="1" t="str">
        <f>"20240625"</f>
        <v>20240625</v>
      </c>
      <c r="E179" s="1" t="str">
        <f>"河南财政金融学院"</f>
        <v>河南财政金融学院</v>
      </c>
      <c r="F179" s="1" t="str">
        <f>"酒店管理"</f>
        <v>酒店管理</v>
      </c>
      <c r="G179" s="1" t="str">
        <f>"河南省洛阳市嵩县车村镇"</f>
        <v>河南省洛阳市嵩县车村镇</v>
      </c>
      <c r="H179" s="1" t="str">
        <f t="shared" si="87"/>
        <v>无</v>
      </c>
      <c r="I179" s="1" t="str">
        <f>"221909-202207 河南农业职业学院 旅游管理学院 就读 全日制专科
202209-202406 河南财政金融学院  旅游管理学院 就读 全日制本科
202408-至今 西部计划志愿者 "</f>
        <v>221909-202207 河南农业职业学院 旅游管理学院 就读 全日制专科
202209-202406 河南财政金融学院  旅游管理学院 就读 全日制本科
202408-至今 西部计划志愿者 </v>
      </c>
    </row>
    <row r="180" spans="1:9">
      <c r="A180" s="1" t="str">
        <f>"411330199910063442"</f>
        <v>411330199910063442</v>
      </c>
      <c r="B180" s="1" t="str">
        <f t="shared" si="85"/>
        <v>群众</v>
      </c>
      <c r="C180" s="1" t="str">
        <f t="shared" si="83"/>
        <v>本科</v>
      </c>
      <c r="D180" s="1" t="str">
        <f>"20220620"</f>
        <v>20220620</v>
      </c>
      <c r="E180" s="1" t="str">
        <f>"温州理工学院"</f>
        <v>温州理工学院</v>
      </c>
      <c r="F180" s="1" t="str">
        <f>"国际经济与贸易"</f>
        <v>国际经济与贸易</v>
      </c>
      <c r="G180" s="1" t="str">
        <f>"河南省南阳市西峡县三小人杰公寓"</f>
        <v>河南省南阳市西峡县三小人杰公寓</v>
      </c>
      <c r="H180" s="1" t="str">
        <f t="shared" si="87"/>
        <v>无</v>
      </c>
      <c r="I180" s="1" t="str">
        <f>"2018.9-2022.6于温州理工学院国际经济与贸易专业就读
2022.6-至今 待业"</f>
        <v>2018.9-2022.6于温州理工学院国际经济与贸易专业就读
2022.6-至今 待业</v>
      </c>
    </row>
    <row r="181" spans="1:9">
      <c r="A181" s="1" t="str">
        <f>"41132519960509492X"</f>
        <v>41132519960509492X</v>
      </c>
      <c r="B181" s="1" t="str">
        <f t="shared" si="86"/>
        <v>共青团员</v>
      </c>
      <c r="C181" s="1" t="str">
        <f t="shared" si="83"/>
        <v>本科</v>
      </c>
      <c r="D181" s="1" t="str">
        <f>"20210701"</f>
        <v>20210701</v>
      </c>
      <c r="E181" s="1" t="str">
        <f>"郑州财经学院"</f>
        <v>郑州财经学院</v>
      </c>
      <c r="F181" s="1" t="str">
        <f>"投资学"</f>
        <v>投资学</v>
      </c>
      <c r="G181" s="1" t="str">
        <f>"河南省南阳市内乡县城关镇"</f>
        <v>河南省南阳市内乡县城关镇</v>
      </c>
      <c r="H181" s="1" t="str">
        <f>"证券从业资格证"</f>
        <v>证券从业资格证</v>
      </c>
      <c r="I181" s="1" t="str">
        <f>"本人2016年就读于郑州财经学院互联网金融学院投资学，为普通全日制学校，在2017年9月因个人原因休学一年。于2021年7月1日毕业。本人毕业后曾经从事过电话客服工作，在2023年在华实林业开发有限公司办公室工作，本人学习能力比较强，能很好的适应各种工作环境。"</f>
        <v>本人2016年就读于郑州财经学院互联网金融学院投资学，为普通全日制学校，在2017年9月因个人原因休学一年。于2021年7月1日毕业。本人毕业后曾经从事过电话客服工作，在2023年在华实林业开发有限公司办公室工作，本人学习能力比较强，能很好的适应各种工作环境。</v>
      </c>
    </row>
    <row r="182" spans="1:9">
      <c r="A182" s="1" t="str">
        <f>"41282520021228673X"</f>
        <v>41282520021228673X</v>
      </c>
      <c r="B182" s="1" t="str">
        <f t="shared" si="86"/>
        <v>共青团员</v>
      </c>
      <c r="C182" s="1" t="str">
        <f t="shared" si="83"/>
        <v>本科</v>
      </c>
      <c r="D182" s="1" t="str">
        <f t="shared" ref="D182:D186" si="88">"20250630"</f>
        <v>20250630</v>
      </c>
      <c r="E182" s="1" t="str">
        <f>"武汉工商学院"</f>
        <v>武汉工商学院</v>
      </c>
      <c r="F182" s="1" t="str">
        <f>"物联网工程"</f>
        <v>物联网工程</v>
      </c>
      <c r="G182" s="1" t="str">
        <f>"河南省驻马店市上蔡县韩寨乡"</f>
        <v>河南省驻马店市上蔡县韩寨乡</v>
      </c>
      <c r="H182" s="1" t="str">
        <f t="shared" ref="H182:H186" si="89">"无"</f>
        <v>无</v>
      </c>
      <c r="I182" s="1" t="str">
        <f>"201708-202007 上蔡县万象中学就读 高中
202010-202306 湖北科技职业学院 大专 软件工程学院 软件技术专业 全日制
202308-202506 武汉工商学院 本科 人工智能学院 物联网工程专业 全日制"</f>
        <v>201708-202007 上蔡县万象中学就读 高中
202010-202306 湖北科技职业学院 大专 软件工程学院 软件技术专业 全日制
202308-202506 武汉工商学院 本科 人工智能学院 物联网工程专业 全日制</v>
      </c>
    </row>
    <row r="183" spans="1:9">
      <c r="A183" s="1" t="str">
        <f>"232321200312295135"</f>
        <v>232321200312295135</v>
      </c>
      <c r="B183" s="1" t="str">
        <f t="shared" si="86"/>
        <v>共青团员</v>
      </c>
      <c r="C183" s="1" t="str">
        <f>"专科"</f>
        <v>专科</v>
      </c>
      <c r="D183" s="1" t="str">
        <f t="shared" si="88"/>
        <v>20250630</v>
      </c>
      <c r="E183" s="1" t="str">
        <f>"鹤岗师范高等专科学校"</f>
        <v>鹤岗师范高等专科学校</v>
      </c>
      <c r="F183" s="1" t="str">
        <f>"小学语文教育"</f>
        <v>小学语文教育</v>
      </c>
      <c r="G183" s="1" t="str">
        <f>"黑龙江省海伦市海兴镇1委1组113号"</f>
        <v>黑龙江省海伦市海兴镇1委1组113号</v>
      </c>
      <c r="H183" s="1" t="str">
        <f t="shared" si="89"/>
        <v>无</v>
      </c>
      <c r="I183" s="1" t="str">
        <f>"202209-202506 鹤岗师范高等专科学校人文系小学语文教育专业就读 是全日制学历 202506-202507 黑龙江省海伦市待业"</f>
        <v>202209-202506 鹤岗师范高等专科学校人文系小学语文教育专业就读 是全日制学历 202506-202507 黑龙江省海伦市待业</v>
      </c>
    </row>
    <row r="184" spans="1:9">
      <c r="A184" s="1" t="str">
        <f>"411330199911103442"</f>
        <v>411330199911103442</v>
      </c>
      <c r="B184" s="1" t="str">
        <f>"中共党员"</f>
        <v>中共党员</v>
      </c>
      <c r="C184" s="1" t="str">
        <f t="shared" ref="C184:C189" si="90">"本科"</f>
        <v>本科</v>
      </c>
      <c r="D184" s="1" t="str">
        <f>"20220701"</f>
        <v>20220701</v>
      </c>
      <c r="E184" s="1" t="str">
        <f>"河南农业大学"</f>
        <v>河南农业大学</v>
      </c>
      <c r="F184" s="1" t="str">
        <f>"生物科学"</f>
        <v>生物科学</v>
      </c>
      <c r="G184" s="1" t="str">
        <f>"河南省南阳市西峡县西坪镇"</f>
        <v>河南省南阳市西峡县西坪镇</v>
      </c>
      <c r="H184" s="1" t="str">
        <f t="shared" si="89"/>
        <v>无</v>
      </c>
      <c r="I184" s="1" t="str">
        <f>"201809-202207，在河南农业大学生命科学学院生物科学专业就读，是全日制学历；202207至今，在方城县文晋高级中学任职。"</f>
        <v>201809-202207，在河南农业大学生命科学学院生物科学专业就读，是全日制学历；202207至今，在方城县文晋高级中学任职。</v>
      </c>
    </row>
    <row r="185" spans="1:9">
      <c r="A185" s="1" t="str">
        <f>"410223199909228537"</f>
        <v>410223199909228537</v>
      </c>
      <c r="B185" s="1" t="str">
        <f>"群众"</f>
        <v>群众</v>
      </c>
      <c r="C185" s="1" t="str">
        <f t="shared" si="90"/>
        <v>本科</v>
      </c>
      <c r="D185" s="1" t="str">
        <f>"20210701"</f>
        <v>20210701</v>
      </c>
      <c r="E185" s="1" t="str">
        <f>"周口师范学院"</f>
        <v>周口师范学院</v>
      </c>
      <c r="F185" s="1" t="str">
        <f>"应用统计学"</f>
        <v>应用统计学</v>
      </c>
      <c r="G185" s="1" t="str">
        <f>"河南省开封市尉氏县宋韵尚品"</f>
        <v>河南省开封市尉氏县宋韵尚品</v>
      </c>
      <c r="H185" s="1" t="str">
        <f t="shared" si="89"/>
        <v>无</v>
      </c>
      <c r="I185" s="1" t="str">
        <f>"无"</f>
        <v>无</v>
      </c>
    </row>
    <row r="186" spans="1:9">
      <c r="A186" s="1" t="str">
        <f>"41018320040112977X"</f>
        <v>41018320040112977X</v>
      </c>
      <c r="B186" s="1" t="str">
        <f t="shared" ref="B186:B189" si="91">"共青团员"</f>
        <v>共青团员</v>
      </c>
      <c r="C186" s="1" t="str">
        <f>"专科"</f>
        <v>专科</v>
      </c>
      <c r="D186" s="1" t="str">
        <f t="shared" si="88"/>
        <v>20250630</v>
      </c>
      <c r="E186" s="1" t="str">
        <f>"三门峡职业技术学院"</f>
        <v>三门峡职业技术学院</v>
      </c>
      <c r="F186" s="1" t="str">
        <f>"电子信息工程技术"</f>
        <v>电子信息工程技术</v>
      </c>
      <c r="G186" s="1" t="str">
        <f>"河南省新密市新惠街1排十号"</f>
        <v>河南省新密市新惠街1排十号</v>
      </c>
      <c r="H186" s="1" t="str">
        <f t="shared" si="89"/>
        <v>无</v>
      </c>
      <c r="I186" s="1" t="str">
        <f>"202209-202506 在 三门峡职业技术学院 智能制造学院 电子信息工程技术专业 就读 是否全日制学历 是"</f>
        <v>202209-202506 在 三门峡职业技术学院 智能制造学院 电子信息工程技术专业 就读 是否全日制学历 是</v>
      </c>
    </row>
    <row r="187" spans="1:9">
      <c r="A187" s="1" t="str">
        <f>"411327199111101133"</f>
        <v>411327199111101133</v>
      </c>
      <c r="B187" s="1" t="str">
        <f>"中共党员"</f>
        <v>中共党员</v>
      </c>
      <c r="C187" s="1" t="str">
        <f t="shared" si="90"/>
        <v>本科</v>
      </c>
      <c r="D187" s="1" t="str">
        <f>"20130701"</f>
        <v>20130701</v>
      </c>
      <c r="E187" s="1" t="str">
        <f>"河南大学民生学院"</f>
        <v>河南大学民生学院</v>
      </c>
      <c r="F187" s="1" t="str">
        <f>"会计学"</f>
        <v>会计学</v>
      </c>
      <c r="G187" s="1" t="str">
        <f>"河南省内乡县城关镇郦都国际小区"</f>
        <v>河南省内乡县城关镇郦都国际小区</v>
      </c>
      <c r="H187" s="1" t="str">
        <f>"初级会计师"</f>
        <v>初级会计师</v>
      </c>
      <c r="I187" s="1" t="str">
        <f>"200907-201307 河南大学民生学院 会计学 全日制学历
201307-201403 河南福森药业集团有限公司 会计
201403-201409 在内乡待业
201409-201701 内乡菊潭医院 会计
201701-201807 内乡县国税局政府购岗
201807-202003 内乡县赤眉镇财政所政府购岗
202003至今西峡县丹水镇人民政府下属事业单位九级职员"</f>
        <v>200907-201307 河南大学民生学院 会计学 全日制学历
201307-201403 河南福森药业集团有限公司 会计
201403-201409 在内乡待业
201409-201701 内乡菊潭医院 会计
201701-201807 内乡县国税局政府购岗
201807-202003 内乡县赤眉镇财政所政府购岗
202003至今西峡县丹水镇人民政府下属事业单位九级职员</v>
      </c>
    </row>
    <row r="188" spans="1:9">
      <c r="A188" s="1" t="str">
        <f>"410425200010176088"</f>
        <v>410425200010176088</v>
      </c>
      <c r="B188" s="1" t="str">
        <f t="shared" si="91"/>
        <v>共青团员</v>
      </c>
      <c r="C188" s="1" t="str">
        <f t="shared" si="90"/>
        <v>本科</v>
      </c>
      <c r="D188" s="1" t="str">
        <f>"202571"</f>
        <v>202571</v>
      </c>
      <c r="E188" s="1" t="str">
        <f>"商丘学院"</f>
        <v>商丘学院</v>
      </c>
      <c r="F188" s="1" t="str">
        <f>"动画"</f>
        <v>动画</v>
      </c>
      <c r="G188" s="1" t="str">
        <f>"经四路"</f>
        <v>经四路</v>
      </c>
      <c r="H188" s="1" t="str">
        <f t="shared" ref="H188:H206" si="92">"无"</f>
        <v>无</v>
      </c>
      <c r="I188" s="1" t="str">
        <f>"202309-202506商丘学院就读艺术与传媒学院动画专业
202506至今待业"</f>
        <v>202309-202506商丘学院就读艺术与传媒学院动画专业
202506至今待业</v>
      </c>
    </row>
    <row r="189" spans="1:9">
      <c r="A189" s="1" t="str">
        <f>"411327200204090029"</f>
        <v>411327200204090029</v>
      </c>
      <c r="B189" s="1" t="str">
        <f t="shared" si="91"/>
        <v>共青团员</v>
      </c>
      <c r="C189" s="1" t="str">
        <f t="shared" si="90"/>
        <v>本科</v>
      </c>
      <c r="D189" s="1" t="str">
        <f>"2024.06"</f>
        <v>2024.06</v>
      </c>
      <c r="E189" s="1" t="str">
        <f>"黄淮学院"</f>
        <v>黄淮学院</v>
      </c>
      <c r="F189" s="1" t="str">
        <f>"英语（师范）"</f>
        <v>英语（师范）</v>
      </c>
      <c r="G189" s="1" t="str">
        <f>"河南省南阳市内乡县维多利亚小区"</f>
        <v>河南省南阳市内乡县维多利亚小区</v>
      </c>
      <c r="H189" s="1" t="str">
        <f t="shared" si="92"/>
        <v>无</v>
      </c>
      <c r="I189" s="1" t="str">
        <f>"202010-202406 黄淮学院外国语学院英语（师范）专业就读，为全日制学历；202406-202507在河南省南阳市内乡县待业"</f>
        <v>202010-202406 黄淮学院外国语学院英语（师范）专业就读，为全日制学历；202406-202507在河南省南阳市内乡县待业</v>
      </c>
    </row>
    <row r="190" spans="1:9">
      <c r="A190" s="1" t="str">
        <f>"411327199707030014"</f>
        <v>411327199707030014</v>
      </c>
      <c r="B190" s="1" t="str">
        <f>"中共党员"</f>
        <v>中共党员</v>
      </c>
      <c r="C190" s="1" t="str">
        <f>"硕士研究生"</f>
        <v>硕士研究生</v>
      </c>
      <c r="D190" s="1" t="str">
        <f>"20220617"</f>
        <v>20220617</v>
      </c>
      <c r="E190" s="1" t="str">
        <f>"中国地质大学（武汉）"</f>
        <v>中国地质大学（武汉）</v>
      </c>
      <c r="F190" s="1" t="str">
        <f>"会计"</f>
        <v>会计</v>
      </c>
      <c r="G190" s="1" t="str">
        <f>"河南省南阳市内乡县南园村一组52号"</f>
        <v>河南省南阳市内乡县南园村一组52号</v>
      </c>
      <c r="H190" s="1" t="str">
        <f>"初级会计专业技术资格证书"</f>
        <v>初级会计专业技术资格证书</v>
      </c>
      <c r="I190" s="1" t="str">
        <f>"201509-201906 河南师范大学新联学院学校工商管理专业就读，全日制学历
201909-202206 中国地质大学（武汉）会计专业就读，非全日制学历"</f>
        <v>201509-201906 河南师范大学新联学院学校工商管理专业就读，全日制学历
201909-202206 中国地质大学（武汉）会计专业就读，非全日制学历</v>
      </c>
    </row>
    <row r="191" spans="1:9">
      <c r="A191" s="1" t="str">
        <f>"411522199804140011"</f>
        <v>411522199804140011</v>
      </c>
      <c r="B191" s="1" t="str">
        <f t="shared" ref="B191:B194" si="93">"共青团员"</f>
        <v>共青团员</v>
      </c>
      <c r="C191" s="1" t="str">
        <f t="shared" ref="C191:C193" si="94">"本科"</f>
        <v>本科</v>
      </c>
      <c r="D191" s="1" t="str">
        <f>"20220701"</f>
        <v>20220701</v>
      </c>
      <c r="E191" s="1" t="str">
        <f>"郑州航空工业管理学院"</f>
        <v>郑州航空工业管理学院</v>
      </c>
      <c r="F191" s="1" t="str">
        <f>"行政管理"</f>
        <v>行政管理</v>
      </c>
      <c r="G191" s="1" t="str">
        <f>"光山县东城大市场"</f>
        <v>光山县东城大市场</v>
      </c>
      <c r="H191" s="1" t="str">
        <f t="shared" si="92"/>
        <v>无</v>
      </c>
      <c r="I191" s="1" t="str">
        <f>"20160901-20190701郑州旅游职业学院（旅游管理）全日制
20190701-20200301光山县待业
20200301-20220701郑州航空工业管理学院（行政管理）非全日制
20220701-至今光山县鑫源公司"</f>
        <v>20160901-20190701郑州旅游职业学院（旅游管理）全日制
20190701-20200301光山县待业
20200301-20220701郑州航空工业管理学院（行政管理）非全日制
20220701-至今光山县鑫源公司</v>
      </c>
    </row>
    <row r="192" spans="1:9">
      <c r="A192" s="1" t="str">
        <f>"411327200412092045"</f>
        <v>411327200412092045</v>
      </c>
      <c r="B192" s="1" t="str">
        <f>"群众"</f>
        <v>群众</v>
      </c>
      <c r="C192" s="1" t="str">
        <f t="shared" si="94"/>
        <v>本科</v>
      </c>
      <c r="D192" s="1" t="str">
        <f>"20250615"</f>
        <v>20250615</v>
      </c>
      <c r="E192" s="1" t="str">
        <f>"华北水利水电大学"</f>
        <v>华北水利水电大学</v>
      </c>
      <c r="F192" s="1" t="str">
        <f>"金融数学"</f>
        <v>金融数学</v>
      </c>
      <c r="G192" s="1" t="str">
        <f>"河南省内乡县师岗镇唐营村小唐营121号"</f>
        <v>河南省内乡县师岗镇唐营村小唐营121号</v>
      </c>
      <c r="H192" s="1" t="str">
        <f t="shared" si="92"/>
        <v>无</v>
      </c>
      <c r="I192" s="1" t="str">
        <f>"202109-202506华北水利水电大学就读全日制本科金融数学专业
202506至今待业"</f>
        <v>202109-202506华北水利水电大学就读全日制本科金融数学专业
202506至今待业</v>
      </c>
    </row>
    <row r="193" spans="1:9">
      <c r="A193" s="1" t="str">
        <f>"411422200004150318"</f>
        <v>411422200004150318</v>
      </c>
      <c r="B193" s="1" t="str">
        <f t="shared" si="93"/>
        <v>共青团员</v>
      </c>
      <c r="C193" s="1" t="str">
        <f t="shared" si="94"/>
        <v>本科</v>
      </c>
      <c r="D193" s="1" t="str">
        <f>"20240620"</f>
        <v>20240620</v>
      </c>
      <c r="E193" s="1" t="str">
        <f>"郑州科技学院"</f>
        <v>郑州科技学院</v>
      </c>
      <c r="F193" s="1" t="str">
        <f>"物联网工程"</f>
        <v>物联网工程</v>
      </c>
      <c r="G193" s="1" t="str">
        <f>"河南省商丘市睢县长岗镇后常村"</f>
        <v>河南省商丘市睢县长岗镇后常村</v>
      </c>
      <c r="H193" s="1" t="str">
        <f t="shared" si="92"/>
        <v>无</v>
      </c>
      <c r="I193" s="1" t="str">
        <f>"202009-202406 郑州科技学院 大数据与人工智能学院物联网工程专用就读"</f>
        <v>202009-202406 郑州科技学院 大数据与人工智能学院物联网工程专用就读</v>
      </c>
    </row>
    <row r="194" spans="1:9">
      <c r="A194" s="1" t="str">
        <f>"411323199805216343"</f>
        <v>411323199805216343</v>
      </c>
      <c r="B194" s="1" t="str">
        <f t="shared" si="93"/>
        <v>共青团员</v>
      </c>
      <c r="C194" s="1" t="str">
        <f>"专科"</f>
        <v>专科</v>
      </c>
      <c r="D194" s="1" t="str">
        <f>"2019.07.01"</f>
        <v>2019.07.01</v>
      </c>
      <c r="E194" s="1" t="str">
        <f>"洛阳职业技术学院"</f>
        <v>洛阳职业技术学院</v>
      </c>
      <c r="F194" s="1" t="str">
        <f>"护理专业"</f>
        <v>护理专业</v>
      </c>
      <c r="G194" s="1" t="str">
        <f>"南阳市淅川县祥瑞首府一期8703"</f>
        <v>南阳市淅川县祥瑞首府一期8703</v>
      </c>
      <c r="H194" s="1" t="str">
        <f t="shared" si="92"/>
        <v>无</v>
      </c>
      <c r="I194" s="1" t="str">
        <f>"2016年9月至2019年6月在洛阳职业技术学院护理系护理专业就读，是全日制学历。"</f>
        <v>2016年9月至2019年6月在洛阳职业技术学院护理系护理专业就读，是全日制学历。</v>
      </c>
    </row>
    <row r="195" spans="1:9">
      <c r="A195" s="1" t="str">
        <f>"411323199212203897"</f>
        <v>411323199212203897</v>
      </c>
      <c r="B195" s="1" t="str">
        <f>"中共党员"</f>
        <v>中共党员</v>
      </c>
      <c r="C195" s="1" t="str">
        <f t="shared" ref="C195:C201" si="95">"本科"</f>
        <v>本科</v>
      </c>
      <c r="D195" s="1" t="str">
        <f>"20160701"</f>
        <v>20160701</v>
      </c>
      <c r="E195" s="1" t="str">
        <f>"中原工学院信息商务学院"</f>
        <v>中原工学院信息商务学院</v>
      </c>
      <c r="F195" s="1" t="str">
        <f>"会计学"</f>
        <v>会计学</v>
      </c>
      <c r="G195" s="1" t="str">
        <f>"河南省许昌市建安区蒋李集镇金营村"</f>
        <v>河南省许昌市建安区蒋李集镇金营村</v>
      </c>
      <c r="H195" s="1" t="str">
        <f t="shared" si="92"/>
        <v>无</v>
      </c>
      <c r="I195" s="1" t="str">
        <f>"201209-201607 中原工学院信息商务学院 就读
201609至今 许昌市建安区公安局蒋李集派出所 辅警"</f>
        <v>201209-201607 中原工学院信息商务学院 就读
201609至今 许昌市建安区公安局蒋李集派出所 辅警</v>
      </c>
    </row>
    <row r="196" spans="1:9">
      <c r="A196" s="1" t="str">
        <f>"411327199911184221"</f>
        <v>411327199911184221</v>
      </c>
      <c r="B196" s="1" t="str">
        <f>"共青团员"</f>
        <v>共青团员</v>
      </c>
      <c r="C196" s="1" t="str">
        <f t="shared" si="95"/>
        <v>本科</v>
      </c>
      <c r="D196" s="1" t="str">
        <f>"20220630"</f>
        <v>20220630</v>
      </c>
      <c r="E196" s="1" t="str">
        <f>"广东财经大学华商学院"</f>
        <v>广东财经大学华商学院</v>
      </c>
      <c r="F196" s="1" t="str">
        <f>"国际经济与贸易"</f>
        <v>国际经济与贸易</v>
      </c>
      <c r="G196" s="1" t="str">
        <f>"河南省南阳市内乡县湍东镇南湖湾小区1号楼3单元902"</f>
        <v>河南省南阳市内乡县湍东镇南湖湾小区1号楼3单元902</v>
      </c>
      <c r="H196" s="1" t="str">
        <f t="shared" si="92"/>
        <v>无</v>
      </c>
      <c r="I196" s="1" t="str">
        <f>"201809-202206在广东财经大学华商学院经济与金融系国际经济与贸易专业就读，是全日制学历
202207-202403就职于牧原食品股份有限公司
202404-202405在河南省南阳市内乡县待业
202406-202410就职河南春耕秋收实业发展有限公司
202411-202507在河南省南阳市内乡县待业"</f>
        <v>201809-202206在广东财经大学华商学院经济与金融系国际经济与贸易专业就读，是全日制学历
202207-202403就职于牧原食品股份有限公司
202404-202405在河南省南阳市内乡县待业
202406-202410就职河南春耕秋收实业发展有限公司
202411-202507在河南省南阳市内乡县待业</v>
      </c>
    </row>
    <row r="197" spans="1:9">
      <c r="A197" s="1" t="str">
        <f>"411327200201190016"</f>
        <v>411327200201190016</v>
      </c>
      <c r="B197" s="1" t="str">
        <f t="shared" ref="B197:B204" si="96">"群众"</f>
        <v>群众</v>
      </c>
      <c r="C197" s="1" t="str">
        <f>"专科"</f>
        <v>专科</v>
      </c>
      <c r="D197" s="1" t="str">
        <f>"2023.07.01"</f>
        <v>2023.07.01</v>
      </c>
      <c r="E197" s="1" t="str">
        <f>"河南工业和信息化职业学院"</f>
        <v>河南工业和信息化职业学院</v>
      </c>
      <c r="F197" s="1" t="str">
        <f>"城市轨道交通车辆技术"</f>
        <v>城市轨道交通车辆技术</v>
      </c>
      <c r="G197" s="1" t="str">
        <f>"新检察院附近"</f>
        <v>新检察院附近</v>
      </c>
      <c r="H197" s="1" t="str">
        <f t="shared" si="92"/>
        <v>无</v>
      </c>
      <c r="I197" s="1" t="str">
        <f>"2020.09-2023.07于河南工业和信息化职业学院 城市轨道交通车辆技术就读，全日制学历；
2023.07至今待业。"</f>
        <v>2020.09-2023.07于河南工业和信息化职业学院 城市轨道交通车辆技术就读，全日制学历；
2023.07至今待业。</v>
      </c>
    </row>
    <row r="198" spans="1:9">
      <c r="A198" s="1" t="str">
        <f>"411327200209110324"</f>
        <v>411327200209110324</v>
      </c>
      <c r="B198" s="1" t="str">
        <f>"共青团员"</f>
        <v>共青团员</v>
      </c>
      <c r="C198" s="1" t="str">
        <f t="shared" si="95"/>
        <v>本科</v>
      </c>
      <c r="D198" s="1" t="str">
        <f>"20240601"</f>
        <v>20240601</v>
      </c>
      <c r="E198" s="1" t="str">
        <f>"喀什大学"</f>
        <v>喀什大学</v>
      </c>
      <c r="F198" s="1" t="str">
        <f>"法学专业"</f>
        <v>法学专业</v>
      </c>
      <c r="G198" s="1" t="str">
        <f>"河南省内乡县大桥乡陡沟村155号"</f>
        <v>河南省内乡县大桥乡陡沟村155号</v>
      </c>
      <c r="H198" s="1" t="str">
        <f t="shared" si="92"/>
        <v>无</v>
      </c>
      <c r="I198" s="1" t="str">
        <f>"201709-202006 内乡县第一高级中学 就读
202009-202406 喀什大学法政学院法学专业 就读  为全日制学历
202406至今待业
"</f>
        <v>201709-202006 内乡县第一高级中学 就读
202009-202406 喀什大学法政学院法学专业 就读  为全日制学历
202406至今待业
</v>
      </c>
    </row>
    <row r="199" spans="1:9">
      <c r="A199" s="1" t="str">
        <f>"411327200003290024"</f>
        <v>411327200003290024</v>
      </c>
      <c r="B199" s="1" t="str">
        <f>"中共党员"</f>
        <v>中共党员</v>
      </c>
      <c r="C199" s="1" t="str">
        <f t="shared" si="95"/>
        <v>本科</v>
      </c>
      <c r="D199" s="1" t="str">
        <f>"20220701"</f>
        <v>20220701</v>
      </c>
      <c r="E199" s="1" t="str">
        <f>"许昌学院"</f>
        <v>许昌学院</v>
      </c>
      <c r="F199" s="1" t="str">
        <f>"汉语国际教育"</f>
        <v>汉语国际教育</v>
      </c>
      <c r="G199" s="1" t="str">
        <f>"河南省南阳市内乡县城关镇县衙西路八巷12号"</f>
        <v>河南省南阳市内乡县城关镇县衙西路八巷12号</v>
      </c>
      <c r="H199" s="1" t="str">
        <f t="shared" si="92"/>
        <v>无</v>
      </c>
      <c r="I199" s="1" t="str">
        <f>"2018.09-2022.07 许昌学院 汉语国际教育专业就读 全日制学历
2022.08-2023.05 待业
2023.06-2024.04 郑州智敏锋芒科技有限公司
2024.05-2024.12 待业
2024.12-至今 淅川县九重镇人民政府"</f>
        <v>2018.09-2022.07 许昌学院 汉语国际教育专业就读 全日制学历
2022.08-2023.05 待业
2023.06-2024.04 郑州智敏锋芒科技有限公司
2024.05-2024.12 待业
2024.12-至今 淅川县九重镇人民政府</v>
      </c>
    </row>
    <row r="200" spans="1:9">
      <c r="A200" s="1" t="str">
        <f>"411403199807299015"</f>
        <v>411403199807299015</v>
      </c>
      <c r="B200" s="1" t="str">
        <f t="shared" si="96"/>
        <v>群众</v>
      </c>
      <c r="C200" s="1" t="str">
        <f t="shared" si="95"/>
        <v>本科</v>
      </c>
      <c r="D200" s="1" t="str">
        <f>"20240625"</f>
        <v>20240625</v>
      </c>
      <c r="E200" s="1" t="str">
        <f>"郑州西亚斯学院"</f>
        <v>郑州西亚斯学院</v>
      </c>
      <c r="F200" s="1" t="str">
        <f>"人工智能"</f>
        <v>人工智能</v>
      </c>
      <c r="G200" s="1" t="str">
        <f>"郑州陇西美寓"</f>
        <v>郑州陇西美寓</v>
      </c>
      <c r="H200" s="1" t="str">
        <f t="shared" si="92"/>
        <v>无</v>
      </c>
      <c r="I200" s="1" t="str">
        <f>"202009 - 202406 郑州西亚斯学院 电子信息工程学院 人工智能专业就读
202406 - 202409 商丘市待业
202409 - 202507 河南巨量引擎信息科技有限公司"</f>
        <v>202009 - 202406 郑州西亚斯学院 电子信息工程学院 人工智能专业就读
202406 - 202409 商丘市待业
202409 - 202507 河南巨量引擎信息科技有限公司</v>
      </c>
    </row>
    <row r="201" spans="1:9">
      <c r="A201" s="1" t="str">
        <f>"410185200306169880"</f>
        <v>410185200306169880</v>
      </c>
      <c r="B201" s="1" t="str">
        <f>"中共党员"</f>
        <v>中共党员</v>
      </c>
      <c r="C201" s="1" t="str">
        <f t="shared" si="95"/>
        <v>本科</v>
      </c>
      <c r="D201" s="1" t="str">
        <f>"20250605"</f>
        <v>20250605</v>
      </c>
      <c r="E201" s="1" t="str">
        <f>"新乡工程学院"</f>
        <v>新乡工程学院</v>
      </c>
      <c r="F201" s="1" t="str">
        <f>"酒店管理"</f>
        <v>酒店管理</v>
      </c>
      <c r="G201" s="1" t="str">
        <f>"河南省登封市洧河路洧西小区"</f>
        <v>河南省登封市洧河路洧西小区</v>
      </c>
      <c r="H201" s="1" t="str">
        <f t="shared" si="92"/>
        <v>无</v>
      </c>
      <c r="I201" s="1" t="str">
        <f>"202110-202506 新乡工程学院食品工程学院酒店管理专业就读"</f>
        <v>202110-202506 新乡工程学院食品工程学院酒店管理专业就读</v>
      </c>
    </row>
    <row r="202" spans="1:9">
      <c r="A202" s="1" t="str">
        <f>"411327200207140634"</f>
        <v>411327200207140634</v>
      </c>
      <c r="B202" s="1" t="str">
        <f t="shared" si="96"/>
        <v>群众</v>
      </c>
      <c r="C202" s="1" t="str">
        <f>"专科"</f>
        <v>专科</v>
      </c>
      <c r="D202" s="1" t="str">
        <f>"20240725"</f>
        <v>20240725</v>
      </c>
      <c r="E202" s="1" t="str">
        <f>"河南水利与环境职业学院"</f>
        <v>河南水利与环境职业学院</v>
      </c>
      <c r="F202" s="1" t="str">
        <f>"建筑工程技术"</f>
        <v>建筑工程技术</v>
      </c>
      <c r="G202" s="1" t="str">
        <f>"河南省南阳市内乡县马山口镇樊岗村"</f>
        <v>河南省南阳市内乡县马山口镇樊岗村</v>
      </c>
      <c r="H202" s="1" t="str">
        <f t="shared" si="92"/>
        <v>无</v>
      </c>
      <c r="I202" s="1" t="str">
        <f>"201909-202407 河南水利与环境职业学院建筑工程技术专业全日制就读
202408-202507 太康牧原农牧有限公司"</f>
        <v>201909-202407 河南水利与环境职业学院建筑工程技术专业全日制就读
202408-202507 太康牧原农牧有限公司</v>
      </c>
    </row>
    <row r="203" spans="1:9">
      <c r="A203" s="1" t="str">
        <f>"411327199408174528"</f>
        <v>411327199408174528</v>
      </c>
      <c r="B203" s="1" t="str">
        <f t="shared" si="96"/>
        <v>群众</v>
      </c>
      <c r="C203" s="1" t="str">
        <f t="shared" ref="C203:C212" si="97">"本科"</f>
        <v>本科</v>
      </c>
      <c r="D203" s="1" t="str">
        <f>"20160701"</f>
        <v>20160701</v>
      </c>
      <c r="E203" s="1" t="str">
        <f>"郑州大学西亚斯国际学院"</f>
        <v>郑州大学西亚斯国际学院</v>
      </c>
      <c r="F203" s="1" t="str">
        <f>"英语师范"</f>
        <v>英语师范</v>
      </c>
      <c r="G203" s="1" t="str">
        <f>"陕西省西安市未央区文体路号附1号32栋2单元27层5号"</f>
        <v>陕西省西安市未央区文体路号附1号32栋2单元27层5号</v>
      </c>
      <c r="H203" s="1" t="str">
        <f t="shared" si="92"/>
        <v>无</v>
      </c>
      <c r="I203" s="1" t="str">
        <f>"201209-201606 就读于郑州大学西亚斯国际学院英语师范专业，全日制本科
201609-201906 于河南省内乡县王店镇初级中学担任英语教师
201907至今待业"</f>
        <v>201209-201606 就读于郑州大学西亚斯国际学院英语师范专业，全日制本科
201609-201906 于河南省内乡县王店镇初级中学担任英语教师
201907至今待业</v>
      </c>
    </row>
    <row r="204" spans="1:9">
      <c r="A204" s="1" t="str">
        <f>"411330200009251569"</f>
        <v>411330200009251569</v>
      </c>
      <c r="B204" s="1" t="str">
        <f t="shared" si="96"/>
        <v>群众</v>
      </c>
      <c r="C204" s="1" t="str">
        <f t="shared" si="97"/>
        <v>本科</v>
      </c>
      <c r="D204" s="1" t="str">
        <f>"20220701"</f>
        <v>20220701</v>
      </c>
      <c r="E204" s="1" t="str">
        <f>"信阳农林学院"</f>
        <v>信阳农林学院</v>
      </c>
      <c r="F204" s="1" t="str">
        <f>"审计学"</f>
        <v>审计学</v>
      </c>
      <c r="G204" s="1" t="str">
        <f>"河南省南阳市西峡县五里桥镇葛营村"</f>
        <v>河南省南阳市西峡县五里桥镇葛营村</v>
      </c>
      <c r="H204" s="1" t="str">
        <f t="shared" si="92"/>
        <v>无</v>
      </c>
      <c r="I204" s="1" t="str">
        <f>"201809-202207  信阳农林学院就读全日制本科
202208-202403 待业
202404-至今      就职西峡农商银行"</f>
        <v>201809-202207  信阳农林学院就读全日制本科
202208-202403 待业
202404-至今      就职西峡农商银行</v>
      </c>
    </row>
    <row r="205" spans="1:9">
      <c r="A205" s="1" t="str">
        <f>"411324200101030577"</f>
        <v>411324200101030577</v>
      </c>
      <c r="B205" s="1" t="str">
        <f t="shared" ref="B205:B216" si="98">"共青团员"</f>
        <v>共青团员</v>
      </c>
      <c r="C205" s="1" t="str">
        <f t="shared" si="97"/>
        <v>本科</v>
      </c>
      <c r="D205" s="1" t="str">
        <f>"2024-06-17"</f>
        <v>2024-06-17</v>
      </c>
      <c r="E205" s="1" t="str">
        <f>"郑州工商学院"</f>
        <v>郑州工商学院</v>
      </c>
      <c r="F205" s="1" t="str">
        <f>"视觉传达设计"</f>
        <v>视觉传达设计</v>
      </c>
      <c r="G205" s="1" t="str">
        <f>"河南省南阳市镇平县肖营村党庄"</f>
        <v>河南省南阳市镇平县肖营村党庄</v>
      </c>
      <c r="H205" s="1" t="str">
        <f t="shared" si="92"/>
        <v>无</v>
      </c>
      <c r="I205" s="1" t="str">
        <f>"202209-202406 郑州工商学院 就读视觉传达设计专业 全日制
201909-202206 河南轻工职业学院 就读数字媒体艺术设计 全日制
201609-201906 镇平工艺美术中等职业学院
201309-201606 镇平县玉都初中
200709-201306镇平县肖营小学"</f>
        <v>202209-202406 郑州工商学院 就读视觉传达设计专业 全日制
201909-202206 河南轻工职业学院 就读数字媒体艺术设计 全日制
201609-201906 镇平工艺美术中等职业学院
201309-201606 镇平县玉都初中
200709-201306镇平县肖营小学</v>
      </c>
    </row>
    <row r="206" spans="1:9">
      <c r="A206" s="1" t="str">
        <f>"411121199605181525"</f>
        <v>411121199605181525</v>
      </c>
      <c r="B206" s="1" t="str">
        <f t="shared" ref="B206:B209" si="99">"群众"</f>
        <v>群众</v>
      </c>
      <c r="C206" s="1" t="str">
        <f t="shared" si="97"/>
        <v>本科</v>
      </c>
      <c r="D206" s="1" t="str">
        <f>"20200701"</f>
        <v>20200701</v>
      </c>
      <c r="E206" s="1" t="str">
        <f>"新乡学院"</f>
        <v>新乡学院</v>
      </c>
      <c r="F206" s="1" t="str">
        <f>"人力资源管理"</f>
        <v>人力资源管理</v>
      </c>
      <c r="G206" s="1" t="str">
        <f>"河南省漯河市舞阳县"</f>
        <v>河南省漯河市舞阳县</v>
      </c>
      <c r="H206" s="1" t="str">
        <f t="shared" si="92"/>
        <v>无</v>
      </c>
      <c r="I206" s="1" t="str">
        <f>"201509-201707商丘工学院 市场营销专业就读 专科全日制
201709-202007新乡学院 人力资源管理专业就读 本科全日制
201709-201809因个人原因休学一年
202007-202206待业
202207-202506舞阳县商务局公益岗就职
202507-至今待业"</f>
        <v>201509-201707商丘工学院 市场营销专业就读 专科全日制
201709-202007新乡学院 人力资源管理专业就读 本科全日制
201709-201809因个人原因休学一年
202007-202206待业
202207-202506舞阳县商务局公益岗就职
202507-至今待业</v>
      </c>
    </row>
    <row r="207" spans="1:9">
      <c r="A207" s="1" t="str">
        <f>"411330200303080019"</f>
        <v>411330200303080019</v>
      </c>
      <c r="B207" s="1" t="str">
        <f t="shared" si="98"/>
        <v>共青团员</v>
      </c>
      <c r="C207" s="1" t="str">
        <f t="shared" si="97"/>
        <v>本科</v>
      </c>
      <c r="D207" s="1" t="str">
        <f>"20250614"</f>
        <v>20250614</v>
      </c>
      <c r="E207" s="1" t="str">
        <f>"信阳农林学院"</f>
        <v>信阳农林学院</v>
      </c>
      <c r="F207" s="1" t="str">
        <f>"食品科学与工程"</f>
        <v>食品科学与工程</v>
      </c>
      <c r="G207" s="1" t="str">
        <f>"河南省南阳市西峡县丹水镇朝阳村杨南组13号"</f>
        <v>河南省南阳市西峡县丹水镇朝阳村杨南组13号</v>
      </c>
      <c r="H207" s="1" t="str">
        <f>"内部审核员证书"</f>
        <v>内部审核员证书</v>
      </c>
      <c r="I207" s="1" t="str">
        <f>"202109-202506信阳农林学院学校食品科学与工程学院食品科学与工程专业就读，是全日制学历。"</f>
        <v>202109-202506信阳农林学院学校食品科学与工程学院食品科学与工程专业就读，是全日制学历。</v>
      </c>
    </row>
    <row r="208" spans="1:9">
      <c r="A208" s="1" t="str">
        <f>"411330200003111522"</f>
        <v>411330200003111522</v>
      </c>
      <c r="B208" s="1" t="str">
        <f t="shared" si="99"/>
        <v>群众</v>
      </c>
      <c r="C208" s="1" t="str">
        <f t="shared" si="97"/>
        <v>本科</v>
      </c>
      <c r="D208" s="1" t="str">
        <f>"20220701"</f>
        <v>20220701</v>
      </c>
      <c r="E208" s="1" t="str">
        <f>"河南师范大学新联学院"</f>
        <v>河南师范大学新联学院</v>
      </c>
      <c r="F208" s="1" t="str">
        <f>"人力资源管理"</f>
        <v>人力资源管理</v>
      </c>
      <c r="G208" s="1" t="str">
        <f>"河南省南阳市西峡县城关镇任营38号"</f>
        <v>河南省南阳市西峡县城关镇任营38号</v>
      </c>
      <c r="H208" s="1" t="str">
        <f>"企业人力资源管理师（中级）"</f>
        <v>企业人力资源管理师（中级）</v>
      </c>
      <c r="I208" s="1" t="str">
        <f>"201509-202207河南师范大学新联学院就读，就读于经济管理学院人力资源管理专业，全日制学历
202207-202504待业
202504-至今就职于西峡县宜居城镇工程建设有限公司"</f>
        <v>201509-202207河南师范大学新联学院就读，就读于经济管理学院人力资源管理专业，全日制学历
202207-202504待业
202504-至今就职于西峡县宜居城镇工程建设有限公司</v>
      </c>
    </row>
    <row r="209" spans="1:9">
      <c r="A209" s="1" t="str">
        <f>"411327200106123720"</f>
        <v>411327200106123720</v>
      </c>
      <c r="B209" s="1" t="str">
        <f t="shared" si="99"/>
        <v>群众</v>
      </c>
      <c r="C209" s="1" t="str">
        <f t="shared" si="97"/>
        <v>本科</v>
      </c>
      <c r="D209" s="1" t="str">
        <f>"20250616"</f>
        <v>20250616</v>
      </c>
      <c r="E209" s="1" t="str">
        <f>"西华师范大学"</f>
        <v>西华师范大学</v>
      </c>
      <c r="F209" s="1" t="str">
        <f>"汉语言文学"</f>
        <v>汉语言文学</v>
      </c>
      <c r="G209" s="1" t="str">
        <f>"河南省南阳市内乡县桃溪镇桃溪村高庄组"</f>
        <v>河南省南阳市内乡县桃溪镇桃溪村高庄组</v>
      </c>
      <c r="H209" s="1" t="str">
        <f t="shared" ref="H209:H218" si="100">"无"</f>
        <v>无</v>
      </c>
      <c r="I209" s="1" t="str">
        <f>"202109-202506 在西华师范大学文学院汉语言文学专业就读，是全日制学历
202506-至今 待业"</f>
        <v>202109-202506 在西华师范大学文学院汉语言文学专业就读，是全日制学历
202506-至今 待业</v>
      </c>
    </row>
    <row r="210" spans="1:9">
      <c r="A210" s="1" t="str">
        <f>"41133020021210154X"</f>
        <v>41133020021210154X</v>
      </c>
      <c r="B210" s="1" t="str">
        <f t="shared" si="98"/>
        <v>共青团员</v>
      </c>
      <c r="C210" s="1" t="str">
        <f t="shared" si="97"/>
        <v>本科</v>
      </c>
      <c r="D210" s="1" t="str">
        <f>"20250630"</f>
        <v>20250630</v>
      </c>
      <c r="E210" s="1" t="str">
        <f>"中南林业科技大学"</f>
        <v>中南林业科技大学</v>
      </c>
      <c r="F210" s="1" t="str">
        <f>"国际经济与贸易"</f>
        <v>国际经济与贸易</v>
      </c>
      <c r="G210" s="1" t="str">
        <f>"河南省南阳市西峡县建设西路凤凰城2栋1401"</f>
        <v>河南省南阳市西峡县建设西路凤凰城2栋1401</v>
      </c>
      <c r="H210" s="1" t="str">
        <f t="shared" si="100"/>
        <v>无</v>
      </c>
      <c r="I210" s="1" t="str">
        <f>"202109-202506 中南林业科技大学 经管学院 国际经济与贸易系 就读，是全日制学历；
201809-202106 西峡县西峡一高 就读；
201509-201806 西峡县城区二中 就读；
200909-201506 西峡县城区一小 就读。"</f>
        <v>202109-202506 中南林业科技大学 经管学院 国际经济与贸易系 就读，是全日制学历；
201809-202106 西峡县西峡一高 就读；
201509-201806 西峡县城区二中 就读；
200909-201506 西峡县城区一小 就读。</v>
      </c>
    </row>
    <row r="211" spans="1:9">
      <c r="A211" s="1" t="str">
        <f>"411327200012254957"</f>
        <v>411327200012254957</v>
      </c>
      <c r="B211" s="1" t="str">
        <f t="shared" si="98"/>
        <v>共青团员</v>
      </c>
      <c r="C211" s="1" t="str">
        <f t="shared" si="97"/>
        <v>本科</v>
      </c>
      <c r="D211" s="1" t="str">
        <f>"20230630"</f>
        <v>20230630</v>
      </c>
      <c r="E211" s="1" t="str">
        <f>"东北石油大学"</f>
        <v>东北石油大学</v>
      </c>
      <c r="F211" s="1" t="str">
        <f>"土木工程"</f>
        <v>土木工程</v>
      </c>
      <c r="G211" s="1" t="str">
        <f>"河南省内乡县灌涨镇杨营村上程"</f>
        <v>河南省内乡县灌涨镇杨营村上程</v>
      </c>
      <c r="H211" s="1" t="str">
        <f t="shared" si="100"/>
        <v>无</v>
      </c>
      <c r="I211" s="1" t="str">
        <f>"201909-202306 东北石油大学 土木建筑工程学院 土木工程专业 就读
202307-202405 中石化第四建设有限公司 就业 技术员
202405-202502 在家待业
20250至今 陆路鸣教育有限公司 教官"</f>
        <v>201909-202306 东北石油大学 土木建筑工程学院 土木工程专业 就读
202307-202405 中石化第四建设有限公司 就业 技术员
202405-202502 在家待业
20250至今 陆路鸣教育有限公司 教官</v>
      </c>
    </row>
    <row r="212" spans="1:9">
      <c r="A212" s="1" t="str">
        <f>"413026200003116615"</f>
        <v>413026200003116615</v>
      </c>
      <c r="B212" s="1" t="str">
        <f t="shared" si="98"/>
        <v>共青团员</v>
      </c>
      <c r="C212" s="1" t="str">
        <f t="shared" si="97"/>
        <v>本科</v>
      </c>
      <c r="D212" s="1" t="str">
        <f>"20220701"</f>
        <v>20220701</v>
      </c>
      <c r="E212" s="1" t="str">
        <f>"河南牧业经济学院"</f>
        <v>河南牧业经济学院</v>
      </c>
      <c r="F212" s="1" t="str">
        <f>"工商管理"</f>
        <v>工商管理</v>
      </c>
      <c r="G212" s="1" t="str">
        <f>"河南省信阳市固始县团结路"</f>
        <v>河南省信阳市固始县团结路</v>
      </c>
      <c r="H212" s="1" t="str">
        <f t="shared" si="100"/>
        <v>无</v>
      </c>
      <c r="I212" s="1" t="str">
        <f>"201809-202207  河南牧业经济学院  工商管理   全日制本科
202207-202303  待业  固始县
202303-202305  上海泉盛餐饮有限公司  代理店长
202305-至今    待业  固始县"</f>
        <v>201809-202207  河南牧业经济学院  工商管理   全日制本科
202207-202303  待业  固始县
202303-202305  上海泉盛餐饮有限公司  代理店长
202305-至今    待业  固始县</v>
      </c>
    </row>
    <row r="213" spans="1:9">
      <c r="A213" s="1" t="str">
        <f>"410184199803167649"</f>
        <v>410184199803167649</v>
      </c>
      <c r="B213" s="1" t="str">
        <f t="shared" si="98"/>
        <v>共青团员</v>
      </c>
      <c r="C213" s="1" t="str">
        <f>"硕士研究生"</f>
        <v>硕士研究生</v>
      </c>
      <c r="D213" s="1" t="str">
        <f>"20240618"</f>
        <v>20240618</v>
      </c>
      <c r="E213" s="1" t="str">
        <f>"河南科技大学"</f>
        <v>河南科技大学</v>
      </c>
      <c r="F213" s="1" t="str">
        <f>"生物学"</f>
        <v>生物学</v>
      </c>
      <c r="G213" s="1" t="str">
        <f>"河南省郑州市新郑市辛店镇北靳楼桃园新村"</f>
        <v>河南省郑州市新郑市辛店镇北靳楼桃园新村</v>
      </c>
      <c r="H213" s="1" t="str">
        <f t="shared" si="100"/>
        <v>无</v>
      </c>
      <c r="I213" s="1" t="str">
        <f>"是全日制学历
201609--202007  河南科技大学食品与生物工程学院食品质量与安全专业就读
202009--202406   河南科技大学食品与生物工程学院生物学专业就读"</f>
        <v>是全日制学历
201609--202007  河南科技大学食品与生物工程学院食品质量与安全专业就读
202009--202406   河南科技大学食品与生物工程学院生物学专业就读</v>
      </c>
    </row>
    <row r="214" spans="1:9">
      <c r="A214" s="1" t="str">
        <f>"410603200204143527"</f>
        <v>410603200204143527</v>
      </c>
      <c r="B214" s="1" t="str">
        <f t="shared" si="98"/>
        <v>共青团员</v>
      </c>
      <c r="C214" s="1" t="str">
        <f t="shared" ref="C214:C223" si="101">"本科"</f>
        <v>本科</v>
      </c>
      <c r="D214" s="1" t="str">
        <f>"20250630"</f>
        <v>20250630</v>
      </c>
      <c r="E214" s="1" t="str">
        <f>"郑州科技学院"</f>
        <v>郑州科技学院</v>
      </c>
      <c r="F214" s="1" t="str">
        <f>"音乐学"</f>
        <v>音乐学</v>
      </c>
      <c r="G214" s="1" t="str">
        <f>"河南省鹤壁市淇滨区"</f>
        <v>河南省鹤壁市淇滨区</v>
      </c>
      <c r="H214" s="1" t="str">
        <f t="shared" si="100"/>
        <v>无</v>
      </c>
      <c r="I214" s="1" t="str">
        <f>"202009-202306 鹤壁职业技术学院就读
202309-202506 郑州科技学院就读"</f>
        <v>202009-202306 鹤壁职业技术学院就读
202309-202506 郑州科技学院就读</v>
      </c>
    </row>
    <row r="215" spans="1:9">
      <c r="A215" s="1" t="str">
        <f>"410482200005080038"</f>
        <v>410482200005080038</v>
      </c>
      <c r="B215" s="1" t="str">
        <f t="shared" si="98"/>
        <v>共青团员</v>
      </c>
      <c r="C215" s="1" t="str">
        <f t="shared" si="101"/>
        <v>本科</v>
      </c>
      <c r="D215" s="1" t="str">
        <f>"20240630"</f>
        <v>20240630</v>
      </c>
      <c r="E215" s="1" t="str">
        <f>"郑州科技学院"</f>
        <v>郑州科技学院</v>
      </c>
      <c r="F215" s="1" t="str">
        <f>"经济学"</f>
        <v>经济学</v>
      </c>
      <c r="G215" s="1" t="str">
        <f>"郑州市中原区升龙天汇七号院二号楼二单元3001"</f>
        <v>郑州市中原区升龙天汇七号院二号楼二单元3001</v>
      </c>
      <c r="H215" s="1" t="str">
        <f t="shared" si="100"/>
        <v>无</v>
      </c>
      <c r="I215" s="1" t="str">
        <f>"201909-202206 河南经贸职业学院商务学院国际经济与贸易专业就读，全日制大专
202209-202406 郑州科技学院财经学院经济学专业就读，全日制本科
202406-至今 在家待业"</f>
        <v>201909-202206 河南经贸职业学院商务学院国际经济与贸易专业就读，全日制大专
202209-202406 郑州科技学院财经学院经济学专业就读，全日制本科
202406-至今 在家待业</v>
      </c>
    </row>
    <row r="216" spans="1:9">
      <c r="A216" s="1" t="str">
        <f>"411327200210210015"</f>
        <v>411327200210210015</v>
      </c>
      <c r="B216" s="1" t="str">
        <f t="shared" si="98"/>
        <v>共青团员</v>
      </c>
      <c r="C216" s="1" t="str">
        <f t="shared" si="101"/>
        <v>本科</v>
      </c>
      <c r="D216" s="1" t="str">
        <f>"20240531"</f>
        <v>20240531</v>
      </c>
      <c r="E216" s="1" t="str">
        <f>"新疆大学"</f>
        <v>新疆大学</v>
      </c>
      <c r="F216" s="1" t="str">
        <f>"生物工程"</f>
        <v>生物工程</v>
      </c>
      <c r="G216" s="1" t="str">
        <f>"河南省内乡县城关镇县衙路西城组63号"</f>
        <v>河南省内乡县城关镇县衙路西城组63号</v>
      </c>
      <c r="H216" s="1" t="str">
        <f t="shared" si="100"/>
        <v>无</v>
      </c>
      <c r="I216" s="1" t="str">
        <f>"202009-202406新疆大学生命科学与技术学院生物工程专业就读
202406至今河南省内乡县待业"</f>
        <v>202009-202406新疆大学生命科学与技术学院生物工程专业就读
202406至今河南省内乡县待业</v>
      </c>
    </row>
    <row r="217" spans="1:9">
      <c r="A217" s="1" t="str">
        <f>"411323200301021126"</f>
        <v>411323200301021126</v>
      </c>
      <c r="B217" s="1" t="str">
        <f t="shared" ref="B217:B222" si="102">"群众"</f>
        <v>群众</v>
      </c>
      <c r="C217" s="1" t="str">
        <f t="shared" si="101"/>
        <v>本科</v>
      </c>
      <c r="D217" s="1" t="str">
        <f>"20240619"</f>
        <v>20240619</v>
      </c>
      <c r="E217" s="1" t="str">
        <f>"北京中医药大学"</f>
        <v>北京中医药大学</v>
      </c>
      <c r="F217" s="1" t="str">
        <f>"公共事业管理（卫生事业）"</f>
        <v>公共事业管理（卫生事业）</v>
      </c>
      <c r="G217" s="1" t="str">
        <f>"淅川县石咀小区803"</f>
        <v>淅川县石咀小区803</v>
      </c>
      <c r="H217" s="1" t="str">
        <f t="shared" si="100"/>
        <v>无</v>
      </c>
      <c r="I217" s="1" t="str">
        <f>"20200901-20240619 北京中医药大学管理学院公共卫生事业专业就读 全日制
20240619至今在家待业"</f>
        <v>20200901-20240619 北京中医药大学管理学院公共卫生事业专业就读 全日制
20240619至今在家待业</v>
      </c>
    </row>
    <row r="218" spans="1:9">
      <c r="A218" s="1" t="str">
        <f>"411327199701160010"</f>
        <v>411327199701160010</v>
      </c>
      <c r="B218" s="1" t="str">
        <f>"共青团员"</f>
        <v>共青团员</v>
      </c>
      <c r="C218" s="1" t="str">
        <f t="shared" si="101"/>
        <v>本科</v>
      </c>
      <c r="D218" s="1" t="str">
        <f>"20190805"</f>
        <v>20190805</v>
      </c>
      <c r="E218" s="1" t="str">
        <f>"武汉纺织大学"</f>
        <v>武汉纺织大学</v>
      </c>
      <c r="F218" s="1" t="str">
        <f>"电子信息工程"</f>
        <v>电子信息工程</v>
      </c>
      <c r="G218" s="1" t="str">
        <f>"河南省南阳市内乡县赤眉镇卫生院"</f>
        <v>河南省南阳市内乡县赤眉镇卫生院</v>
      </c>
      <c r="H218" s="1" t="str">
        <f t="shared" si="100"/>
        <v>无</v>
      </c>
      <c r="I218" s="1" t="str">
        <f>"201509-201908 武汉纺织大学 电子与电气工程学院电子信息工程专业就读，全日制学历
201908-202312 中国人民解放军72335部队话报 听译技师
202312-202408 在河南省南阳市内乡县待业
202408-202410 成都市天府新区万安派出所 辅警
202410-202507 在河南省南阳市内县待业"</f>
        <v>201509-201908 武汉纺织大学 电子与电气工程学院电子信息工程专业就读，全日制学历
201908-202312 中国人民解放军72335部队话报 听译技师
202312-202408 在河南省南阳市内乡县待业
202408-202410 成都市天府新区万安派出所 辅警
202410-202507 在河南省南阳市内县待业</v>
      </c>
    </row>
    <row r="219" spans="1:9">
      <c r="A219" s="1" t="str">
        <f>"410821200203023527"</f>
        <v>410821200203023527</v>
      </c>
      <c r="B219" s="1" t="str">
        <f>"中共党员"</f>
        <v>中共党员</v>
      </c>
      <c r="C219" s="1" t="str">
        <f t="shared" si="101"/>
        <v>本科</v>
      </c>
      <c r="D219" s="1" t="str">
        <f>"20240607"</f>
        <v>20240607</v>
      </c>
      <c r="E219" s="1" t="str">
        <f>"河南牧业经济学院"</f>
        <v>河南牧业经济学院</v>
      </c>
      <c r="F219" s="1" t="str">
        <f>"会计学（ACCA方向）"</f>
        <v>会计学（ACCA方向）</v>
      </c>
      <c r="G219" s="1" t="str">
        <f>"河南省焦作市解放区王储街道民主南路众成家园1号楼"</f>
        <v>河南省焦作市解放区王储街道民主南路众成家园1号楼</v>
      </c>
      <c r="H219" s="1" t="str">
        <f>"初级会计资格证书、初级中学教师资格"</f>
        <v>初级会计资格证书、初级中学教师资格</v>
      </c>
      <c r="I219" s="1" t="str">
        <f>"202009-202406在河南牧业经济学院金融与会计学院就读 全日制学历
202406-202507在河南省焦作市待业"</f>
        <v>202009-202406在河南牧业经济学院金融与会计学院就读 全日制学历
202406-202507在河南省焦作市待业</v>
      </c>
    </row>
    <row r="220" spans="1:9">
      <c r="A220" s="1" t="str">
        <f>"411328200009167189"</f>
        <v>411328200009167189</v>
      </c>
      <c r="B220" s="1" t="str">
        <f t="shared" si="102"/>
        <v>群众</v>
      </c>
      <c r="C220" s="1" t="str">
        <f t="shared" si="101"/>
        <v>本科</v>
      </c>
      <c r="D220" s="1" t="str">
        <f>"20250701"</f>
        <v>20250701</v>
      </c>
      <c r="E220" s="1" t="str">
        <f>"河南师范大学"</f>
        <v>河南师范大学</v>
      </c>
      <c r="F220" s="1" t="str">
        <f>"法学"</f>
        <v>法学</v>
      </c>
      <c r="G220" s="1" t="str">
        <f>"河南省南阳市新野县溧河铺镇王坡村李铁营十组"</f>
        <v>河南省南阳市新野县溧河铺镇王坡村李铁营十组</v>
      </c>
      <c r="H220" s="1" t="str">
        <f t="shared" ref="H220:H236" si="103">"无"</f>
        <v>无</v>
      </c>
      <c r="I220" s="1" t="str">
        <f>"
201902-202107 郑州师范学院  学前教育 大专（非全日制）
202107-202211 待业
202211- 至今     新野县人民检察院政治部（同时202304-202507在河南师范大学法学院继续教育学院学习（非全日制本科））
"</f>
        <v>
201902-202107 郑州师范学院  学前教育 大专（非全日制）
202107-202211 待业
202211- 至今     新野县人民检察院政治部（同时202304-202507在河南师范大学法学院继续教育学院学习（非全日制本科））
</v>
      </c>
    </row>
    <row r="221" spans="1:9">
      <c r="A221" s="1" t="str">
        <f>"411330200306304524"</f>
        <v>411330200306304524</v>
      </c>
      <c r="B221" s="1" t="str">
        <f>"中共党员"</f>
        <v>中共党员</v>
      </c>
      <c r="C221" s="1" t="str">
        <f t="shared" si="101"/>
        <v>本科</v>
      </c>
      <c r="D221" s="1" t="str">
        <f>"20250630"</f>
        <v>20250630</v>
      </c>
      <c r="E221" s="1" t="str">
        <f>"河海大学"</f>
        <v>河海大学</v>
      </c>
      <c r="F221" s="1" t="str">
        <f>"财务管理"</f>
        <v>财务管理</v>
      </c>
      <c r="G221" s="1" t="str">
        <f>"河南省南阳市西峡县米坪镇"</f>
        <v>河南省南阳市西峡县米坪镇</v>
      </c>
      <c r="H221" s="1" t="str">
        <f t="shared" si="103"/>
        <v>无</v>
      </c>
      <c r="I221" s="1" t="str">
        <f>"202109-202506　河海大学商学院财务管理专业　全日制
201809-202106　西峡县第一高级中学"</f>
        <v>202109-202506　河海大学商学院财务管理专业　全日制
201809-202106　西峡县第一高级中学</v>
      </c>
    </row>
    <row r="222" spans="1:9">
      <c r="A222" s="1" t="str">
        <f>"411327200105184919"</f>
        <v>411327200105184919</v>
      </c>
      <c r="B222" s="1" t="str">
        <f t="shared" si="102"/>
        <v>群众</v>
      </c>
      <c r="C222" s="1" t="str">
        <f t="shared" si="101"/>
        <v>本科</v>
      </c>
      <c r="D222" s="1" t="str">
        <f>"20250618"</f>
        <v>20250618</v>
      </c>
      <c r="E222" s="1" t="str">
        <f>"商丘学院"</f>
        <v>商丘学院</v>
      </c>
      <c r="F222" s="1" t="str">
        <f>"通信工程"</f>
        <v>通信工程</v>
      </c>
      <c r="G222" s="1" t="str">
        <f>"河南省南阳市内乡县城关镇菊城花园"</f>
        <v>河南省南阳市内乡县城关镇菊城花园</v>
      </c>
      <c r="H222" s="1" t="str">
        <f t="shared" si="103"/>
        <v>无</v>
      </c>
      <c r="I222" s="1" t="s">
        <v>204</v>
      </c>
    </row>
    <row r="223" spans="1:9">
      <c r="A223" s="1" t="str">
        <f>"411425200004090019"</f>
        <v>411425200004090019</v>
      </c>
      <c r="B223" s="1" t="str">
        <f>"共青团员"</f>
        <v>共青团员</v>
      </c>
      <c r="C223" s="1" t="str">
        <f t="shared" si="101"/>
        <v>本科</v>
      </c>
      <c r="D223" s="1" t="str">
        <f>"20240605"</f>
        <v>20240605</v>
      </c>
      <c r="E223" s="1" t="str">
        <f>"中原科技学院"</f>
        <v>中原科技学院</v>
      </c>
      <c r="F223" s="1" t="str">
        <f>"机械设计制造及其自动化"</f>
        <v>机械设计制造及其自动化</v>
      </c>
      <c r="G223" s="1" t="str">
        <f>"河南省商丘市虞城县健康路菜鸟驿站"</f>
        <v>河南省商丘市虞城县健康路菜鸟驿站</v>
      </c>
      <c r="H223" s="1" t="str">
        <f t="shared" si="103"/>
        <v>无</v>
      </c>
      <c r="I223" s="1" t="str">
        <f>"201909-202206河南工学院机械工程学院机械制造与自动化就读是全日制
202209-202406中原科技学院机电工程学院机械设计制造及其自动化就读是全日制"</f>
        <v>201909-202206河南工学院机械工程学院机械制造与自动化就读是全日制
202209-202406中原科技学院机电工程学院机械设计制造及其自动化就读是全日制</v>
      </c>
    </row>
    <row r="224" spans="1:9">
      <c r="A224" s="1" t="str">
        <f>"500222200308042447"</f>
        <v>500222200308042447</v>
      </c>
      <c r="B224" s="1" t="str">
        <f t="shared" ref="B224:B231" si="104">"群众"</f>
        <v>群众</v>
      </c>
      <c r="C224" s="1" t="str">
        <f>"专科"</f>
        <v>专科</v>
      </c>
      <c r="D224" s="1" t="str">
        <f>"20240630"</f>
        <v>20240630</v>
      </c>
      <c r="E224" s="1" t="str">
        <f>"重庆航天职业技术学院"</f>
        <v>重庆航天职业技术学院</v>
      </c>
      <c r="F224" s="1" t="str">
        <f>"卫星通信与导航技术"</f>
        <v>卫星通信与导航技术</v>
      </c>
      <c r="G224" s="1" t="str">
        <f>"吉林省延边朝鲜族自治州龙井市"</f>
        <v>吉林省延边朝鲜族自治州龙井市</v>
      </c>
      <c r="H224" s="1" t="str">
        <f t="shared" si="103"/>
        <v>无</v>
      </c>
      <c r="I224" s="1" t="str">
        <f>"202109-202406重庆航天职业技术学院电信学院卫星通信与导航技术专业就读，全日制大专学历"</f>
        <v>202109-202406重庆航天职业技术学院电信学院卫星通信与导航技术专业就读，全日制大专学历</v>
      </c>
    </row>
    <row r="225" spans="1:9">
      <c r="A225" s="1" t="str">
        <f>"41132720000901491X"</f>
        <v>41132720000901491X</v>
      </c>
      <c r="B225" s="1" t="str">
        <f>"共青团员"</f>
        <v>共青团员</v>
      </c>
      <c r="C225" s="1" t="str">
        <f t="shared" ref="C225:C227" si="105">"本科"</f>
        <v>本科</v>
      </c>
      <c r="D225" s="1" t="str">
        <f>"20230701"</f>
        <v>20230701</v>
      </c>
      <c r="E225" s="1" t="str">
        <f>"商丘师范学院"</f>
        <v>商丘师范学院</v>
      </c>
      <c r="F225" s="1" t="str">
        <f>"体育教育"</f>
        <v>体育教育</v>
      </c>
      <c r="G225" s="1" t="str">
        <f>"河南省南阳市内乡县菊潭大街迪欧办公家具旁边大院最里边二楼"</f>
        <v>河南省南阳市内乡县菊潭大街迪欧办公家具旁边大院最里边二楼</v>
      </c>
      <c r="H225" s="1" t="str">
        <f t="shared" si="103"/>
        <v>无</v>
      </c>
      <c r="I225" s="1" t="str">
        <f>"201909-202307商丘师范学院体育学院体育教育专业就读，是全日制"</f>
        <v>201909-202307商丘师范学院体育学院体育教育专业就读，是全日制</v>
      </c>
    </row>
    <row r="226" spans="1:9">
      <c r="A226" s="1" t="str">
        <f>"140321200306271811"</f>
        <v>140321200306271811</v>
      </c>
      <c r="B226" s="1" t="str">
        <f>"中共党员"</f>
        <v>中共党员</v>
      </c>
      <c r="C226" s="1" t="str">
        <f t="shared" si="105"/>
        <v>本科</v>
      </c>
      <c r="D226" s="1" t="str">
        <f>"20250701"</f>
        <v>20250701</v>
      </c>
      <c r="E226" s="1" t="str">
        <f>"吕梁学院"</f>
        <v>吕梁学院</v>
      </c>
      <c r="F226" s="1" t="str">
        <f>"物业管理"</f>
        <v>物业管理</v>
      </c>
      <c r="G226" s="1" t="str">
        <f>"山西省阳泉市平定县南关嘉山新区"</f>
        <v>山西省阳泉市平定县南关嘉山新区</v>
      </c>
      <c r="H226" s="1" t="str">
        <f t="shared" si="103"/>
        <v>无</v>
      </c>
      <c r="I226" s="1" t="str">
        <f>"202109-202507吕梁学院经济管理系物业管理专业就读"</f>
        <v>202109-202507吕梁学院经济管理系物业管理专业就读</v>
      </c>
    </row>
    <row r="227" spans="1:9">
      <c r="A227" s="1" t="str">
        <f>"411330199808160027"</f>
        <v>411330199808160027</v>
      </c>
      <c r="B227" s="1" t="str">
        <f t="shared" si="104"/>
        <v>群众</v>
      </c>
      <c r="C227" s="1" t="str">
        <f t="shared" si="105"/>
        <v>本科</v>
      </c>
      <c r="D227" s="1" t="str">
        <f>"20210701"</f>
        <v>20210701</v>
      </c>
      <c r="E227" s="1" t="str">
        <f>"河南科技大学"</f>
        <v>河南科技大学</v>
      </c>
      <c r="F227" s="1" t="str">
        <f>"生物技术"</f>
        <v>生物技术</v>
      </c>
      <c r="G227" s="1" t="str">
        <f>"河南省南阳市西峡县丹水镇卓沟村卓营"</f>
        <v>河南省南阳市西峡县丹水镇卓沟村卓营</v>
      </c>
      <c r="H227" s="1" t="str">
        <f t="shared" si="103"/>
        <v>无</v>
      </c>
      <c r="I227" s="1" t="str">
        <f>"201709-202107河南科技大学就读
202107-202203在家待业
202204-202208河南兴华生物技术有限公司
202209-至今待业"</f>
        <v>201709-202107河南科技大学就读
202107-202203在家待业
202204-202208河南兴华生物技术有限公司
202209-至今待业</v>
      </c>
    </row>
    <row r="228" spans="1:9">
      <c r="A228" s="1" t="str">
        <f>"411326200308240718"</f>
        <v>411326200308240718</v>
      </c>
      <c r="B228" s="1" t="str">
        <f t="shared" si="104"/>
        <v>群众</v>
      </c>
      <c r="C228" s="1" t="str">
        <f>"专科"</f>
        <v>专科</v>
      </c>
      <c r="D228" s="1" t="str">
        <f t="shared" ref="D228:D232" si="106">"20240701"</f>
        <v>20240701</v>
      </c>
      <c r="E228" s="1" t="str">
        <f>"三门峡职业技术学院"</f>
        <v>三门峡职业技术学院</v>
      </c>
      <c r="F228" s="1" t="str">
        <f>"建筑智能化工程技术"</f>
        <v>建筑智能化工程技术</v>
      </c>
      <c r="G228" s="1" t="str">
        <f>"河南省南阳市南召县留山镇郭拍店村"</f>
        <v>河南省南阳市南召县留山镇郭拍店村</v>
      </c>
      <c r="H228" s="1" t="str">
        <f t="shared" si="103"/>
        <v>无</v>
      </c>
      <c r="I228" s="1" t="str">
        <f>"202109-202407三门峡职业技术学院就读202407至今在家待业
全日制学历"</f>
        <v>202109-202407三门峡职业技术学院就读202407至今在家待业
全日制学历</v>
      </c>
    </row>
    <row r="229" spans="1:9">
      <c r="A229" s="1" t="str">
        <f>"411327200210240011"</f>
        <v>411327200210240011</v>
      </c>
      <c r="B229" s="1" t="str">
        <f t="shared" si="104"/>
        <v>群众</v>
      </c>
      <c r="C229" s="1" t="str">
        <f t="shared" ref="C229:C231" si="107">"本科"</f>
        <v>本科</v>
      </c>
      <c r="D229" s="1" t="str">
        <f>"20250701"</f>
        <v>20250701</v>
      </c>
      <c r="E229" s="1" t="str">
        <f>"郑州轻工业大学"</f>
        <v>郑州轻工业大学</v>
      </c>
      <c r="F229" s="1" t="str">
        <f>"计算机科学与技术（嵌入式软件）"</f>
        <v>计算机科学与技术（嵌入式软件）</v>
      </c>
      <c r="G229" s="1" t="str">
        <f>"河南省南阳市内乡县城关镇郦都大道106号"</f>
        <v>河南省南阳市内乡县城关镇郦都大道106号</v>
      </c>
      <c r="H229" s="1" t="str">
        <f t="shared" si="103"/>
        <v>无</v>
      </c>
      <c r="I229" s="1" t="str">
        <f>"2021.09-2025.07 就读于郑州轻工业大学计算机科学与技术学院 计算机科学于技术（嵌入式软件）专业"</f>
        <v>2021.09-2025.07 就读于郑州轻工业大学计算机科学与技术学院 计算机科学于技术（嵌入式软件）专业</v>
      </c>
    </row>
    <row r="230" spans="1:9">
      <c r="A230" s="1" t="str">
        <f>"411327200208100642"</f>
        <v>411327200208100642</v>
      </c>
      <c r="B230" s="1" t="str">
        <f t="shared" si="104"/>
        <v>群众</v>
      </c>
      <c r="C230" s="1" t="str">
        <f t="shared" si="107"/>
        <v>本科</v>
      </c>
      <c r="D230" s="1" t="str">
        <f t="shared" si="106"/>
        <v>20240701</v>
      </c>
      <c r="E230" s="1" t="str">
        <f>"许昌学院"</f>
        <v>许昌学院</v>
      </c>
      <c r="F230" s="1" t="str">
        <f>"戏剧影视文学"</f>
        <v>戏剧影视文学</v>
      </c>
      <c r="G230" s="1" t="str">
        <f>"河南省南阳市内乡县马山口镇中山街"</f>
        <v>河南省南阳市内乡县马山口镇中山街</v>
      </c>
      <c r="H230" s="1" t="str">
        <f t="shared" si="103"/>
        <v>无</v>
      </c>
      <c r="I230" s="1" t="str">
        <f>"202009-202407 许昌学院就读"</f>
        <v>202009-202407 许昌学院就读</v>
      </c>
    </row>
    <row r="231" spans="1:9">
      <c r="A231" s="1" t="str">
        <f>"411325199811010061"</f>
        <v>411325199811010061</v>
      </c>
      <c r="B231" s="1" t="str">
        <f t="shared" si="104"/>
        <v>群众</v>
      </c>
      <c r="C231" s="1" t="str">
        <f t="shared" si="107"/>
        <v>本科</v>
      </c>
      <c r="D231" s="1" t="str">
        <f>"20210701"</f>
        <v>20210701</v>
      </c>
      <c r="E231" s="1" t="str">
        <f>"新乡学院"</f>
        <v>新乡学院</v>
      </c>
      <c r="F231" s="1" t="str">
        <f>"心理学"</f>
        <v>心理学</v>
      </c>
      <c r="G231" s="1" t="str">
        <f>"河南省南阳市内乡县城关镇"</f>
        <v>河南省南阳市内乡县城关镇</v>
      </c>
      <c r="H231" s="1" t="str">
        <f t="shared" si="103"/>
        <v>无</v>
      </c>
      <c r="I231" s="1" t="str">
        <f>"201709-202107在新乡学院教育科学学院心理学专业就读，为全日制学历；
202108-202404在牧原食品股份有限公司工作；
202405至今河南省南阳市内乡县待业。"</f>
        <v>201709-202107在新乡学院教育科学学院心理学专业就读，为全日制学历；
202108-202404在牧原食品股份有限公司工作；
202405至今河南省南阳市内乡县待业。</v>
      </c>
    </row>
    <row r="232" spans="1:9">
      <c r="A232" s="1" t="str">
        <f>"411327199804034527"</f>
        <v>411327199804034527</v>
      </c>
      <c r="B232" s="1" t="str">
        <f>"中共党员"</f>
        <v>中共党员</v>
      </c>
      <c r="C232" s="1" t="str">
        <f>"硕士研究生"</f>
        <v>硕士研究生</v>
      </c>
      <c r="D232" s="1" t="str">
        <f t="shared" si="106"/>
        <v>20240701</v>
      </c>
      <c r="E232" s="1" t="str">
        <f>"昆明理工大学"</f>
        <v>昆明理工大学</v>
      </c>
      <c r="F232" s="1" t="str">
        <f>"质量工程与管理"</f>
        <v>质量工程与管理</v>
      </c>
      <c r="G232" s="1" t="str">
        <f>"河南省南阳市内乡县赵店乡"</f>
        <v>河南省南阳市内乡县赵店乡</v>
      </c>
      <c r="H232" s="1" t="str">
        <f t="shared" si="103"/>
        <v>无</v>
      </c>
      <c r="I232" s="1" t="str">
        <f>"201709-202107 河南财经政法大学 工程管理与房地产学院 工程造价专业 全日制
202109-202407 昆明理工大学 管理与经济学院 质量工程与管理专业 全日制
202407-202507 广东理工学院工作 已离职"</f>
        <v>201709-202107 河南财经政法大学 工程管理与房地产学院 工程造价专业 全日制
202109-202407 昆明理工大学 管理与经济学院 质量工程与管理专业 全日制
202407-202507 广东理工学院工作 已离职</v>
      </c>
    </row>
    <row r="233" spans="1:9">
      <c r="A233" s="1" t="str">
        <f>"411327199612180052"</f>
        <v>411327199612180052</v>
      </c>
      <c r="B233" s="1" t="str">
        <f t="shared" ref="B233:B235" si="108">"群众"</f>
        <v>群众</v>
      </c>
      <c r="C233" s="1" t="str">
        <f t="shared" ref="C233:C235" si="109">"本科"</f>
        <v>本科</v>
      </c>
      <c r="D233" s="1" t="str">
        <f>"20200701"</f>
        <v>20200701</v>
      </c>
      <c r="E233" s="1" t="str">
        <f>"郑州升达经贸管理学院"</f>
        <v>郑州升达经贸管理学院</v>
      </c>
      <c r="F233" s="1" t="str">
        <f>"工商管理"</f>
        <v>工商管理</v>
      </c>
      <c r="G233" s="1" t="str">
        <f>"郑州市金水区政四街1号院20号楼14号"</f>
        <v>郑州市金水区政四街1号院20号楼14号</v>
      </c>
      <c r="H233" s="1" t="str">
        <f t="shared" si="103"/>
        <v>无</v>
      </c>
      <c r="I233" s="1" t="str">
        <f>"201509-201807 河南司法警官职业学院就读。会计专业全日制
201809-202007 郑州升达经贸管理学院就读。工商管理专业全日制"</f>
        <v>201509-201807 河南司法警官职业学院就读。会计专业全日制
201809-202007 郑州升达经贸管理学院就读。工商管理专业全日制</v>
      </c>
    </row>
    <row r="234" spans="1:9">
      <c r="A234" s="1" t="str">
        <f>"411327199007290624"</f>
        <v>411327199007290624</v>
      </c>
      <c r="B234" s="1" t="str">
        <f t="shared" si="108"/>
        <v>群众</v>
      </c>
      <c r="C234" s="1" t="str">
        <f t="shared" si="109"/>
        <v>本科</v>
      </c>
      <c r="D234" s="1" t="str">
        <f>"20150617"</f>
        <v>20150617</v>
      </c>
      <c r="E234" s="1" t="str">
        <f>"郑州大学"</f>
        <v>郑州大学</v>
      </c>
      <c r="F234" s="1" t="str">
        <f>"计算机科学与技术（金融信息化方向）"</f>
        <v>计算机科学与技术（金融信息化方向）</v>
      </c>
      <c r="G234" s="1" t="str">
        <f>"河南南阳内乡"</f>
        <v>河南南阳内乡</v>
      </c>
      <c r="H234" s="1" t="str">
        <f t="shared" si="103"/>
        <v>无</v>
      </c>
      <c r="I234" s="1" t="str">
        <f>"201109-201506郑州大学软件学院计算机科学与技术（金融信息化方向）就读，是全日制。"</f>
        <v>201109-201506郑州大学软件学院计算机科学与技术（金融信息化方向）就读，是全日制。</v>
      </c>
    </row>
    <row r="235" spans="1:9">
      <c r="A235" s="1" t="str">
        <f>"411330200410221120"</f>
        <v>411330200410221120</v>
      </c>
      <c r="B235" s="1" t="str">
        <f t="shared" si="108"/>
        <v>群众</v>
      </c>
      <c r="C235" s="1" t="str">
        <f t="shared" si="109"/>
        <v>本科</v>
      </c>
      <c r="D235" s="1" t="str">
        <f>"2025-07-01"</f>
        <v>2025-07-01</v>
      </c>
      <c r="E235" s="1" t="str">
        <f>"南阳师范学院"</f>
        <v>南阳师范学院</v>
      </c>
      <c r="F235" s="1" t="str">
        <f>"制药工程"</f>
        <v>制药工程</v>
      </c>
      <c r="G235" s="1" t="str">
        <f>"河南省西峡县回车镇八龙庙村南头组30号"</f>
        <v>河南省西峡县回车镇八龙庙村南头组30号</v>
      </c>
      <c r="H235" s="1" t="str">
        <f t="shared" si="103"/>
        <v>无</v>
      </c>
      <c r="I235" s="1" t="str">
        <f>"202109-202507 南阳师范学院就读"</f>
        <v>202109-202507 南阳师范学院就读</v>
      </c>
    </row>
    <row r="236" spans="1:9">
      <c r="A236" s="1" t="str">
        <f>"411327199702262537"</f>
        <v>411327199702262537</v>
      </c>
      <c r="B236" s="1" t="str">
        <f t="shared" ref="B236:B239" si="110">"共青团员"</f>
        <v>共青团员</v>
      </c>
      <c r="C236" s="1" t="str">
        <f>"专科"</f>
        <v>专科</v>
      </c>
      <c r="D236" s="1" t="str">
        <f>"20200701"</f>
        <v>20200701</v>
      </c>
      <c r="E236" s="1" t="str">
        <f>"郑州商贸旅游职业学院"</f>
        <v>郑州商贸旅游职业学院</v>
      </c>
      <c r="F236" s="1" t="str">
        <f>"会计（注册会计师）"</f>
        <v>会计（注册会计师）</v>
      </c>
      <c r="G236" s="1" t="str">
        <f>"河南省南阳市内乡县王店镇堰张村"</f>
        <v>河南省南阳市内乡县王店镇堰张村</v>
      </c>
      <c r="H236" s="1" t="str">
        <f t="shared" si="103"/>
        <v>无</v>
      </c>
      <c r="I236" s="1" t="str">
        <f>"201709-202007郑州商贸旅游职业学院金融系会计（注册会计师）就读是全日制学历，202008-202112待业，202201至今内乡县司法局灌涨司法所工作（劳务派遣）"</f>
        <v>201709-202007郑州商贸旅游职业学院金融系会计（注册会计师）就读是全日制学历，202008-202112待业，202201至今内乡县司法局灌涨司法所工作（劳务派遣）</v>
      </c>
    </row>
    <row r="237" spans="1:9">
      <c r="A237" s="1" t="str">
        <f>"41132720020210153X"</f>
        <v>41132720020210153X</v>
      </c>
      <c r="B237" s="1" t="str">
        <f t="shared" si="110"/>
        <v>共青团员</v>
      </c>
      <c r="C237" s="1" t="str">
        <f t="shared" ref="C237:C242" si="111">"本科"</f>
        <v>本科</v>
      </c>
      <c r="D237" s="1" t="str">
        <f>"20250618"</f>
        <v>20250618</v>
      </c>
      <c r="E237" s="1" t="str">
        <f>"辽宁石油化工大学"</f>
        <v>辽宁石油化工大学</v>
      </c>
      <c r="F237" s="1" t="str">
        <f>"应用物理学"</f>
        <v>应用物理学</v>
      </c>
      <c r="G237" s="1" t="str">
        <f>"河南省内乡县湍东镇下洼村南岗组"</f>
        <v>河南省内乡县湍东镇下洼村南岗组</v>
      </c>
      <c r="H237" s="1" t="str">
        <f>"大学英语四级证书"</f>
        <v>大学英语四级证书</v>
      </c>
      <c r="I237" s="1" t="str">
        <f>"202109-202506 辽宁石油化工大学 就读于理学院应用物理学，是全日制学历。"</f>
        <v>202109-202506 辽宁石油化工大学 就读于理学院应用物理学，是全日制学历。</v>
      </c>
    </row>
    <row r="238" spans="1:9">
      <c r="A238" s="1" t="str">
        <f>"411327199909220027"</f>
        <v>411327199909220027</v>
      </c>
      <c r="B238" s="1" t="str">
        <f>"中共党员"</f>
        <v>中共党员</v>
      </c>
      <c r="C238" s="1" t="str">
        <f>"硕士研究生"</f>
        <v>硕士研究生</v>
      </c>
      <c r="D238" s="1" t="str">
        <f>"20250603"</f>
        <v>20250603</v>
      </c>
      <c r="E238" s="1" t="str">
        <f>"新疆师范大学"</f>
        <v>新疆师范大学</v>
      </c>
      <c r="F238" s="1" t="str">
        <f>"社会工作"</f>
        <v>社会工作</v>
      </c>
      <c r="G238" s="1" t="str">
        <f>"河南省南阳市内乡县酸枣园"</f>
        <v>河南省南阳市内乡县酸枣园</v>
      </c>
      <c r="H238" s="1" t="str">
        <f t="shared" ref="H238:H245" si="112">"无"</f>
        <v>无</v>
      </c>
      <c r="I238" s="1" t="str">
        <f>"201709-202006河南经贸职业学院 会计学院 会计电算化 全日制
202009-202206郑州航空工业管理学院 商学院 工商管理 全日制
202309-202506新疆师范大学 历史与社会学院 社会工作 全日制"</f>
        <v>201709-202006河南经贸职业学院 会计学院 会计电算化 全日制
202009-202206郑州航空工业管理学院 商学院 工商管理 全日制
202309-202506新疆师范大学 历史与社会学院 社会工作 全日制</v>
      </c>
    </row>
    <row r="239" spans="1:9">
      <c r="A239" s="1" t="str">
        <f>"411327200002050061"</f>
        <v>411327200002050061</v>
      </c>
      <c r="B239" s="1" t="str">
        <f t="shared" si="110"/>
        <v>共青团员</v>
      </c>
      <c r="C239" s="1" t="str">
        <f t="shared" si="111"/>
        <v>本科</v>
      </c>
      <c r="D239" s="1" t="str">
        <f>"20230701"</f>
        <v>20230701</v>
      </c>
      <c r="E239" s="1" t="str">
        <f>"郑州升达经贸管理学院"</f>
        <v>郑州升达经贸管理学院</v>
      </c>
      <c r="F239" s="1" t="str">
        <f>"财务管理"</f>
        <v>财务管理</v>
      </c>
      <c r="G239" s="1" t="str">
        <f>"河南省内乡县二建口"</f>
        <v>河南省内乡县二建口</v>
      </c>
      <c r="H239" s="1" t="str">
        <f t="shared" si="112"/>
        <v>无</v>
      </c>
      <c r="I239" s="1" t="str">
        <f>"20190901-20230701郑州升达经贸管理学院会计院系财务管理专业就读，是全日制学历"</f>
        <v>20190901-20230701郑州升达经贸管理学院会计院系财务管理专业就读，是全日制学历</v>
      </c>
    </row>
    <row r="240" spans="1:9">
      <c r="A240" s="1" t="str">
        <f>"411282199503084511"</f>
        <v>411282199503084511</v>
      </c>
      <c r="B240" s="1" t="str">
        <f t="shared" ref="B240:B243" si="113">"群众"</f>
        <v>群众</v>
      </c>
      <c r="C240" s="1" t="str">
        <f>"专科"</f>
        <v>专科</v>
      </c>
      <c r="D240" s="1" t="str">
        <f>"20180701"</f>
        <v>20180701</v>
      </c>
      <c r="E240" s="1" t="str">
        <f>"黄河科技学院"</f>
        <v>黄河科技学院</v>
      </c>
      <c r="F240" s="1" t="str">
        <f>"康复治疗技术"</f>
        <v>康复治疗技术</v>
      </c>
      <c r="G240" s="1" t="str">
        <f>"河南省灵宝市锦悦华庭"</f>
        <v>河南省灵宝市锦悦华庭</v>
      </c>
      <c r="H240" s="1" t="str">
        <f>"康复治疗士"</f>
        <v>康复治疗士</v>
      </c>
      <c r="I240" s="1" t="str">
        <f>"2015年9月至2018年7月 郑州市黄河科技学院
2018年10月至2020年10月 灵宝市中医院
2020年11月至今 灵宝市朱阳卫生院"</f>
        <v>2015年9月至2018年7月 郑州市黄河科技学院
2018年10月至2020年10月 灵宝市中医院
2020年11月至今 灵宝市朱阳卫生院</v>
      </c>
    </row>
    <row r="241" spans="1:9">
      <c r="A241" s="1" t="str">
        <f>"411327200108173529"</f>
        <v>411327200108173529</v>
      </c>
      <c r="B241" s="1" t="str">
        <f>"共青团员"</f>
        <v>共青团员</v>
      </c>
      <c r="C241" s="1" t="str">
        <f t="shared" si="111"/>
        <v>本科</v>
      </c>
      <c r="D241" s="1" t="str">
        <f>"2023-06-01"</f>
        <v>2023-06-01</v>
      </c>
      <c r="E241" s="1" t="str">
        <f>"郑州师范学院"</f>
        <v>郑州师范学院</v>
      </c>
      <c r="F241" s="1" t="str">
        <f>"投资学"</f>
        <v>投资学</v>
      </c>
      <c r="G241" s="1" t="str">
        <f>"河南省南阳市内乡县板场乡"</f>
        <v>河南省南阳市内乡县板场乡</v>
      </c>
      <c r="H241" s="1" t="str">
        <f t="shared" si="112"/>
        <v>无</v>
      </c>
      <c r="I241" s="1" t="str">
        <f>"201909-202306 郑州师范学院经济与管理学院投资学专业就读，全日制学历。
202302-202406 中名国成会计师事务所从事审计工作。
202408-至今，内乡农商银行从事工作。"</f>
        <v>201909-202306 郑州师范学院经济与管理学院投资学专业就读，全日制学历。
202302-202406 中名国成会计师事务所从事审计工作。
202408-至今，内乡农商银行从事工作。</v>
      </c>
    </row>
    <row r="242" spans="1:9">
      <c r="A242" s="1" t="str">
        <f>"411327200009141548"</f>
        <v>411327200009141548</v>
      </c>
      <c r="B242" s="1" t="str">
        <f t="shared" si="113"/>
        <v>群众</v>
      </c>
      <c r="C242" s="1" t="str">
        <f t="shared" si="111"/>
        <v>本科</v>
      </c>
      <c r="D242" s="1" t="str">
        <f>"20220622"</f>
        <v>20220622</v>
      </c>
      <c r="E242" s="1" t="str">
        <f>"浙江越秀外国语学院"</f>
        <v>浙江越秀外国语学院</v>
      </c>
      <c r="F242" s="1" t="str">
        <f>"传播学"</f>
        <v>传播学</v>
      </c>
      <c r="G242" s="1" t="str">
        <f>"河南省南阳市内乡县湍东镇张岗村五组北21号"</f>
        <v>河南省南阳市内乡县湍东镇张岗村五组北21号</v>
      </c>
      <c r="H242" s="1" t="str">
        <f t="shared" si="112"/>
        <v>无</v>
      </c>
      <c r="I242" s="1" t="str">
        <f>"201809-202206 浙江越秀外国语学院 网络传播学院 传播学  就读 全日制
202207-202208 待业
202209-202307 河南优泰商贸有限公司 文员
202308-202408 待业
202409-202507 内乡县农业农村局"</f>
        <v>201809-202206 浙江越秀外国语学院 网络传播学院 传播学  就读 全日制
202207-202208 待业
202209-202307 河南优泰商贸有限公司 文员
202308-202408 待业
202409-202507 内乡县农业农村局</v>
      </c>
    </row>
    <row r="243" spans="1:9">
      <c r="A243" s="1" t="str">
        <f>"41302619961020091X"</f>
        <v>41302619961020091X</v>
      </c>
      <c r="B243" s="1" t="str">
        <f t="shared" si="113"/>
        <v>群众</v>
      </c>
      <c r="C243" s="1" t="str">
        <f>"硕士研究生"</f>
        <v>硕士研究生</v>
      </c>
      <c r="D243" s="1" t="str">
        <f>"2021-11-18"</f>
        <v>2021-11-18</v>
      </c>
      <c r="E243" s="1" t="str">
        <f>"香港浸会大学"</f>
        <v>香港浸会大学</v>
      </c>
      <c r="F243" s="1" t="str">
        <f>"当代中国研究（经济发展与改革）"</f>
        <v>当代中国研究（经济发展与改革）</v>
      </c>
      <c r="G243" s="1" t="str">
        <f>"北京市昌平区小汤山镇小东流村"</f>
        <v>北京市昌平区小汤山镇小东流村</v>
      </c>
      <c r="H243" s="1" t="str">
        <f t="shared" si="112"/>
        <v>无</v>
      </c>
      <c r="I243" s="1" t="str">
        <f>"201409-201908 在北京理工大学国际教育学院与美国犹他州立大学合作办学国际经济专业就读，为全日制学历；
201908-202009 在北京市昌平区待业
202009-202111 在香港浸会大学当代中国研究（经济发展与改革）专业就读，为全日制学历；
202111-202212 在北京市昌平区待业
202212-至今 在北京惠朗时代科技有限公司就业，管培生。"</f>
        <v>201409-201908 在北京理工大学国际教育学院与美国犹他州立大学合作办学国际经济专业就读，为全日制学历；
201908-202009 在北京市昌平区待业
202009-202111 在香港浸会大学当代中国研究（经济发展与改革）专业就读，为全日制学历；
202111-202212 在北京市昌平区待业
202212-至今 在北京惠朗时代科技有限公司就业，管培生。</v>
      </c>
    </row>
    <row r="244" spans="1:9">
      <c r="A244" s="1" t="str">
        <f>"411327200201213927"</f>
        <v>411327200201213927</v>
      </c>
      <c r="B244" s="1" t="str">
        <f>"中共党员"</f>
        <v>中共党员</v>
      </c>
      <c r="C244" s="1" t="str">
        <f t="shared" ref="C244:C250" si="114">"本科"</f>
        <v>本科</v>
      </c>
      <c r="D244" s="1" t="str">
        <f>"20240607"</f>
        <v>20240607</v>
      </c>
      <c r="E244" s="1" t="str">
        <f>"南阳师范学院"</f>
        <v>南阳师范学院</v>
      </c>
      <c r="F244" s="1" t="str">
        <f>"小学教育"</f>
        <v>小学教育</v>
      </c>
      <c r="G244" s="1" t="str">
        <f>"左岸皇朝"</f>
        <v>左岸皇朝</v>
      </c>
      <c r="H244" s="1" t="str">
        <f t="shared" si="112"/>
        <v>无</v>
      </c>
      <c r="I244" s="1" t="str">
        <f>"202009-202406在南阳师范学院教育科学学院 小学教育专业就读（全日制）"</f>
        <v>202009-202406在南阳师范学院教育科学学院 小学教育专业就读（全日制）</v>
      </c>
    </row>
    <row r="245" spans="1:9">
      <c r="A245" s="1" t="str">
        <f>"411303199208295914"</f>
        <v>411303199208295914</v>
      </c>
      <c r="B245" s="1" t="str">
        <f t="shared" ref="B245:B251" si="115">"群众"</f>
        <v>群众</v>
      </c>
      <c r="C245" s="1" t="str">
        <f>"专科"</f>
        <v>专科</v>
      </c>
      <c r="D245" s="1" t="str">
        <f>"20130701"</f>
        <v>20130701</v>
      </c>
      <c r="E245" s="1" t="str">
        <f>"郑州理工职业学院"</f>
        <v>郑州理工职业学院</v>
      </c>
      <c r="F245" s="1" t="str">
        <f>"数控技术"</f>
        <v>数控技术</v>
      </c>
      <c r="G245" s="1" t="str">
        <f>"河南省南阳市宛城区长江东路宝城天润苑A区4号楼602"</f>
        <v>河南省南阳市宛城区长江东路宝城天润苑A区4号楼602</v>
      </c>
      <c r="H245" s="1" t="str">
        <f t="shared" si="112"/>
        <v>无</v>
      </c>
      <c r="I245" s="1" t="str">
        <f>"201009-201307 郑州理工职业学院  数控技术 全日制
201212-201412 中国人民武装警察部队新乡市支队
201507-201810 河北宜农网络科技有限公司
201910-202004 武汉合力亿捷科技有限公司
202004-202104 河南盘古科技有限公司
202104-202503 南阳君云信息技术有限公司
202504-至今 待业"</f>
        <v>201009-201307 郑州理工职业学院  数控技术 全日制
201212-201412 中国人民武装警察部队新乡市支队
201507-201810 河北宜农网络科技有限公司
201910-202004 武汉合力亿捷科技有限公司
202004-202104 河南盘古科技有限公司
202104-202503 南阳君云信息技术有限公司
202504-至今 待业</v>
      </c>
    </row>
    <row r="246" spans="1:9">
      <c r="A246" s="1" t="str">
        <f>"452702200009273666"</f>
        <v>452702200009273666</v>
      </c>
      <c r="B246" s="1" t="str">
        <f t="shared" si="115"/>
        <v>群众</v>
      </c>
      <c r="C246" s="1" t="str">
        <f t="shared" si="114"/>
        <v>本科</v>
      </c>
      <c r="D246" s="1" t="str">
        <f>"20230630"</f>
        <v>20230630</v>
      </c>
      <c r="E246" s="1" t="str">
        <f>"桂林医科大"</f>
        <v>桂林医科大</v>
      </c>
      <c r="F246" s="1" t="str">
        <f>"健康服务与管理"</f>
        <v>健康服务与管理</v>
      </c>
      <c r="G246" s="1" t="str">
        <f>"河南省漯河市源汇区泰盈紫金城"</f>
        <v>河南省漯河市源汇区泰盈紫金城</v>
      </c>
      <c r="H246" s="1" t="str">
        <f>"健康管理师"</f>
        <v>健康管理师</v>
      </c>
      <c r="I246" s="1" t="str">
        <f>"201909-202307桂林医科大学就读全日制本科"</f>
        <v>201909-202307桂林医科大学就读全日制本科</v>
      </c>
    </row>
    <row r="247" spans="1:9">
      <c r="A247" s="1" t="str">
        <f>"411729200303234846"</f>
        <v>411729200303234846</v>
      </c>
      <c r="B247" s="1" t="str">
        <f t="shared" ref="B247:B254" si="116">"共青团员"</f>
        <v>共青团员</v>
      </c>
      <c r="C247" s="1" t="str">
        <f t="shared" si="114"/>
        <v>本科</v>
      </c>
      <c r="D247" s="1" t="str">
        <f>"2025-07-01"</f>
        <v>2025-07-01</v>
      </c>
      <c r="E247" s="1" t="str">
        <f>"商丘学院"</f>
        <v>商丘学院</v>
      </c>
      <c r="F247" s="1" t="str">
        <f>"财务管理"</f>
        <v>财务管理</v>
      </c>
      <c r="G247" s="1" t="str">
        <f>"驻马店市新蔡县砖店镇"</f>
        <v>驻马店市新蔡县砖店镇</v>
      </c>
      <c r="H247" s="1" t="str">
        <f>"初级会计资格证"</f>
        <v>初级会计资格证</v>
      </c>
      <c r="I247" s="1" t="str">
        <f>"202009-202306 濮阳职业技术学院
202309-202506 商丘学院"</f>
        <v>202009-202306 濮阳职业技术学院
202309-202506 商丘学院</v>
      </c>
    </row>
    <row r="248" spans="1:9">
      <c r="A248" s="1" t="str">
        <f>"411328199910256533"</f>
        <v>411328199910256533</v>
      </c>
      <c r="B248" s="1" t="str">
        <f t="shared" si="116"/>
        <v>共青团员</v>
      </c>
      <c r="C248" s="1" t="str">
        <f t="shared" si="114"/>
        <v>本科</v>
      </c>
      <c r="D248" s="1" t="str">
        <f>"20220701"</f>
        <v>20220701</v>
      </c>
      <c r="E248" s="1" t="str">
        <f>"河南牧业经济学院"</f>
        <v>河南牧业经济学院</v>
      </c>
      <c r="F248" s="1" t="str">
        <f>"能源与动力工程"</f>
        <v>能源与动力工程</v>
      </c>
      <c r="G248" s="1" t="str">
        <f>"河南省南阳市范蠡路与仲景路交叉口"</f>
        <v>河南省南阳市范蠡路与仲景路交叉口</v>
      </c>
      <c r="H248" s="1" t="str">
        <f t="shared" ref="H248:H250" si="117">"无"</f>
        <v>无</v>
      </c>
      <c r="I248" s="1" t="str">
        <f>"2018年9月--2022年7月  河南牧业经济学院  能源与智能院系  能源与动力工程专业就读 全日制本科
2022年7月--2024年9月 待业
2024年9月至今  南阳众诚人力资源有限公司就职"</f>
        <v>2018年9月--2022年7月  河南牧业经济学院  能源与智能院系  能源与动力工程专业就读 全日制本科
2022年7月--2024年9月 待业
2024年9月至今  南阳众诚人力资源有限公司就职</v>
      </c>
    </row>
    <row r="249" spans="1:9">
      <c r="A249" s="1" t="str">
        <f>"411325199904052965"</f>
        <v>411325199904052965</v>
      </c>
      <c r="B249" s="1" t="str">
        <f t="shared" si="115"/>
        <v>群众</v>
      </c>
      <c r="C249" s="1" t="str">
        <f t="shared" si="114"/>
        <v>本科</v>
      </c>
      <c r="D249" s="1" t="str">
        <f>"20220701"</f>
        <v>20220701</v>
      </c>
      <c r="E249" s="1" t="str">
        <f>"安阳师范大学"</f>
        <v>安阳师范大学</v>
      </c>
      <c r="F249" s="1" t="str">
        <f>"化学"</f>
        <v>化学</v>
      </c>
      <c r="G249" s="1" t="str">
        <f>"河南省南阳市内乡县酸南小区五单元一栋"</f>
        <v>河南省南阳市内乡县酸南小区五单元一栋</v>
      </c>
      <c r="H249" s="1" t="str">
        <f t="shared" si="117"/>
        <v>无</v>
      </c>
      <c r="I249" s="1" t="str">
        <f>"201809-202206安阳师范学院化学化工学院 化学专业 学生
202206-202209待业
202209-202507天津理工大学化学化工学院化学专业 硕士研究生
202507-至今待业"</f>
        <v>201809-202206安阳师范学院化学化工学院 化学专业 学生
202206-202209待业
202209-202507天津理工大学化学化工学院化学专业 硕士研究生
202507-至今待业</v>
      </c>
    </row>
    <row r="250" spans="1:9">
      <c r="A250" s="1" t="str">
        <f>"410322200211119894"</f>
        <v>410322200211119894</v>
      </c>
      <c r="B250" s="1" t="str">
        <f t="shared" si="115"/>
        <v>群众</v>
      </c>
      <c r="C250" s="1" t="str">
        <f t="shared" si="114"/>
        <v>本科</v>
      </c>
      <c r="D250" s="1" t="str">
        <f>"20250607"</f>
        <v>20250607</v>
      </c>
      <c r="E250" s="1" t="str">
        <f>"洛阳理工学院"</f>
        <v>洛阳理工学院</v>
      </c>
      <c r="F250" s="1" t="str">
        <f>"土木工程"</f>
        <v>土木工程</v>
      </c>
      <c r="G250" s="1" t="str">
        <f>"河南省洛阳市孟津区城关镇"</f>
        <v>河南省洛阳市孟津区城关镇</v>
      </c>
      <c r="H250" s="1" t="str">
        <f t="shared" si="117"/>
        <v>无</v>
      </c>
      <c r="I250" s="1" t="str">
        <f>"200209-202506洛阳理工学院智能建造与土木工程学院土木工程就读，是全日制。"</f>
        <v>200209-202506洛阳理工学院智能建造与土木工程学院土木工程就读，是全日制。</v>
      </c>
    </row>
    <row r="251" spans="1:9">
      <c r="A251" s="1" t="str">
        <f>"411327200001300364"</f>
        <v>411327200001300364</v>
      </c>
      <c r="B251" s="1" t="str">
        <f t="shared" si="115"/>
        <v>群众</v>
      </c>
      <c r="C251" s="1" t="str">
        <f>"专科"</f>
        <v>专科</v>
      </c>
      <c r="D251" s="1" t="str">
        <f>"20210607"</f>
        <v>20210607</v>
      </c>
      <c r="E251" s="1" t="str">
        <f>"河南师范大学新联学院"</f>
        <v>河南师范大学新联学院</v>
      </c>
      <c r="F251" s="1" t="str">
        <f>"酒店管理"</f>
        <v>酒店管理</v>
      </c>
      <c r="G251" s="1" t="str">
        <f>"河南省南阳市内乡县簧学街"</f>
        <v>河南省南阳市内乡县簧学街</v>
      </c>
      <c r="H251" s="1" t="str">
        <f>"初级茶艺师证书"</f>
        <v>初级茶艺师证书</v>
      </c>
      <c r="I251" s="1" t="str">
        <f>"201809-202106在河南师范大学新联学院就读，是全日制学历"</f>
        <v>201809-202106在河南师范大学新联学院就读，是全日制学历</v>
      </c>
    </row>
    <row r="252" spans="1:9">
      <c r="A252" s="1" t="str">
        <f>"411381199802155614"</f>
        <v>411381199802155614</v>
      </c>
      <c r="B252" s="1" t="str">
        <f t="shared" si="116"/>
        <v>共青团员</v>
      </c>
      <c r="C252" s="1" t="str">
        <f t="shared" ref="C252:C261" si="118">"本科"</f>
        <v>本科</v>
      </c>
      <c r="D252" s="1" t="str">
        <f>"2020-07-01"</f>
        <v>2020-07-01</v>
      </c>
      <c r="E252" s="1" t="str">
        <f>"河南城建学院"</f>
        <v>河南城建学院</v>
      </c>
      <c r="F252" s="1" t="str">
        <f>"电气工程及其自动化"</f>
        <v>电气工程及其自动化</v>
      </c>
      <c r="G252" s="1" t="str">
        <f>"河南省南阳市邓州市湍河街道人民路韩庄"</f>
        <v>河南省南阳市邓州市湍河街道人民路韩庄</v>
      </c>
      <c r="H252" s="1" t="str">
        <f t="shared" ref="H252:H259" si="119">"无"</f>
        <v>无</v>
      </c>
      <c r="I252" s="1" t="str">
        <f>"201609-202007 河南城建学院电气与控制工程学院电气工程及其自动化专业 就读
202007-202009 在家待业
202009-202209 中国人民解放军69250部队 战士
202209-202410 在家待业
202410至今 邓州市公安局 警务辅助人员"</f>
        <v>201609-202007 河南城建学院电气与控制工程学院电气工程及其自动化专业 就读
202007-202009 在家待业
202009-202209 中国人民解放军69250部队 战士
202209-202410 在家待业
202410至今 邓州市公安局 警务辅助人员</v>
      </c>
    </row>
    <row r="253" spans="1:9">
      <c r="A253" s="1" t="str">
        <f>"411002199904091525"</f>
        <v>411002199904091525</v>
      </c>
      <c r="B253" s="1" t="str">
        <f t="shared" si="116"/>
        <v>共青团员</v>
      </c>
      <c r="C253" s="1" t="str">
        <f t="shared" si="118"/>
        <v>本科</v>
      </c>
      <c r="D253" s="1" t="str">
        <f>"20210706"</f>
        <v>20210706</v>
      </c>
      <c r="E253" s="1" t="str">
        <f>"中原工学院信息商务学院"</f>
        <v>中原工学院信息商务学院</v>
      </c>
      <c r="F253" s="1" t="str">
        <f>"广播电视编导"</f>
        <v>广播电视编导</v>
      </c>
      <c r="G253" s="1" t="str">
        <f>"河南省许昌市魏都区青梅路鹿鸣湖壹号和府"</f>
        <v>河南省许昌市魏都区青梅路鹿鸣湖壹号和府</v>
      </c>
      <c r="H253" s="1" t="str">
        <f t="shared" si="119"/>
        <v>无</v>
      </c>
      <c r="I253" s="1" t="str">
        <f>"201709-202107中原工学院信息商务学院，全日制本科，政法与传媒系，广播电视编导专业就读
202107-202203待业
202204-202405唯酒会网络科技有限公司任职
202406-202501待业
202502-202507许昌新兴路学校代课"</f>
        <v>201709-202107中原工学院信息商务学院，全日制本科，政法与传媒系，广播电视编导专业就读
202107-202203待业
202204-202405唯酒会网络科技有限公司任职
202406-202501待业
202502-202507许昌新兴路学校代课</v>
      </c>
    </row>
    <row r="254" spans="1:9">
      <c r="A254" s="1" t="str">
        <f>"410522200003063217"</f>
        <v>410522200003063217</v>
      </c>
      <c r="B254" s="1" t="str">
        <f t="shared" si="116"/>
        <v>共青团员</v>
      </c>
      <c r="C254" s="1" t="str">
        <f t="shared" si="118"/>
        <v>本科</v>
      </c>
      <c r="D254" s="1" t="str">
        <f>"20220701"</f>
        <v>20220701</v>
      </c>
      <c r="E254" s="1" t="str">
        <f>"中原工学院"</f>
        <v>中原工学院</v>
      </c>
      <c r="F254" s="1" t="str">
        <f>"网络工程"</f>
        <v>网络工程</v>
      </c>
      <c r="G254" s="1" t="str">
        <f>"河南省南阳市方城县建设中路第三高级中学天桥南200米"</f>
        <v>河南省南阳市方城县建设中路第三高级中学天桥南200米</v>
      </c>
      <c r="H254" s="1" t="str">
        <f t="shared" si="119"/>
        <v>无</v>
      </c>
      <c r="I254" s="1" t="str">
        <f>"201809-202207 中原工学院计算机学院网络工程专业，就读全日制本科；
202303-202503 中国科学院信息工程研究所，从事网络安全开发工作。"</f>
        <v>201809-202207 中原工学院计算机学院网络工程专业，就读全日制本科；
202303-202503 中国科学院信息工程研究所，从事网络安全开发工作。</v>
      </c>
    </row>
    <row r="255" spans="1:9">
      <c r="A255" s="1" t="str">
        <f>"411327199909020025"</f>
        <v>411327199909020025</v>
      </c>
      <c r="B255" s="1" t="str">
        <f t="shared" ref="B255:B261" si="120">"群众"</f>
        <v>群众</v>
      </c>
      <c r="C255" s="1" t="str">
        <f t="shared" si="118"/>
        <v>本科</v>
      </c>
      <c r="D255" s="1" t="str">
        <f>"20210701"</f>
        <v>20210701</v>
      </c>
      <c r="E255" s="1" t="str">
        <f>"商丘师范学院"</f>
        <v>商丘师范学院</v>
      </c>
      <c r="F255" s="1" t="str">
        <f>"商务英语"</f>
        <v>商务英语</v>
      </c>
      <c r="G255" s="1" t="str">
        <f>"河南省南阳市内乡县城关镇派出所西"</f>
        <v>河南省南阳市内乡县城关镇派出所西</v>
      </c>
      <c r="H255" s="1" t="str">
        <f t="shared" si="119"/>
        <v>无</v>
      </c>
      <c r="I255" s="1" t="str">
        <f>"201709-202107在商丘师范学院外语系商务英语专业就读"</f>
        <v>201709-202107在商丘师范学院外语系商务英语专业就读</v>
      </c>
    </row>
    <row r="256" spans="1:9">
      <c r="A256" s="1" t="str">
        <f>"410324199306133434"</f>
        <v>410324199306133434</v>
      </c>
      <c r="B256" s="1" t="str">
        <f t="shared" si="120"/>
        <v>群众</v>
      </c>
      <c r="C256" s="1" t="str">
        <f t="shared" si="118"/>
        <v>本科</v>
      </c>
      <c r="D256" s="1" t="str">
        <f>"20160710"</f>
        <v>20160710</v>
      </c>
      <c r="E256" s="1" t="str">
        <f>"江西农业大学"</f>
        <v>江西农业大学</v>
      </c>
      <c r="F256" s="1" t="str">
        <f>"应用化学"</f>
        <v>应用化学</v>
      </c>
      <c r="G256" s="1" t="str">
        <f>"河南省洛阳市栾川县陶湾镇协心村"</f>
        <v>河南省洛阳市栾川县陶湾镇协心村</v>
      </c>
      <c r="H256" s="1" t="str">
        <f t="shared" si="119"/>
        <v>无</v>
      </c>
      <c r="I256" s="1" t="str">
        <f>"201209-201607 江西农业大学就读应用化学专业，全日制本科
201608-201808 在栾川县待业，期间在本地企业上过很短时间班，也做过一些小个体生意
201809-201902 在上海择业，做过一些销售
201903-202202 进入上海立科化学科技有限公司，做有机合成研究员
202203-202311 进入上海已铼生物科技有限公司，做有机合成研究员
202312-202406 在栾川待业
202407-至今 进入洛阳丰瑞氟业有限公司，做工艺技术员"</f>
        <v>201209-201607 江西农业大学就读应用化学专业，全日制本科
201608-201808 在栾川县待业，期间在本地企业上过很短时间班，也做过一些小个体生意
201809-201902 在上海择业，做过一些销售
201903-202202 进入上海立科化学科技有限公司，做有机合成研究员
202203-202311 进入上海已铼生物科技有限公司，做有机合成研究员
202312-202406 在栾川待业
202407-至今 进入洛阳丰瑞氟业有限公司，做工艺技术员</v>
      </c>
    </row>
    <row r="257" spans="1:9">
      <c r="A257" s="1" t="str">
        <f>"411324200209231549"</f>
        <v>411324200209231549</v>
      </c>
      <c r="B257" s="1" t="str">
        <f>"共青团员"</f>
        <v>共青团员</v>
      </c>
      <c r="C257" s="1" t="str">
        <f t="shared" si="118"/>
        <v>本科</v>
      </c>
      <c r="D257" s="1" t="str">
        <f>"2025-06-06"</f>
        <v>2025-06-06</v>
      </c>
      <c r="E257" s="1" t="str">
        <f>"信阳学院"</f>
        <v>信阳学院</v>
      </c>
      <c r="F257" s="1" t="str">
        <f>"化学"</f>
        <v>化学</v>
      </c>
      <c r="G257" s="1" t="str">
        <f>"河南省南阳市镇平县石佛寺镇马洼村薛岗10组36号"</f>
        <v>河南省南阳市镇平县石佛寺镇马洼村薛岗10组36号</v>
      </c>
      <c r="H257" s="1" t="str">
        <f t="shared" si="119"/>
        <v>无</v>
      </c>
      <c r="I257" s="1" t="str">
        <f>"202109-202506 信阳学院 理工学院化学专业就读
202506至今在家备考"</f>
        <v>202109-202506 信阳学院 理工学院化学专业就读
202506至今在家备考</v>
      </c>
    </row>
    <row r="258" spans="1:9">
      <c r="A258" s="1" t="str">
        <f>"410782200011080436"</f>
        <v>410782200011080436</v>
      </c>
      <c r="B258" s="1" t="str">
        <f>"中共党员"</f>
        <v>中共党员</v>
      </c>
      <c r="C258" s="1" t="str">
        <f t="shared" si="118"/>
        <v>本科</v>
      </c>
      <c r="D258" s="1" t="str">
        <f>"20250606"</f>
        <v>20250606</v>
      </c>
      <c r="E258" s="1" t="str">
        <f>"南阳师范学院"</f>
        <v>南阳师范学院</v>
      </c>
      <c r="F258" s="1" t="str">
        <f>"工商管理"</f>
        <v>工商管理</v>
      </c>
      <c r="G258" s="1" t="str">
        <f>"河南省辉县市百泉镇百泉村"</f>
        <v>河南省辉县市百泉镇百泉村</v>
      </c>
      <c r="H258" s="1" t="str">
        <f t="shared" si="119"/>
        <v>无</v>
      </c>
      <c r="I258" s="1" t="str">
        <f>"201809-202009中国人民解放军93251部队战士
202010-202306河南职业技术学院就读全日制
202309-202506南阳师范学院就读全日制"</f>
        <v>201809-202009中国人民解放军93251部队战士
202010-202306河南职业技术学院就读全日制
202309-202506南阳师范学院就读全日制</v>
      </c>
    </row>
    <row r="259" spans="1:9">
      <c r="A259" s="1" t="str">
        <f>"411324200202203051"</f>
        <v>411324200202203051</v>
      </c>
      <c r="B259" s="1" t="str">
        <f t="shared" si="120"/>
        <v>群众</v>
      </c>
      <c r="C259" s="1" t="str">
        <f t="shared" si="118"/>
        <v>本科</v>
      </c>
      <c r="D259" s="1" t="str">
        <f>"2025-09-30"</f>
        <v>2025-09-30</v>
      </c>
      <c r="E259" s="1" t="str">
        <f>"郑州航空工业管理学院"</f>
        <v>郑州航空工业管理学院</v>
      </c>
      <c r="F259" s="1" t="str">
        <f>"飞行器动力工程"</f>
        <v>飞行器动力工程</v>
      </c>
      <c r="G259" s="1" t="str">
        <f>"河南省南阳市镇平县曲屯镇曲屯街村北庄113号"</f>
        <v>河南省南阳市镇平县曲屯镇曲屯街村北庄113号</v>
      </c>
      <c r="H259" s="1" t="str">
        <f t="shared" si="119"/>
        <v>无</v>
      </c>
      <c r="I259" s="1" t="str">
        <f>"202109-202509 郑州航空工业管理学院 发动机学院 飞行器动力工程专业就读"</f>
        <v>202109-202509 郑州航空工业管理学院 发动机学院 飞行器动力工程专业就读</v>
      </c>
    </row>
    <row r="260" spans="1:9">
      <c r="A260" s="1" t="str">
        <f>"411381200007193924"</f>
        <v>411381200007193924</v>
      </c>
      <c r="B260" s="1" t="str">
        <f t="shared" si="120"/>
        <v>群众</v>
      </c>
      <c r="C260" s="1" t="str">
        <f t="shared" si="118"/>
        <v>本科</v>
      </c>
      <c r="D260" s="1" t="str">
        <f>"20230701"</f>
        <v>20230701</v>
      </c>
      <c r="E260" s="1" t="str">
        <f>"平顶山学院"</f>
        <v>平顶山学院</v>
      </c>
      <c r="F260" s="1" t="str">
        <f>"英语"</f>
        <v>英语</v>
      </c>
      <c r="G260" s="1" t="str">
        <f>"河南省南阳市邓州市罗庄镇马岗村"</f>
        <v>河南省南阳市邓州市罗庄镇马岗村</v>
      </c>
      <c r="H260" s="1" t="str">
        <f>"专四"</f>
        <v>专四</v>
      </c>
      <c r="I260" s="1" t="str">
        <f>"201909-20230701 平顶山学院 外国语学院英语专业 就读"</f>
        <v>201909-20230701 平顶山学院 外国语学院英语专业 就读</v>
      </c>
    </row>
    <row r="261" spans="1:9">
      <c r="A261" s="1" t="str">
        <f>"410325200009179913"</f>
        <v>410325200009179913</v>
      </c>
      <c r="B261" s="1" t="str">
        <f t="shared" si="120"/>
        <v>群众</v>
      </c>
      <c r="C261" s="1" t="str">
        <f t="shared" si="118"/>
        <v>本科</v>
      </c>
      <c r="D261" s="1" t="str">
        <f>"20230703"</f>
        <v>20230703</v>
      </c>
      <c r="E261" s="1" t="str">
        <f>"陕西理工大学"</f>
        <v>陕西理工大学</v>
      </c>
      <c r="F261" s="1" t="str">
        <f>"土木工程"</f>
        <v>土木工程</v>
      </c>
      <c r="G261" s="1" t="str">
        <f>"河南省洛阳市嵩县城关镇文化路永康公寓"</f>
        <v>河南省洛阳市嵩县城关镇文化路永康公寓</v>
      </c>
      <c r="H261" s="1" t="str">
        <f t="shared" ref="H261:H264" si="121">"无"</f>
        <v>无</v>
      </c>
      <c r="I261" s="1" t="str">
        <f>"202109-202307 陕西理工大学 土木工程系土木工程专业 就读 是全日制学历"</f>
        <v>202109-202307 陕西理工大学 土木工程系土木工程专业 就读 是全日制学历</v>
      </c>
    </row>
    <row r="262" spans="1:9">
      <c r="A262" s="1" t="str">
        <f>"411327200105313717"</f>
        <v>411327200105313717</v>
      </c>
      <c r="B262" s="1" t="str">
        <f t="shared" ref="B262:B267" si="122">"共青团员"</f>
        <v>共青团员</v>
      </c>
      <c r="C262" s="1" t="str">
        <f t="shared" ref="C262:C264" si="123">"专科"</f>
        <v>专科</v>
      </c>
      <c r="D262" s="1" t="str">
        <f>"20240616"</f>
        <v>20240616</v>
      </c>
      <c r="E262" s="1" t="str">
        <f>"南阳农业职业学院"</f>
        <v>南阳农业职业学院</v>
      </c>
      <c r="F262" s="1" t="str">
        <f>"计算机网络技术"</f>
        <v>计算机网络技术</v>
      </c>
      <c r="G262" s="1" t="str">
        <f>"河南省南阳市内乡县桃溪镇吴沟村染房沟11号"</f>
        <v>河南省南阳市内乡县桃溪镇吴沟村染房沟11号</v>
      </c>
      <c r="H262" s="1" t="str">
        <f t="shared" si="121"/>
        <v>无</v>
      </c>
      <c r="I262" s="1" t="str">
        <f>"201909-202006南阳农业职业学院计算机系计算机网络技术专业就读
202009-202209部队
202209-202406南阳农业职业学院计算机系计算机网络技术专业就读
是全日制学历"</f>
        <v>201909-202006南阳农业职业学院计算机系计算机网络技术专业就读
202009-202209部队
202209-202406南阳农业职业学院计算机系计算机网络技术专业就读
是全日制学历</v>
      </c>
    </row>
    <row r="263" spans="1:9">
      <c r="A263" s="1" t="str">
        <f>"410926199906023621"</f>
        <v>410926199906023621</v>
      </c>
      <c r="B263" s="1" t="str">
        <f t="shared" ref="B263:B270" si="124">"群众"</f>
        <v>群众</v>
      </c>
      <c r="C263" s="1" t="str">
        <f t="shared" si="123"/>
        <v>专科</v>
      </c>
      <c r="D263" s="1" t="str">
        <f>"20210701"</f>
        <v>20210701</v>
      </c>
      <c r="E263" s="1" t="str">
        <f>"焦作师范高等专科学校"</f>
        <v>焦作师范高等专科学校</v>
      </c>
      <c r="F263" s="1" t="str">
        <f>"会计"</f>
        <v>会计</v>
      </c>
      <c r="G263" s="1" t="str">
        <f>"河南省濮阳市范县新区商贸城"</f>
        <v>河南省濮阳市范县新区商贸城</v>
      </c>
      <c r="H263" s="1" t="str">
        <f t="shared" si="121"/>
        <v>无</v>
      </c>
      <c r="I263" s="1" t="str">
        <f>"201809-202107   焦作师范高等专科学校经济管理学院会计专业就读全日 
                            制
202107-至今        范县待业        "</f>
        <v>201809-202107   焦作师范高等专科学校经济管理学院会计专业就读全日 
                            制
202107-至今        范县待业        </v>
      </c>
    </row>
    <row r="264" spans="1:9">
      <c r="A264" s="1" t="str">
        <f>"411325200304200624"</f>
        <v>411325200304200624</v>
      </c>
      <c r="B264" s="1" t="str">
        <f t="shared" si="122"/>
        <v>共青团员</v>
      </c>
      <c r="C264" s="1" t="str">
        <f t="shared" si="123"/>
        <v>专科</v>
      </c>
      <c r="D264" s="1" t="str">
        <f>"20250701"</f>
        <v>20250701</v>
      </c>
      <c r="E264" s="1" t="str">
        <f>"湖北健康职业学院"</f>
        <v>湖北健康职业学院</v>
      </c>
      <c r="F264" s="1" t="str">
        <f>"医学检验技术"</f>
        <v>医学检验技术</v>
      </c>
      <c r="G264" s="1" t="str">
        <f>"河南省南阳市内乡县马山口镇闫岗村江沟"</f>
        <v>河南省南阳市内乡县马山口镇闫岗村江沟</v>
      </c>
      <c r="H264" s="1" t="str">
        <f t="shared" si="121"/>
        <v>无</v>
      </c>
      <c r="I264" s="1" t="str">
        <f>"202209-202506在湖北健康职业学院医学技术系医学检验技术就读，是全日制学历"</f>
        <v>202209-202506在湖北健康职业学院医学技术系医学检验技术就读，是全日制学历</v>
      </c>
    </row>
    <row r="265" spans="1:9">
      <c r="A265" s="1" t="str">
        <f>"411324199303180017"</f>
        <v>411324199303180017</v>
      </c>
      <c r="B265" s="1" t="str">
        <f t="shared" si="124"/>
        <v>群众</v>
      </c>
      <c r="C265" s="1" t="str">
        <f t="shared" ref="C265:C270" si="125">"本科"</f>
        <v>本科</v>
      </c>
      <c r="D265" s="1" t="str">
        <f>"20141230"</f>
        <v>20141230</v>
      </c>
      <c r="E265" s="1" t="str">
        <f>"郑州大学"</f>
        <v>郑州大学</v>
      </c>
      <c r="F265" s="1" t="str">
        <f>"建筑工程"</f>
        <v>建筑工程</v>
      </c>
      <c r="G265" s="1" t="str">
        <f>"镇平县中央华府"</f>
        <v>镇平县中央华府</v>
      </c>
      <c r="H265" s="1" t="str">
        <f>"市政工程中级职称"</f>
        <v>市政工程中级职称</v>
      </c>
      <c r="I265" s="1" t="s">
        <v>205</v>
      </c>
    </row>
    <row r="266" spans="1:9">
      <c r="A266" s="1" t="str">
        <f>"622630199512080243"</f>
        <v>622630199512080243</v>
      </c>
      <c r="B266" s="1" t="str">
        <f>"中共党员"</f>
        <v>中共党员</v>
      </c>
      <c r="C266" s="1" t="str">
        <f t="shared" si="125"/>
        <v>本科</v>
      </c>
      <c r="D266" s="1" t="str">
        <f>"20190630"</f>
        <v>20190630</v>
      </c>
      <c r="E266" s="1" t="str">
        <f>"兰州理工大学技术工程学院"</f>
        <v>兰州理工大学技术工程学院</v>
      </c>
      <c r="F266" s="1" t="str">
        <f>"土木工程"</f>
        <v>土木工程</v>
      </c>
      <c r="G266" s="1" t="str">
        <f>"甘肃省陇南市徽县"</f>
        <v>甘肃省陇南市徽县</v>
      </c>
      <c r="H266" s="1" t="str">
        <f t="shared" ref="H266:H270" si="126">"无"</f>
        <v>无</v>
      </c>
      <c r="I266" s="1" t="str">
        <f>"2012.8-2015.6  徽县一中就读
2015.9-2019.6   兰州理工大学技术工程学院就读
2019.7-2020.6   甘肃省两徽高速公路项目有限责任公司
2020.7-2021.5   甘肃省陇南市徽县待业
2021.6-2022.1   代课老师
2022.2-2025.7   艾伊贝尔托管中学
"</f>
        <v>2012.8-2015.6  徽县一中就读
2015.9-2019.6   兰州理工大学技术工程学院就读
2019.7-2020.6   甘肃省两徽高速公路项目有限责任公司
2020.7-2021.5   甘肃省陇南市徽县待业
2021.6-2022.1   代课老师
2022.2-2025.7   艾伊贝尔托管中学
</v>
      </c>
    </row>
    <row r="267" spans="1:9">
      <c r="A267" s="1" t="str">
        <f>"411503200005060011"</f>
        <v>411503200005060011</v>
      </c>
      <c r="B267" s="1" t="str">
        <f t="shared" si="122"/>
        <v>共青团员</v>
      </c>
      <c r="C267" s="1" t="str">
        <f>"硕士研究生"</f>
        <v>硕士研究生</v>
      </c>
      <c r="D267" s="1" t="str">
        <f>"20250607"</f>
        <v>20250607</v>
      </c>
      <c r="E267" s="1" t="str">
        <f>"河北大学"</f>
        <v>河北大学</v>
      </c>
      <c r="F267" s="1" t="str">
        <f>"外国哲学"</f>
        <v>外国哲学</v>
      </c>
      <c r="G267" s="1" t="str">
        <f>"河南省信阳市羊山新区运政小区"</f>
        <v>河南省信阳市羊山新区运政小区</v>
      </c>
      <c r="H267" s="1" t="str">
        <f t="shared" si="126"/>
        <v>无</v>
      </c>
      <c r="I267" s="1" t="str">
        <f>"201809-202206 大连财经学院就读 专业类别：管理学 学历及专业：本科审计学专业（全日制）
202209-202506 河北大学就读  专业类别：哲学   学历及专业：硕士外国哲学专业（全日制）"</f>
        <v>201809-202206 大连财经学院就读 专业类别：管理学 学历及专业：本科审计学专业（全日制）
202209-202506 河北大学就读  专业类别：哲学   学历及专业：硕士外国哲学专业（全日制）</v>
      </c>
    </row>
    <row r="268" spans="1:9">
      <c r="A268" s="1" t="str">
        <f>"411327200110013727"</f>
        <v>411327200110013727</v>
      </c>
      <c r="B268" s="1" t="str">
        <f t="shared" si="124"/>
        <v>群众</v>
      </c>
      <c r="C268" s="1" t="str">
        <f t="shared" si="125"/>
        <v>本科</v>
      </c>
      <c r="D268" s="1" t="str">
        <f>"20250607"</f>
        <v>20250607</v>
      </c>
      <c r="E268" s="1" t="str">
        <f>"郑州工商学院"</f>
        <v>郑州工商学院</v>
      </c>
      <c r="F268" s="1" t="str">
        <f>"会计学"</f>
        <v>会计学</v>
      </c>
      <c r="G268" s="1" t="str">
        <f>"河南省南阳市内乡县"</f>
        <v>河南省南阳市内乡县</v>
      </c>
      <c r="H268" s="1" t="str">
        <f t="shared" si="126"/>
        <v>无</v>
      </c>
      <c r="I268" s="1" t="str">
        <f>"202009-202306在河南农业职业学院财税金融学院会计学专业就读。202309-202506郑州工商学院财税学院会计学就读。202506-至今待业。"</f>
        <v>202009-202306在河南农业职业学院财税金融学院会计学专业就读。202309-202506郑州工商学院财税学院会计学就读。202506-至今待业。</v>
      </c>
    </row>
    <row r="269" spans="1:9">
      <c r="A269" s="1" t="str">
        <f>"411327199610100039"</f>
        <v>411327199610100039</v>
      </c>
      <c r="B269" s="1" t="str">
        <f t="shared" si="124"/>
        <v>群众</v>
      </c>
      <c r="C269" s="1" t="str">
        <f t="shared" si="125"/>
        <v>本科</v>
      </c>
      <c r="D269" s="1" t="str">
        <f>"20180607"</f>
        <v>20180607</v>
      </c>
      <c r="E269" s="1" t="str">
        <f>"天津工业大学"</f>
        <v>天津工业大学</v>
      </c>
      <c r="F269" s="1" t="str">
        <f>"软件工程"</f>
        <v>软件工程</v>
      </c>
      <c r="G269" s="1" t="str">
        <f>"郑州市金水区永平路15号1号楼2单元"</f>
        <v>郑州市金水区永平路15号1号楼2单元</v>
      </c>
      <c r="H269" s="1" t="str">
        <f t="shared" si="126"/>
        <v>无</v>
      </c>
      <c r="I269" s="1" t="str">
        <f>"201409-201806 天津工业大学-计算机学院-软件工程专业就读 "</f>
        <v>201409-201806 天津工业大学-计算机学院-软件工程专业就读 </v>
      </c>
    </row>
    <row r="270" spans="1:9">
      <c r="A270" s="1" t="str">
        <f>"130984199807010020"</f>
        <v>130984199807010020</v>
      </c>
      <c r="B270" s="1" t="str">
        <f t="shared" si="124"/>
        <v>群众</v>
      </c>
      <c r="C270" s="1" t="str">
        <f t="shared" si="125"/>
        <v>本科</v>
      </c>
      <c r="D270" s="1" t="str">
        <f>"20220616"</f>
        <v>20220616</v>
      </c>
      <c r="E270" s="1" t="str">
        <f>"河北地质大学"</f>
        <v>河北地质大学</v>
      </c>
      <c r="F270" s="1" t="str">
        <f>"数学与应用数学"</f>
        <v>数学与应用数学</v>
      </c>
      <c r="G270" s="1" t="str">
        <f>"河北省河间市农业局家属楼一单元"</f>
        <v>河北省河间市农业局家属楼一单元</v>
      </c>
      <c r="H270" s="1" t="str">
        <f t="shared" si="126"/>
        <v>无</v>
      </c>
      <c r="I270" s="1" t="str">
        <f>"201409-201706 河间市第一中学
201709-202206 河北地质大学，数理教学部数学与应用数学专业，全日制，本科学历理学学士
202207-202503 在河北省河间市待业
202504-202507 河北省深泽县人力资源和社会保障局 劳务派遣职员"</f>
        <v>201409-201706 河间市第一中学
201709-202206 河北地质大学，数理教学部数学与应用数学专业，全日制，本科学历理学学士
202207-202503 在河北省河间市待业
202504-202507 河北省深泽县人力资源和社会保障局 劳务派遣职员</v>
      </c>
    </row>
    <row r="271" spans="1:9">
      <c r="A271" s="1" t="str">
        <f>"41138120020314031X"</f>
        <v>41138120020314031X</v>
      </c>
      <c r="B271" s="1" t="str">
        <f t="shared" ref="B271:B274" si="127">"共青团员"</f>
        <v>共青团员</v>
      </c>
      <c r="C271" s="1" t="str">
        <f>"专科"</f>
        <v>专科</v>
      </c>
      <c r="D271" s="1" t="str">
        <f>"20230701"</f>
        <v>20230701</v>
      </c>
      <c r="E271" s="1" t="str">
        <f>"商丘学院"</f>
        <v>商丘学院</v>
      </c>
      <c r="F271" s="1" t="str">
        <f>"财务管理"</f>
        <v>财务管理</v>
      </c>
      <c r="G271" s="1" t="str">
        <f>"邓州市平安家园"</f>
        <v>邓州市平安家园</v>
      </c>
      <c r="H271" s="1" t="str">
        <f>"初级会计证、管理会计证、个税师职业技能证书"</f>
        <v>初级会计证、管理会计证、个税师职业技能证书</v>
      </c>
      <c r="I271" s="1" t="str">
        <f>"202009-202307 商丘学院 经济管理学院财务管理专业 全日制就读
202307-至今 邓州市水利工程建设有限责任公司 就职"</f>
        <v>202009-202307 商丘学院 经济管理学院财务管理专业 全日制就读
202307-至今 邓州市水利工程建设有限责任公司 就职</v>
      </c>
    </row>
    <row r="272" spans="1:9">
      <c r="A272" s="1" t="str">
        <f>"411326199601290014"</f>
        <v>411326199601290014</v>
      </c>
      <c r="B272" s="1" t="str">
        <f>"群众"</f>
        <v>群众</v>
      </c>
      <c r="C272" s="1" t="str">
        <f>"硕士研究生"</f>
        <v>硕士研究生</v>
      </c>
      <c r="D272" s="1" t="str">
        <f>"20240701"</f>
        <v>20240701</v>
      </c>
      <c r="E272" s="1" t="str">
        <f>"华北电力大学"</f>
        <v>华北电力大学</v>
      </c>
      <c r="F272" s="1" t="str">
        <f>"公共管理"</f>
        <v>公共管理</v>
      </c>
      <c r="G272" s="1" t="str">
        <f>"河南省南阳市南召县丹南区12-2号"</f>
        <v>河南省南阳市南召县丹南区12-2号</v>
      </c>
      <c r="H272" s="1" t="str">
        <f t="shared" ref="H272:H278" si="128">"无"</f>
        <v>无</v>
      </c>
      <c r="I272" s="1" t="str">
        <f>"201409-201807 信阳学院土木系给排水科学与工程专业就读
201808-202001 河南省南阳市南召县城建股 公益性岗位
202002-202105 河南省南阳市南召县中共城郊乡委员会 公益性岗位
202106-202108 河南省南阳市南召县待业
202109-202407 华北电力大学法政系公共管理专业就读
202408-202507 东管集团 董事长助理任职"</f>
        <v>201409-201807 信阳学院土木系给排水科学与工程专业就读
201808-202001 河南省南阳市南召县城建股 公益性岗位
202002-202105 河南省南阳市南召县中共城郊乡委员会 公益性岗位
202106-202108 河南省南阳市南召县待业
202109-202407 华北电力大学法政系公共管理专业就读
202408-202507 东管集团 董事长助理任职</v>
      </c>
    </row>
    <row r="273" spans="1:9">
      <c r="A273" s="1" t="str">
        <f>"41080219990714009X"</f>
        <v>41080219990714009X</v>
      </c>
      <c r="B273" s="1" t="str">
        <f t="shared" si="127"/>
        <v>共青团员</v>
      </c>
      <c r="C273" s="1" t="str">
        <f t="shared" ref="C273:C277" si="129">"本科"</f>
        <v>本科</v>
      </c>
      <c r="D273" s="1" t="str">
        <f>"20230620"</f>
        <v>20230620</v>
      </c>
      <c r="E273" s="1" t="str">
        <f>"西南科技大学城市学院"</f>
        <v>西南科技大学城市学院</v>
      </c>
      <c r="F273" s="1" t="str">
        <f>"工商管理"</f>
        <v>工商管理</v>
      </c>
      <c r="G273" s="1" t="str">
        <f>"河南省洛阳市洛龙区明鑫花园8号楼1单元1203"</f>
        <v>河南省洛阳市洛龙区明鑫花园8号楼1单元1203</v>
      </c>
      <c r="H273" s="1" t="str">
        <f t="shared" si="128"/>
        <v>无</v>
      </c>
      <c r="I273" s="1" t="str">
        <f>"201809-202106西南航空职业学院就读是全日制学历
202109-202306西南科技大学城市学院就读是全日制学历"</f>
        <v>201809-202106西南航空职业学院就读是全日制学历
202109-202306西南科技大学城市学院就读是全日制学历</v>
      </c>
    </row>
    <row r="274" spans="1:9">
      <c r="A274" s="1" t="str">
        <f>"410581200110149112"</f>
        <v>410581200110149112</v>
      </c>
      <c r="B274" s="1" t="str">
        <f t="shared" si="127"/>
        <v>共青团员</v>
      </c>
      <c r="C274" s="1" t="str">
        <f t="shared" si="129"/>
        <v>本科</v>
      </c>
      <c r="D274" s="1" t="str">
        <f>"20240607"</f>
        <v>20240607</v>
      </c>
      <c r="E274" s="1" t="str">
        <f>"河南大学民生学院"</f>
        <v>河南大学民生学院</v>
      </c>
      <c r="F274" s="1" t="str">
        <f>"环境设计"</f>
        <v>环境设计</v>
      </c>
      <c r="G274" s="1" t="str">
        <f>"河南省安阳市林州市开园区奥林花园"</f>
        <v>河南省安阳市林州市开园区奥林花园</v>
      </c>
      <c r="H274" s="1" t="str">
        <f t="shared" si="128"/>
        <v>无</v>
      </c>
      <c r="I274" s="1" t="str">
        <f>"无"</f>
        <v>无</v>
      </c>
    </row>
    <row r="275" spans="1:9">
      <c r="A275" s="1" t="str">
        <f>"412828199708310047"</f>
        <v>412828199708310047</v>
      </c>
      <c r="B275" s="1" t="str">
        <f t="shared" ref="B275:B280" si="130">"群众"</f>
        <v>群众</v>
      </c>
      <c r="C275" s="1" t="str">
        <f>"专科"</f>
        <v>专科</v>
      </c>
      <c r="D275" s="1" t="str">
        <f>"20190701"</f>
        <v>20190701</v>
      </c>
      <c r="E275" s="1" t="str">
        <f>"漯河职业技术学院"</f>
        <v>漯河职业技术学院</v>
      </c>
      <c r="F275" s="1" t="str">
        <f>"空中乘务"</f>
        <v>空中乘务</v>
      </c>
      <c r="G275" s="1" t="str">
        <f>"河南省新蔡县县委西巷"</f>
        <v>河南省新蔡县县委西巷</v>
      </c>
      <c r="H275" s="1" t="str">
        <f t="shared" si="128"/>
        <v>无</v>
      </c>
      <c r="I275" s="1" t="str">
        <f>"201609-201907在漯河职业技术学院就读旅游与管理系空中乘务专业，是全日制学历；201907-202401在新蔡县待业；202103-202307在南洋理工学院就读工商管理专业，不是全日制学历；202401至今在新蔡县古吕街道办事处担任社会工作者一职。"</f>
        <v>201609-201907在漯河职业技术学院就读旅游与管理系空中乘务专业，是全日制学历；201907-202401在新蔡县待业；202103-202307在南洋理工学院就读工商管理专业，不是全日制学历；202401至今在新蔡县古吕街道办事处担任社会工作者一职。</v>
      </c>
    </row>
    <row r="276" spans="1:9">
      <c r="A276" s="1" t="str">
        <f>"41032620010619752X"</f>
        <v>41032620010619752X</v>
      </c>
      <c r="B276" s="1" t="str">
        <f>"中共党员"</f>
        <v>中共党员</v>
      </c>
      <c r="C276" s="1" t="str">
        <f t="shared" si="129"/>
        <v>本科</v>
      </c>
      <c r="D276" s="1" t="str">
        <f>"20230621"</f>
        <v>20230621</v>
      </c>
      <c r="E276" s="1" t="str">
        <f>"四川传媒学院"</f>
        <v>四川传媒学院</v>
      </c>
      <c r="F276" s="1" t="str">
        <f>"戏剧影视导演"</f>
        <v>戏剧影视导演</v>
      </c>
      <c r="G276" s="1" t="str">
        <f>"河南省洛阳市康城逸树"</f>
        <v>河南省洛阳市康城逸树</v>
      </c>
      <c r="H276" s="1" t="str">
        <f t="shared" si="128"/>
        <v>无</v>
      </c>
      <c r="I276" s="1" t="str">
        <f>"201909-202306 四川传媒学院就读 全日制学历"</f>
        <v>201909-202306 四川传媒学院就读 全日制学历</v>
      </c>
    </row>
    <row r="277" spans="1:9">
      <c r="A277" s="1" t="str">
        <f>"411330200203045531"</f>
        <v>411330200203045531</v>
      </c>
      <c r="B277" s="1" t="str">
        <f>"中共预备党员"</f>
        <v>中共预备党员</v>
      </c>
      <c r="C277" s="1" t="str">
        <f t="shared" si="129"/>
        <v>本科</v>
      </c>
      <c r="D277" s="1" t="str">
        <f>"20250611"</f>
        <v>20250611</v>
      </c>
      <c r="E277" s="1" t="str">
        <f>"安阳学院"</f>
        <v>安阳学院</v>
      </c>
      <c r="F277" s="1" t="str">
        <f>"会计学"</f>
        <v>会计学</v>
      </c>
      <c r="G277" s="1" t="str">
        <f>"河南省南阳市西峡县二郎坪镇蒿坪村"</f>
        <v>河南省南阳市西峡县二郎坪镇蒿坪村</v>
      </c>
      <c r="H277" s="1" t="str">
        <f t="shared" si="128"/>
        <v>无</v>
      </c>
      <c r="I277" s="1" t="str">
        <f>"202109-202506 安阳学院经济与管理学院会计学专业就读，是全日制学历。"</f>
        <v>202109-202506 安阳学院经济与管理学院会计学专业就读，是全日制学历。</v>
      </c>
    </row>
    <row r="278" spans="1:9">
      <c r="A278" s="1" t="str">
        <f>"411381200208113572"</f>
        <v>411381200208113572</v>
      </c>
      <c r="B278" s="1" t="str">
        <f t="shared" si="130"/>
        <v>群众</v>
      </c>
      <c r="C278" s="1" t="str">
        <f>"专科"</f>
        <v>专科</v>
      </c>
      <c r="D278" s="1" t="str">
        <f>"20240701"</f>
        <v>20240701</v>
      </c>
      <c r="E278" s="1" t="str">
        <f>"三门峡职业技术学院"</f>
        <v>三门峡职业技术学院</v>
      </c>
      <c r="F278" s="1" t="str">
        <f>"中药学"</f>
        <v>中药学</v>
      </c>
      <c r="G278" s="1" t="str">
        <f>"河南省南阳市邓州市赵集镇冀寨村"</f>
        <v>河南省南阳市邓州市赵集镇冀寨村</v>
      </c>
      <c r="H278" s="1" t="str">
        <f t="shared" si="128"/>
        <v>无</v>
      </c>
      <c r="I278" s="1" t="str">
        <f>"202109-202407 三门峡职业技术学院"</f>
        <v>202109-202407 三门峡职业技术学院</v>
      </c>
    </row>
    <row r="279" spans="1:9">
      <c r="A279" s="1" t="str">
        <f>"411325200204051561"</f>
        <v>411325200204051561</v>
      </c>
      <c r="B279" s="1" t="str">
        <f t="shared" si="130"/>
        <v>群众</v>
      </c>
      <c r="C279" s="1" t="str">
        <f t="shared" ref="C279:C281" si="131">"本科"</f>
        <v>本科</v>
      </c>
      <c r="D279" s="1" t="str">
        <f>"20240701"</f>
        <v>20240701</v>
      </c>
      <c r="E279" s="1" t="str">
        <f>"河南科技学院"</f>
        <v>河南科技学院</v>
      </c>
      <c r="F279" s="1" t="str">
        <f>"农业资源与环境学院"</f>
        <v>农业资源与环境学院</v>
      </c>
      <c r="G279" s="1" t="str">
        <f>"河南省南阳市内乡县湍东镇东王营村张北组"</f>
        <v>河南省南阳市内乡县湍东镇东王营村张北组</v>
      </c>
      <c r="H279" s="1" t="str">
        <f>"高级农艺工"</f>
        <v>高级农艺工</v>
      </c>
      <c r="I279" s="1" t="str">
        <f>"202009-202407河南科技学院就读 是全日制学历"</f>
        <v>202009-202407河南科技学院就读 是全日制学历</v>
      </c>
    </row>
    <row r="280" spans="1:9">
      <c r="A280" s="1" t="str">
        <f>"411327199508264221"</f>
        <v>411327199508264221</v>
      </c>
      <c r="B280" s="1" t="str">
        <f t="shared" si="130"/>
        <v>群众</v>
      </c>
      <c r="C280" s="1" t="str">
        <f t="shared" si="131"/>
        <v>本科</v>
      </c>
      <c r="D280" s="1" t="str">
        <f>"20170630"</f>
        <v>20170630</v>
      </c>
      <c r="E280" s="1" t="str">
        <f>"广西师范学院"</f>
        <v>广西师范学院</v>
      </c>
      <c r="F280" s="1" t="str">
        <f>"戏剧影视文学"</f>
        <v>戏剧影视文学</v>
      </c>
      <c r="G280" s="1" t="str">
        <f>"内乡县"</f>
        <v>内乡县</v>
      </c>
      <c r="H280" s="1" t="str">
        <f t="shared" ref="H280:H285" si="132">"无"</f>
        <v>无</v>
      </c>
      <c r="I280" s="1" t="str">
        <f>"201309-201706广西师范学院就读 戏剧影视文学专业 全日制学历"</f>
        <v>201309-201706广西师范学院就读 戏剧影视文学专业 全日制学历</v>
      </c>
    </row>
    <row r="281" spans="1:9">
      <c r="A281" s="1" t="str">
        <f>"41282219990703186X"</f>
        <v>41282219990703186X</v>
      </c>
      <c r="B281" s="1" t="str">
        <f>"共青团员"</f>
        <v>共青团员</v>
      </c>
      <c r="C281" s="1" t="str">
        <f t="shared" si="131"/>
        <v>本科</v>
      </c>
      <c r="D281" s="1" t="str">
        <f t="shared" ref="D281:D286" si="133">"20220701"</f>
        <v>20220701</v>
      </c>
      <c r="E281" s="1" t="str">
        <f>"河南师范大学新联学院"</f>
        <v>河南师范大学新联学院</v>
      </c>
      <c r="F281" s="1" t="str">
        <f>"酒店管理"</f>
        <v>酒店管理</v>
      </c>
      <c r="G281" s="1" t="str">
        <f>"河南省驻马店市泌阳县官庄镇官南村委官南三组"</f>
        <v>河南省驻马店市泌阳县官庄镇官南村委官南三组</v>
      </c>
      <c r="H281" s="1" t="str">
        <f t="shared" si="132"/>
        <v>无</v>
      </c>
      <c r="I281" s="1" t="str">
        <f>"201809-202207在河南师范大学新联学院经济与管理学院酒店管理专业就读，全日制本科学历。"</f>
        <v>201809-202207在河南师范大学新联学院经济与管理学院酒店管理专业就读，全日制本科学历。</v>
      </c>
    </row>
    <row r="282" spans="1:9">
      <c r="A282" s="1" t="str">
        <f>"411422199402275129"</f>
        <v>411422199402275129</v>
      </c>
      <c r="B282" s="1" t="str">
        <f t="shared" ref="B282:B286" si="134">"群众"</f>
        <v>群众</v>
      </c>
      <c r="C282" s="1" t="str">
        <f>"硕士研究生"</f>
        <v>硕士研究生</v>
      </c>
      <c r="D282" s="1" t="str">
        <f>"20140615"</f>
        <v>20140615</v>
      </c>
      <c r="E282" s="1" t="str">
        <f>"吉首大学"</f>
        <v>吉首大学</v>
      </c>
      <c r="F282" s="1" t="str">
        <f>"公共管理"</f>
        <v>公共管理</v>
      </c>
      <c r="G282" s="1" t="str">
        <f>"河南省洛阳市嵩县陆浑镇桥北村"</f>
        <v>河南省洛阳市嵩县陆浑镇桥北村</v>
      </c>
      <c r="H282" s="1" t="str">
        <f t="shared" si="132"/>
        <v>无</v>
      </c>
      <c r="I282" s="1" t="str">
        <f>"201309-201706中华女子学院就读
201707-201803在家待业
201803-202108且末县第十一幼儿园教师
202109-202406吉首大学公共管理专业就读
202407至今待业"</f>
        <v>201309-201706中华女子学院就读
201707-201803在家待业
201803-202108且末县第十一幼儿园教师
202109-202406吉首大学公共管理专业就读
202407至今待业</v>
      </c>
    </row>
    <row r="283" spans="1:9">
      <c r="A283" s="1" t="str">
        <f>"411302199102025434"</f>
        <v>411302199102025434</v>
      </c>
      <c r="B283" s="1" t="str">
        <f>"中共党员"</f>
        <v>中共党员</v>
      </c>
      <c r="C283" s="1" t="str">
        <f t="shared" ref="C283:C291" si="135">"本科"</f>
        <v>本科</v>
      </c>
      <c r="D283" s="1" t="str">
        <f>"20200701"</f>
        <v>20200701</v>
      </c>
      <c r="E283" s="1" t="str">
        <f>"东北师范大学"</f>
        <v>东北师范大学</v>
      </c>
      <c r="F283" s="1" t="str">
        <f>"体育教育"</f>
        <v>体育教育</v>
      </c>
      <c r="G283" s="1" t="str">
        <f>"南阳市长江路天泽苑"</f>
        <v>南阳市长江路天泽苑</v>
      </c>
      <c r="H283" s="1" t="str">
        <f t="shared" si="132"/>
        <v>无</v>
      </c>
      <c r="I283" s="1" t="str">
        <f>"201309——201607郑州理工职业学院读大专
201809——202007东北师范大学网络教育本科"</f>
        <v>201309——201607郑州理工职业学院读大专
201809——202007东北师范大学网络教育本科</v>
      </c>
    </row>
    <row r="284" spans="1:9">
      <c r="A284" s="1" t="str">
        <f>"411330200109245721"</f>
        <v>411330200109245721</v>
      </c>
      <c r="B284" s="1" t="str">
        <f>"共青团员"</f>
        <v>共青团员</v>
      </c>
      <c r="C284" s="1" t="str">
        <f>"专科"</f>
        <v>专科</v>
      </c>
      <c r="D284" s="1" t="str">
        <f t="shared" si="133"/>
        <v>20220701</v>
      </c>
      <c r="E284" s="1" t="str">
        <f>"信阳职业技术学校"</f>
        <v>信阳职业技术学校</v>
      </c>
      <c r="F284" s="1" t="str">
        <f>"语文教育"</f>
        <v>语文教育</v>
      </c>
      <c r="G284" s="1" t="str">
        <f>"河南省南阳市西峡县城礼堂路东方王朝旁韵达"</f>
        <v>河南省南阳市西峡县城礼堂路东方王朝旁韵达</v>
      </c>
      <c r="H284" s="1" t="str">
        <f t="shared" si="132"/>
        <v>无</v>
      </c>
      <c r="I284" s="1" t="str">
        <f>"201609-201906  西峡县二高
201909-202207  信阳职业技术学院 汉语言文学院语文教育专业 全日制"</f>
        <v>201609-201906  西峡县二高
201909-202207  信阳职业技术学院 汉语言文学院语文教育专业 全日制</v>
      </c>
    </row>
    <row r="285" spans="1:9">
      <c r="A285" s="1" t="str">
        <f>"411330200006091520"</f>
        <v>411330200006091520</v>
      </c>
      <c r="B285" s="1" t="str">
        <f t="shared" si="134"/>
        <v>群众</v>
      </c>
      <c r="C285" s="1" t="str">
        <f t="shared" si="135"/>
        <v>本科</v>
      </c>
      <c r="D285" s="1" t="str">
        <f t="shared" si="133"/>
        <v>20220701</v>
      </c>
      <c r="E285" s="1" t="str">
        <f>"黄淮学院"</f>
        <v>黄淮学院</v>
      </c>
      <c r="F285" s="1" t="str">
        <f>"数学与应用数学（师范）"</f>
        <v>数学与应用数学（师范）</v>
      </c>
      <c r="G285" s="1" t="str">
        <f>"河南省南阳市西峡县城区莲花后岗69号"</f>
        <v>河南省南阳市西峡县城区莲花后岗69号</v>
      </c>
      <c r="H285" s="1" t="str">
        <f t="shared" si="132"/>
        <v>无</v>
      </c>
      <c r="I285" s="1" t="str">
        <f>"201809-202207黄淮学院就读
202207-至今待业"</f>
        <v>201809-202207黄淮学院就读
202207-至今待业</v>
      </c>
    </row>
    <row r="286" spans="1:9">
      <c r="A286" s="1" t="str">
        <f>"411326200110276969"</f>
        <v>411326200110276969</v>
      </c>
      <c r="B286" s="1" t="str">
        <f t="shared" si="134"/>
        <v>群众</v>
      </c>
      <c r="C286" s="1" t="str">
        <f>"专科"</f>
        <v>专科</v>
      </c>
      <c r="D286" s="1" t="str">
        <f t="shared" si="133"/>
        <v>20220701</v>
      </c>
      <c r="E286" s="1" t="str">
        <f>"安阳幼儿师范高等专科学校"</f>
        <v>安阳幼儿师范高等专科学校</v>
      </c>
      <c r="F286" s="1" t="str">
        <f>"语文教育"</f>
        <v>语文教育</v>
      </c>
      <c r="G286" s="1" t="str">
        <f>"河南省淅川县香花镇杨湾"</f>
        <v>河南省淅川县香花镇杨湾</v>
      </c>
      <c r="H286" s="1" t="str">
        <f>"职业技能证书讲解员（三级）教师资格证书（小学语文）"</f>
        <v>职业技能证书讲解员（三级）教师资格证书（小学语文）</v>
      </c>
      <c r="I286" s="1" t="str">
        <f>"201909-202206在安阳幼儿师范高等专科学校  语言文学系语文教育就读，全日制学历；
202209-202306在香花镇第四中心小学代课；
202309-202506在香花镇中心幼儿园代课
"</f>
        <v>201909-202206在安阳幼儿师范高等专科学校  语言文学系语文教育就读，全日制学历；
202209-202306在香花镇第四中心小学代课；
202309-202506在香花镇中心幼儿园代课
</v>
      </c>
    </row>
    <row r="287" spans="1:9">
      <c r="A287" s="1" t="str">
        <f>"411324199904104845"</f>
        <v>411324199904104845</v>
      </c>
      <c r="B287" s="1" t="str">
        <f>"共青团员"</f>
        <v>共青团员</v>
      </c>
      <c r="C287" s="1" t="str">
        <f t="shared" si="135"/>
        <v>本科</v>
      </c>
      <c r="D287" s="1" t="str">
        <f>"20230701"</f>
        <v>20230701</v>
      </c>
      <c r="E287" s="1" t="str">
        <f>"郑州经贸学院"</f>
        <v>郑州经贸学院</v>
      </c>
      <c r="F287" s="1" t="str">
        <f>"土木工程"</f>
        <v>土木工程</v>
      </c>
      <c r="G287" s="1" t="str">
        <f>"河南省南阳市镇平县建业春天里"</f>
        <v>河南省南阳市镇平县建业春天里</v>
      </c>
      <c r="H287" s="1" t="str">
        <f t="shared" ref="H287:H291" si="136">"无"</f>
        <v>无</v>
      </c>
      <c r="I287" s="1" t="str">
        <f>"2018年9月-2021年6月河南水利与环境职业学院就读
2021年9月-2023年6月郑州经贸学院就读
2023年7月至今在家待业"</f>
        <v>2018年9月-2021年6月河南水利与环境职业学院就读
2021年9月-2023年6月郑州经贸学院就读
2023年7月至今在家待业</v>
      </c>
    </row>
    <row r="288" spans="1:9">
      <c r="A288" s="1" t="str">
        <f>"411330200210031541"</f>
        <v>411330200210031541</v>
      </c>
      <c r="B288" s="1" t="str">
        <f t="shared" ref="B288:B293" si="137">"群众"</f>
        <v>群众</v>
      </c>
      <c r="C288" s="1" t="str">
        <f t="shared" si="135"/>
        <v>本科</v>
      </c>
      <c r="D288" s="1" t="str">
        <f>"2025-06-30"</f>
        <v>2025-06-30</v>
      </c>
      <c r="E288" s="1" t="str">
        <f>"郑州工商学院"</f>
        <v>郑州工商学院</v>
      </c>
      <c r="F288" s="1" t="str">
        <f>"会计学"</f>
        <v>会计学</v>
      </c>
      <c r="G288" s="1" t="str">
        <f>"河南省南阳市西峡县五里桥镇"</f>
        <v>河南省南阳市西峡县五里桥镇</v>
      </c>
      <c r="H288" s="1" t="str">
        <f>"初级会计证书"</f>
        <v>初级会计证书</v>
      </c>
      <c r="I288" s="1" t="str">
        <f>"202009-202306河南工学院管理学院会计学就读 全日制
202309-202506郑州工商学院财税学院会计学就读 全日制"</f>
        <v>202009-202306河南工学院管理学院会计学就读 全日制
202309-202506郑州工商学院财税学院会计学就读 全日制</v>
      </c>
    </row>
    <row r="289" spans="1:9">
      <c r="A289" s="1" t="str">
        <f>"411327200102062545"</f>
        <v>411327200102062545</v>
      </c>
      <c r="B289" s="1" t="str">
        <f t="shared" si="137"/>
        <v>群众</v>
      </c>
      <c r="C289" s="1" t="str">
        <f t="shared" si="135"/>
        <v>本科</v>
      </c>
      <c r="D289" s="1" t="str">
        <f>"2024-06-05"</f>
        <v>2024-06-05</v>
      </c>
      <c r="E289" s="1" t="str">
        <f>"南阳师范学院"</f>
        <v>南阳师范学院</v>
      </c>
      <c r="F289" s="1" t="str">
        <f>"广播电视编导"</f>
        <v>广播电视编导</v>
      </c>
      <c r="G289" s="1" t="str">
        <f>"河南省南阳市卧龙区"</f>
        <v>河南省南阳市卧龙区</v>
      </c>
      <c r="H289" s="1" t="str">
        <f t="shared" si="136"/>
        <v>无</v>
      </c>
      <c r="I289" s="1" t="str">
        <f>"202009-202406南阳师范学院就读。202406-202506待业"</f>
        <v>202009-202406南阳师范学院就读。202406-202506待业</v>
      </c>
    </row>
    <row r="290" spans="1:9">
      <c r="A290" s="1" t="str">
        <f>"411381199210242618"</f>
        <v>411381199210242618</v>
      </c>
      <c r="B290" s="1" t="str">
        <f>"中共党员"</f>
        <v>中共党员</v>
      </c>
      <c r="C290" s="1" t="str">
        <f t="shared" si="135"/>
        <v>本科</v>
      </c>
      <c r="D290" s="1" t="str">
        <f>"20200720"</f>
        <v>20200720</v>
      </c>
      <c r="E290" s="1" t="str">
        <f>"国家开放大学"</f>
        <v>国家开放大学</v>
      </c>
      <c r="F290" s="1" t="str">
        <f>"行政管理"</f>
        <v>行政管理</v>
      </c>
      <c r="G290" s="1" t="str">
        <f>"河南省内乡县城万隆新天地小区"</f>
        <v>河南省内乡县城万隆新天地小区</v>
      </c>
      <c r="H290" s="1" t="str">
        <f t="shared" si="136"/>
        <v>无</v>
      </c>
      <c r="I290" s="1" t="str">
        <f>"2012年9月至2015年7月，在扬州职业大学（大专）上学，全日制；
2015年8月至2018.01在内乡县庆丰化工有限公司工作；
2017年7月至2020年5月，在南阳电大内乡分校（本科）上学；
2018.02至今在内乡县供销合作社联合社土产品公司工作。"</f>
        <v>2012年9月至2015年7月，在扬州职业大学（大专）上学，全日制；
2015年8月至2018.01在内乡县庆丰化工有限公司工作；
2017年7月至2020年5月，在南阳电大内乡分校（本科）上学；
2018.02至今在内乡县供销合作社联合社土产品公司工作。</v>
      </c>
    </row>
    <row r="291" spans="1:9">
      <c r="A291" s="1" t="str">
        <f>"411330200010281511"</f>
        <v>411330200010281511</v>
      </c>
      <c r="B291" s="1" t="str">
        <f t="shared" ref="B291:B295" si="138">"共青团员"</f>
        <v>共青团员</v>
      </c>
      <c r="C291" s="1" t="str">
        <f t="shared" si="135"/>
        <v>本科</v>
      </c>
      <c r="D291" s="1" t="str">
        <f>"20240605"</f>
        <v>20240605</v>
      </c>
      <c r="E291" s="1" t="str">
        <f>"商丘学院"</f>
        <v>商丘学院</v>
      </c>
      <c r="F291" s="1" t="str">
        <f>"电气工程及其自动化"</f>
        <v>电气工程及其自动化</v>
      </c>
      <c r="G291" s="1" t="str">
        <f>"河南省南阳市西峡县茶园小区"</f>
        <v>河南省南阳市西峡县茶园小区</v>
      </c>
      <c r="H291" s="1" t="str">
        <f t="shared" si="136"/>
        <v>无</v>
      </c>
      <c r="I291" s="1" t="str">
        <f>"201909-202206 在黄河水利职业技术学院 电气工程学院电气自动化技术就读，全日制专科
202209-202406 在商丘学院机械与电气信息学院 电气工程及其自动化就读，全日制本科
202406-202412 家里待业
202501至今在西峡县工商联工作，公益岗岗位。"</f>
        <v>201909-202206 在黄河水利职业技术学院 电气工程学院电气自动化技术就读，全日制专科
202209-202406 在商丘学院机械与电气信息学院 电气工程及其自动化就读，全日制本科
202406-202412 家里待业
202501至今在西峡县工商联工作，公益岗岗位。</v>
      </c>
    </row>
    <row r="292" spans="1:9">
      <c r="A292" s="1" t="str">
        <f>"411323200407180061"</f>
        <v>411323200407180061</v>
      </c>
      <c r="B292" s="1" t="str">
        <f t="shared" si="137"/>
        <v>群众</v>
      </c>
      <c r="C292" s="1" t="str">
        <f>"专科"</f>
        <v>专科</v>
      </c>
      <c r="D292" s="1" t="str">
        <f>"2025年7月1日"</f>
        <v>2025年7月1日</v>
      </c>
      <c r="E292" s="1" t="str">
        <f>"郑州师范学院"</f>
        <v>郑州师范学院</v>
      </c>
      <c r="F292" s="1" t="str">
        <f>"现代家政服务与管理"</f>
        <v>现代家政服务与管理</v>
      </c>
      <c r="G292" s="1" t="str">
        <f>"河南省西峡县丹水镇三里庙村上张组275号"</f>
        <v>河南省西峡县丹水镇三里庙村上张组275号</v>
      </c>
      <c r="H292" s="1" t="str">
        <f>"养老护理员 三级/高级工"</f>
        <v>养老护理员 三级/高级工</v>
      </c>
      <c r="I292" s="1" t="str">
        <f>"202209-202507郑州师范学院社会服务与发展学院现代家政服务与管理专业就读，全日制学历"</f>
        <v>202209-202507郑州师范学院社会服务与发展学院现代家政服务与管理专业就读，全日制学历</v>
      </c>
    </row>
    <row r="293" spans="1:9">
      <c r="A293" s="1" t="str">
        <f>"411381199908244981"</f>
        <v>411381199908244981</v>
      </c>
      <c r="B293" s="1" t="str">
        <f t="shared" si="137"/>
        <v>群众</v>
      </c>
      <c r="C293" s="1" t="str">
        <f>"专科"</f>
        <v>专科</v>
      </c>
      <c r="D293" s="1" t="str">
        <f>"20210701"</f>
        <v>20210701</v>
      </c>
      <c r="E293" s="1" t="str">
        <f>"郑州科技学院"</f>
        <v>郑州科技学院</v>
      </c>
      <c r="F293" s="1" t="str">
        <f>"会计电算化"</f>
        <v>会计电算化</v>
      </c>
      <c r="G293" s="1" t="str">
        <f>"邓州市雷锋路与交通路交叉口南10米"</f>
        <v>邓州市雷锋路与交通路交叉口南10米</v>
      </c>
      <c r="H293" s="1" t="str">
        <f t="shared" ref="H293:H299" si="139">"无"</f>
        <v>无</v>
      </c>
      <c r="I293" s="1" t="str">
        <f>"201809-202106 郑州科技学院财经学院 会计电算化专业就读
202107-202210 惠州市红星制衣厂
202210-202302 家中待业
202303-202304 祥鑫科技有限公司
202305-202402 家中待业
202403-202405 郑州美威体育
202405-202406 郑州待业
202407-202410 郑州福广玩具
202411-至今 家中待业"</f>
        <v>201809-202106 郑州科技学院财经学院 会计电算化专业就读
202107-202210 惠州市红星制衣厂
202210-202302 家中待业
202303-202304 祥鑫科技有限公司
202305-202402 家中待业
202403-202405 郑州美威体育
202405-202406 郑州待业
202407-202410 郑州福广玩具
202411-至今 家中待业</v>
      </c>
    </row>
    <row r="294" spans="1:9">
      <c r="A294" s="1" t="str">
        <f>"411327200111200671"</f>
        <v>411327200111200671</v>
      </c>
      <c r="B294" s="1" t="str">
        <f t="shared" si="138"/>
        <v>共青团员</v>
      </c>
      <c r="C294" s="1" t="str">
        <f t="shared" ref="C294:C308" si="140">"本科"</f>
        <v>本科</v>
      </c>
      <c r="D294" s="1" t="str">
        <f>"2024-07-01"</f>
        <v>2024-07-01</v>
      </c>
      <c r="E294" s="1" t="str">
        <f>"南阳理工学院计算机与软件学院"</f>
        <v>南阳理工学院计算机与软件学院</v>
      </c>
      <c r="F294" s="1" t="str">
        <f>"软件工程"</f>
        <v>软件工程</v>
      </c>
      <c r="G294" s="1" t="str">
        <f>"河南省南阳市内乡县马山口镇闫岗村"</f>
        <v>河南省南阳市内乡县马山口镇闫岗村</v>
      </c>
      <c r="H294" s="1" t="str">
        <f t="shared" si="139"/>
        <v>无</v>
      </c>
      <c r="I294" s="1" t="str">
        <f>"202009-202406 南阳理工学院计算机与软件学院软件工程专业就读，全日制本科学历；
202006至今 在内乡县公安局看护大队就业。"</f>
        <v>202009-202406 南阳理工学院计算机与软件学院软件工程专业就读，全日制本科学历；
202006至今 在内乡县公安局看护大队就业。</v>
      </c>
    </row>
    <row r="295" spans="1:9">
      <c r="A295" s="1" t="str">
        <f>"411327200301233722"</f>
        <v>411327200301233722</v>
      </c>
      <c r="B295" s="1" t="str">
        <f t="shared" si="138"/>
        <v>共青团员</v>
      </c>
      <c r="C295" s="1" t="str">
        <f t="shared" si="140"/>
        <v>本科</v>
      </c>
      <c r="D295" s="1" t="str">
        <f>"20240622"</f>
        <v>20240622</v>
      </c>
      <c r="E295" s="1" t="str">
        <f>"闽江学院"</f>
        <v>闽江学院</v>
      </c>
      <c r="F295" s="1" t="str">
        <f>"社会工作"</f>
        <v>社会工作</v>
      </c>
      <c r="G295" s="1" t="str">
        <f>"河南省南阳市内乡县桃溪镇东川村孙家营"</f>
        <v>河南省南阳市内乡县桃溪镇东川村孙家营</v>
      </c>
      <c r="H295" s="1" t="str">
        <f t="shared" si="139"/>
        <v>无</v>
      </c>
      <c r="I295" s="1" t="str">
        <f>"202010-202406 闽江学院法学院社会工作专业 就读，全日制
202406-至今 河南省南阳市内乡县 待业"</f>
        <v>202010-202406 闽江学院法学院社会工作专业 就读，全日制
202406-至今 河南省南阳市内乡县 待业</v>
      </c>
    </row>
    <row r="296" spans="1:9">
      <c r="A296" s="1" t="str">
        <f>"140602199710279067"</f>
        <v>140602199710279067</v>
      </c>
      <c r="B296" s="1" t="str">
        <f>"中共党员"</f>
        <v>中共党员</v>
      </c>
      <c r="C296" s="1" t="str">
        <f>"硕士研究生"</f>
        <v>硕士研究生</v>
      </c>
      <c r="D296" s="1" t="str">
        <f>"20240611"</f>
        <v>20240611</v>
      </c>
      <c r="E296" s="1" t="str">
        <f>"仲恺农业工程学院"</f>
        <v>仲恺农业工程学院</v>
      </c>
      <c r="F296" s="1" t="str">
        <f>"资源利用与植物保护"</f>
        <v>资源利用与植物保护</v>
      </c>
      <c r="G296" s="1" t="str">
        <f>"山西省朔州市怀仁市廉租房"</f>
        <v>山西省朔州市怀仁市廉租房</v>
      </c>
      <c r="H296" s="1" t="str">
        <f t="shared" si="139"/>
        <v>无</v>
      </c>
      <c r="I296" s="1" t="str">
        <f>"201709-202107三明学院建筑工程学院风景园林专业就读
202107-202406仲恺农业工程学院资源与环境学院资源利用与植物保护专业就读
202406至今山西省朔州市朔城区居住，待业"</f>
        <v>201709-202107三明学院建筑工程学院风景园林专业就读
202107-202406仲恺农业工程学院资源与环境学院资源利用与植物保护专业就读
202406至今山西省朔州市朔城区居住，待业</v>
      </c>
    </row>
    <row r="297" ht="108" spans="1:9">
      <c r="A297" s="1" t="str">
        <f>"410928199705273942"</f>
        <v>410928199705273942</v>
      </c>
      <c r="B297" s="1" t="str">
        <f t="shared" ref="B297:B300" si="141">"群众"</f>
        <v>群众</v>
      </c>
      <c r="C297" s="1" t="str">
        <f t="shared" si="140"/>
        <v>本科</v>
      </c>
      <c r="D297" s="1" t="str">
        <f>"20220712"</f>
        <v>20220712</v>
      </c>
      <c r="E297" s="1" t="str">
        <f>"东北大学"</f>
        <v>东北大学</v>
      </c>
      <c r="F297" s="1" t="str">
        <f>"城乡规划"</f>
        <v>城乡规划</v>
      </c>
      <c r="G297" s="1" t="str">
        <f>"北京市平谷区"</f>
        <v>北京市平谷区</v>
      </c>
      <c r="H297" s="1" t="str">
        <f t="shared" si="139"/>
        <v>无</v>
      </c>
      <c r="I297" s="3" t="s">
        <v>206</v>
      </c>
    </row>
    <row r="298" spans="1:9">
      <c r="A298" s="1" t="str">
        <f>"411327199910230046"</f>
        <v>411327199910230046</v>
      </c>
      <c r="B298" s="1" t="str">
        <f t="shared" ref="B298:B305" si="142">"共青团员"</f>
        <v>共青团员</v>
      </c>
      <c r="C298" s="1" t="str">
        <f t="shared" si="140"/>
        <v>本科</v>
      </c>
      <c r="D298" s="1" t="str">
        <f>"20220607"</f>
        <v>20220607</v>
      </c>
      <c r="E298" s="1" t="str">
        <f>"齐齐哈尔大学"</f>
        <v>齐齐哈尔大学</v>
      </c>
      <c r="F298" s="1" t="str">
        <f>"视觉传达设计"</f>
        <v>视觉传达设计</v>
      </c>
      <c r="G298" s="1" t="str">
        <f>"河南省南阳市内乡县城关镇"</f>
        <v>河南省南阳市内乡县城关镇</v>
      </c>
      <c r="H298" s="1" t="str">
        <f t="shared" si="139"/>
        <v>无</v>
      </c>
      <c r="I298" s="1" t="str">
        <f>"20180901-20220607齐齐哈尔大学美术与艺术设计学院视觉传达设计就读"</f>
        <v>20180901-20220607齐齐哈尔大学美术与艺术设计学院视觉传达设计就读</v>
      </c>
    </row>
    <row r="299" spans="1:9">
      <c r="A299" s="1" t="str">
        <f>"411327199906204224"</f>
        <v>411327199906204224</v>
      </c>
      <c r="B299" s="1" t="str">
        <f t="shared" si="141"/>
        <v>群众</v>
      </c>
      <c r="C299" s="1" t="str">
        <f t="shared" si="140"/>
        <v>本科</v>
      </c>
      <c r="D299" s="1" t="str">
        <f>"20210701"</f>
        <v>20210701</v>
      </c>
      <c r="E299" s="1" t="str">
        <f>"郑州升达经贸管理学院"</f>
        <v>郑州升达经贸管理学院</v>
      </c>
      <c r="F299" s="1" t="str">
        <f>"工商管理"</f>
        <v>工商管理</v>
      </c>
      <c r="G299" s="1" t="str">
        <f>"河南省南阳市内乡县余关镇余关街兴达社区"</f>
        <v>河南省南阳市内乡县余关镇余关街兴达社区</v>
      </c>
      <c r="H299" s="1" t="str">
        <f t="shared" si="139"/>
        <v>无</v>
      </c>
      <c r="I299" s="1" t="str">
        <f>"201609-201907 河南师范大学新联学院 会计专业就读 全日制学历；
201909-201907 郑州升达经贸管理学院 工商管理专业就读 全日制学历，学士学位；
201908-202210 在家待业；
202211-至今 内乡县人民检察院就任书记员。
"</f>
        <v>201609-201907 河南师范大学新联学院 会计专业就读 全日制学历；
201909-201907 郑州升达经贸管理学院 工商管理专业就读 全日制学历，学士学位；
201908-202210 在家待业；
202211-至今 内乡县人民检察院就任书记员。
</v>
      </c>
    </row>
    <row r="300" spans="1:9">
      <c r="A300" s="1" t="str">
        <f>"411330199909155147"</f>
        <v>411330199909155147</v>
      </c>
      <c r="B300" s="1" t="str">
        <f t="shared" si="141"/>
        <v>群众</v>
      </c>
      <c r="C300" s="1" t="str">
        <f t="shared" si="140"/>
        <v>本科</v>
      </c>
      <c r="D300" s="1" t="str">
        <f>"2022年07月01日"</f>
        <v>2022年07月01日</v>
      </c>
      <c r="E300" s="1" t="str">
        <f>"许昌学院"</f>
        <v>许昌学院</v>
      </c>
      <c r="F300" s="1" t="str">
        <f>"会计学"</f>
        <v>会计学</v>
      </c>
      <c r="G300" s="1" t="str">
        <f>"河南省西峡县疾控中心后"</f>
        <v>河南省西峡县疾控中心后</v>
      </c>
      <c r="H300" s="1" t="str">
        <f>"会计专业技术资格证书初级"</f>
        <v>会计专业技术资格证书初级</v>
      </c>
      <c r="I300" s="1" t="str">
        <f>"201809-2022-06  许昌学院商学院会计学专业就读，是全日制学历
202207-至今待业"</f>
        <v>201809-2022-06  许昌学院商学院会计学专业就读，是全日制学历
202207-至今待业</v>
      </c>
    </row>
    <row r="301" spans="1:9">
      <c r="A301" s="1" t="str">
        <f>"411381200108010816"</f>
        <v>411381200108010816</v>
      </c>
      <c r="B301" s="1" t="str">
        <f t="shared" si="142"/>
        <v>共青团员</v>
      </c>
      <c r="C301" s="1" t="str">
        <f t="shared" si="140"/>
        <v>本科</v>
      </c>
      <c r="D301" s="1" t="str">
        <f>"2024-06-18"</f>
        <v>2024-06-18</v>
      </c>
      <c r="E301" s="1" t="str">
        <f>"河南农业大学"</f>
        <v>河南农业大学</v>
      </c>
      <c r="F301" s="1" t="str">
        <f>"设施农业科学与工程"</f>
        <v>设施农业科学与工程</v>
      </c>
      <c r="G301" s="1" t="str">
        <f>"河南省南阳市邓州市湍滨小区25号2单元302"</f>
        <v>河南省南阳市邓州市湍滨小区25号2单元302</v>
      </c>
      <c r="H301" s="1" t="str">
        <f t="shared" ref="H301:H312" si="143">"无"</f>
        <v>无</v>
      </c>
      <c r="I301" s="1" t="str">
        <f>"202009-202406 河南农业大学园艺学院设施农业科学与工程专业就读全日制学历"</f>
        <v>202009-202406 河南农业大学园艺学院设施农业科学与工程专业就读全日制学历</v>
      </c>
    </row>
    <row r="302" spans="1:9">
      <c r="A302" s="1" t="str">
        <f>"411725199908097249"</f>
        <v>411725199908097249</v>
      </c>
      <c r="B302" s="1" t="str">
        <f>"中共党员"</f>
        <v>中共党员</v>
      </c>
      <c r="C302" s="1" t="str">
        <f t="shared" si="140"/>
        <v>本科</v>
      </c>
      <c r="D302" s="1" t="str">
        <f>"20220607"</f>
        <v>20220607</v>
      </c>
      <c r="E302" s="1" t="str">
        <f>"哈尔滨师范大学"</f>
        <v>哈尔滨师范大学</v>
      </c>
      <c r="F302" s="1" t="str">
        <f>"动画"</f>
        <v>动画</v>
      </c>
      <c r="G302" s="1" t="str">
        <f>"河南省驻马店市确山县双河镇杨楼乡"</f>
        <v>河南省驻马店市确山县双河镇杨楼乡</v>
      </c>
      <c r="H302" s="1" t="str">
        <f t="shared" si="143"/>
        <v>无</v>
      </c>
      <c r="I302" s="1" t="str">
        <f>"201809-202206 哈尔滨师范大学动画专业就读"</f>
        <v>201809-202206 哈尔滨师范大学动画专业就读</v>
      </c>
    </row>
    <row r="303" spans="1:9">
      <c r="A303" s="1" t="str">
        <f>"411327200303223720"</f>
        <v>411327200303223720</v>
      </c>
      <c r="B303" s="1" t="str">
        <f t="shared" si="142"/>
        <v>共青团员</v>
      </c>
      <c r="C303" s="1" t="str">
        <f t="shared" si="140"/>
        <v>本科</v>
      </c>
      <c r="D303" s="1" t="str">
        <f>"20240701"</f>
        <v>20240701</v>
      </c>
      <c r="E303" s="1" t="str">
        <f>"郑州师范学院"</f>
        <v>郑州师范学院</v>
      </c>
      <c r="F303" s="1" t="str">
        <f>"学前教育"</f>
        <v>学前教育</v>
      </c>
      <c r="G303" s="1" t="str">
        <f>"河南省内乡县桃溪镇桃溪村"</f>
        <v>河南省内乡县桃溪镇桃溪村</v>
      </c>
      <c r="H303" s="1" t="str">
        <f t="shared" si="143"/>
        <v>无</v>
      </c>
      <c r="I303" s="1" t="str">
        <f>"202009-20240701在郑州师范学院教育科学学院学前教育学就读，是全日制学历"</f>
        <v>202009-20240701在郑州师范学院教育科学学院学前教育学就读，是全日制学历</v>
      </c>
    </row>
    <row r="304" spans="1:9">
      <c r="A304" s="1" t="str">
        <f>"411327200102230625"</f>
        <v>411327200102230625</v>
      </c>
      <c r="B304" s="1" t="str">
        <f t="shared" si="142"/>
        <v>共青团员</v>
      </c>
      <c r="C304" s="1" t="str">
        <f t="shared" si="140"/>
        <v>本科</v>
      </c>
      <c r="D304" s="1" t="str">
        <f>"20240620"</f>
        <v>20240620</v>
      </c>
      <c r="E304" s="1" t="str">
        <f>"郑州科技学院"</f>
        <v>郑州科技学院</v>
      </c>
      <c r="F304" s="1" t="str">
        <f>"财务管理"</f>
        <v>财务管理</v>
      </c>
      <c r="G304" s="1" t="str">
        <f>"河南省南阳市内乡县"</f>
        <v>河南省南阳市内乡县</v>
      </c>
      <c r="H304" s="1" t="str">
        <f t="shared" si="143"/>
        <v>无</v>
      </c>
      <c r="I304" s="1" t="str">
        <f>"202009～202406 郑州科技学院，财经学院-财务管理专业 就读
全日制学历"</f>
        <v>202009～202406 郑州科技学院，财经学院-财务管理专业 就读
全日制学历</v>
      </c>
    </row>
    <row r="305" spans="1:9">
      <c r="A305" s="1" t="str">
        <f>"411330199907140013"</f>
        <v>411330199907140013</v>
      </c>
      <c r="B305" s="1" t="str">
        <f t="shared" si="142"/>
        <v>共青团员</v>
      </c>
      <c r="C305" s="1" t="str">
        <f t="shared" si="140"/>
        <v>本科</v>
      </c>
      <c r="D305" s="1" t="str">
        <f>"20210701"</f>
        <v>20210701</v>
      </c>
      <c r="E305" s="1" t="str">
        <f>"河南科技学院"</f>
        <v>河南科技学院</v>
      </c>
      <c r="F305" s="1" t="str">
        <f>"城乡规划"</f>
        <v>城乡规划</v>
      </c>
      <c r="G305" s="1" t="str">
        <f>"河南省西峡县西保路"</f>
        <v>河南省西峡县西保路</v>
      </c>
      <c r="H305" s="1" t="str">
        <f t="shared" si="143"/>
        <v>无</v>
      </c>
      <c r="I305" s="1" t="str">
        <f>"2014.09-2017.07就读于西峡县第一高级中学
2017.09-2021.07就读于河南科技学院城乡规划专业
2021.07-至今于西峡待业"</f>
        <v>2014.09-2017.07就读于西峡县第一高级中学
2017.09-2021.07就读于河南科技学院城乡规划专业
2021.07-至今于西峡待业</v>
      </c>
    </row>
    <row r="306" spans="1:9">
      <c r="A306" s="1" t="str">
        <f>"411327199301203915"</f>
        <v>411327199301203915</v>
      </c>
      <c r="B306" s="1" t="str">
        <f>"群众"</f>
        <v>群众</v>
      </c>
      <c r="C306" s="1" t="str">
        <f t="shared" si="140"/>
        <v>本科</v>
      </c>
      <c r="D306" s="1" t="str">
        <f>"20150701"</f>
        <v>20150701</v>
      </c>
      <c r="E306" s="1" t="str">
        <f>"华北水利水电大学"</f>
        <v>华北水利水电大学</v>
      </c>
      <c r="F306" s="1" t="str">
        <f>"电子科学与技术"</f>
        <v>电子科学与技术</v>
      </c>
      <c r="G306" s="1" t="str">
        <f>"河南省内乡县六颗松小区二期"</f>
        <v>河南省内乡县六颗松小区二期</v>
      </c>
      <c r="H306" s="1" t="str">
        <f t="shared" si="143"/>
        <v>无</v>
      </c>
      <c r="I306" s="1" t="str">
        <f>"20110901-20150701 在华北水利水电大学电子科学与技术专业就读，是全日制学历；2015年到2019年在上海灵信视觉技术股份有限公司工作；2019年到2022在南京贝壳找房科技有限公司工作；2022年到2025年在河南鸿仟里信息科技有限公司工作"</f>
        <v>20110901-20150701 在华北水利水电大学电子科学与技术专业就读，是全日制学历；2015年到2019年在上海灵信视觉技术股份有限公司工作；2019年到2022在南京贝壳找房科技有限公司工作；2022年到2025年在河南鸿仟里信息科技有限公司工作</v>
      </c>
    </row>
    <row r="307" spans="1:9">
      <c r="A307" s="1" t="str">
        <f>"411327200005064944"</f>
        <v>411327200005064944</v>
      </c>
      <c r="B307" s="1" t="str">
        <f>"中共党员"</f>
        <v>中共党员</v>
      </c>
      <c r="C307" s="1" t="str">
        <f t="shared" si="140"/>
        <v>本科</v>
      </c>
      <c r="D307" s="1" t="str">
        <f>"20230701"</f>
        <v>20230701</v>
      </c>
      <c r="E307" s="1" t="str">
        <f>"郑州经贸学院"</f>
        <v>郑州经贸学院</v>
      </c>
      <c r="F307" s="1" t="str">
        <f>"市场营销"</f>
        <v>市场营销</v>
      </c>
      <c r="G307" s="1" t="str">
        <f>"河南省南阳市内乡县碧桂园"</f>
        <v>河南省南阳市内乡县碧桂园</v>
      </c>
      <c r="H307" s="1" t="str">
        <f t="shared" si="143"/>
        <v>无</v>
      </c>
      <c r="I307" s="1" t="str">
        <f>"201809-202106  河南工程学院 工商管理学院  工商企业管理专业就读全日制大专
202109-202306  郑州经贸学院  商学院    市场营销专业就读全日制本科"</f>
        <v>201809-202106  河南工程学院 工商管理学院  工商企业管理专业就读全日制大专
202109-202306  郑州经贸学院  商学院    市场营销专业就读全日制本科</v>
      </c>
    </row>
    <row r="308" spans="1:9">
      <c r="A308" s="1" t="str">
        <f>"410326200110261061"</f>
        <v>410326200110261061</v>
      </c>
      <c r="B308" s="1" t="str">
        <f t="shared" ref="B308:B312" si="144">"共青团员"</f>
        <v>共青团员</v>
      </c>
      <c r="C308" s="1" t="str">
        <f t="shared" si="140"/>
        <v>本科</v>
      </c>
      <c r="D308" s="1" t="str">
        <f>"20250701"</f>
        <v>20250701</v>
      </c>
      <c r="E308" s="1" t="str">
        <f>"河南牧业经济学院"</f>
        <v>河南牧业经济学院</v>
      </c>
      <c r="F308" s="1" t="str">
        <f>"会展经济与管理"</f>
        <v>会展经济与管理</v>
      </c>
      <c r="G308" s="1" t="str">
        <f>"河南省洛阳市汝阳县上店镇辛庄村"</f>
        <v>河南省洛阳市汝阳县上店镇辛庄村</v>
      </c>
      <c r="H308" s="1" t="str">
        <f t="shared" si="143"/>
        <v>无</v>
      </c>
      <c r="I308" s="1" t="str">
        <f>"202009—202307开封大学，文化创意与策划专业就读，全日制
202309—202507河南牧业经济学院，会展经济与管理专业就读，全日制"</f>
        <v>202009—202307开封大学，文化创意与策划专业就读，全日制
202309—202507河南牧业经济学院，会展经济与管理专业就读，全日制</v>
      </c>
    </row>
    <row r="309" spans="1:9">
      <c r="A309" s="1" t="str">
        <f>"140122199512160127"</f>
        <v>140122199512160127</v>
      </c>
      <c r="B309" s="1" t="str">
        <f t="shared" ref="B309:B314" si="145">"群众"</f>
        <v>群众</v>
      </c>
      <c r="C309" s="1" t="str">
        <f>"硕士研究生"</f>
        <v>硕士研究生</v>
      </c>
      <c r="D309" s="1" t="str">
        <f>"20240630"</f>
        <v>20240630</v>
      </c>
      <c r="E309" s="1" t="str">
        <f>"江西师范大学"</f>
        <v>江西师范大学</v>
      </c>
      <c r="F309" s="1" t="str">
        <f>"哲学"</f>
        <v>哲学</v>
      </c>
      <c r="G309" s="1" t="str">
        <f>"山西省太原市阳曲县万科金域蓝湾"</f>
        <v>山西省太原市阳曲县万科金域蓝湾</v>
      </c>
      <c r="H309" s="1" t="str">
        <f t="shared" si="143"/>
        <v>无</v>
      </c>
      <c r="I309" s="1" t="str">
        <f>"201409-201807中北大学信息商务学院电子信息工程系电子工程专业就读，全日制学历。
201808-201905在家待业。
201905-202006在山西四建集团有限公司任职。
202007-202108在家待业。
202109-202406江西师范大学马克思主义学院哲学专业就读。全日制学历。
202407至今在家待业。"</f>
        <v>201409-201807中北大学信息商务学院电子信息工程系电子工程专业就读，全日制学历。
201808-201905在家待业。
201905-202006在山西四建集团有限公司任职。
202007-202108在家待业。
202109-202406江西师范大学马克思主义学院哲学专业就读。全日制学历。
202407至今在家待业。</v>
      </c>
    </row>
    <row r="310" spans="1:9">
      <c r="A310" s="1" t="str">
        <f>"411381200203214227"</f>
        <v>411381200203214227</v>
      </c>
      <c r="B310" s="1" t="str">
        <f t="shared" si="144"/>
        <v>共青团员</v>
      </c>
      <c r="C310" s="1" t="str">
        <f t="shared" ref="C310:C315" si="146">"本科"</f>
        <v>本科</v>
      </c>
      <c r="D310" s="1" t="str">
        <f>"20240628"</f>
        <v>20240628</v>
      </c>
      <c r="E310" s="1" t="str">
        <f>"商洛学院"</f>
        <v>商洛学院</v>
      </c>
      <c r="F310" s="1" t="str">
        <f>"应用心理学"</f>
        <v>应用心理学</v>
      </c>
      <c r="G310" s="1" t="str">
        <f>"河南省邓州市星河湾"</f>
        <v>河南省邓州市星河湾</v>
      </c>
      <c r="H310" s="1" t="str">
        <f t="shared" si="143"/>
        <v>无</v>
      </c>
      <c r="I310" s="1" t="str">
        <f>"202009-202406 商洛学院就读
202406-至今待业在家"</f>
        <v>202009-202406 商洛学院就读
202406-至今待业在家</v>
      </c>
    </row>
    <row r="311" spans="1:9">
      <c r="A311" s="1" t="str">
        <f>"411325200111202973"</f>
        <v>411325200111202973</v>
      </c>
      <c r="B311" s="1" t="str">
        <f t="shared" si="144"/>
        <v>共青团员</v>
      </c>
      <c r="C311" s="1" t="str">
        <f t="shared" si="146"/>
        <v>本科</v>
      </c>
      <c r="D311" s="1" t="str">
        <f>"20240615"</f>
        <v>20240615</v>
      </c>
      <c r="E311" s="1" t="str">
        <f>"黄淮学院"</f>
        <v>黄淮学院</v>
      </c>
      <c r="F311" s="1" t="str">
        <f>"思想政治教育（师范）"</f>
        <v>思想政治教育（师范）</v>
      </c>
      <c r="G311" s="1" t="str">
        <f>"河南省唐河县张店镇韩赵洼村曹庄10组33号"</f>
        <v>河南省唐河县张店镇韩赵洼村曹庄10组33号</v>
      </c>
      <c r="H311" s="1" t="str">
        <f t="shared" si="143"/>
        <v>无</v>
      </c>
      <c r="I311" s="1" t="str">
        <f>"202009-202406黄淮学院马克思主义学院思想政治教育（师范）专业全日制就读
202406-至今在河南省南阳市唐河县待业"</f>
        <v>202009-202406黄淮学院马克思主义学院思想政治教育（师范）专业全日制就读
202406-至今在河南省南阳市唐河县待业</v>
      </c>
    </row>
    <row r="312" spans="1:9">
      <c r="A312" s="1" t="str">
        <f>"411327200311101520"</f>
        <v>411327200311101520</v>
      </c>
      <c r="B312" s="1" t="str">
        <f t="shared" si="144"/>
        <v>共青团员</v>
      </c>
      <c r="C312" s="1" t="str">
        <f t="shared" si="146"/>
        <v>本科</v>
      </c>
      <c r="D312" s="1" t="str">
        <f>"20250630"</f>
        <v>20250630</v>
      </c>
      <c r="E312" s="1" t="str">
        <f>"长江大学"</f>
        <v>长江大学</v>
      </c>
      <c r="F312" s="1" t="str">
        <f>"法学"</f>
        <v>法学</v>
      </c>
      <c r="G312" s="1" t="str">
        <f>"河南省南阳市内乡县"</f>
        <v>河南省南阳市内乡县</v>
      </c>
      <c r="H312" s="1" t="str">
        <f t="shared" si="143"/>
        <v>无</v>
      </c>
      <c r="I312" s="1" t="str">
        <f>"202109-202506长江大学法学院法学系就读，全日制"</f>
        <v>202109-202506长江大学法学院法学系就读，全日制</v>
      </c>
    </row>
    <row r="313" spans="1:9">
      <c r="A313" s="1" t="str">
        <f>"411325199901054260"</f>
        <v>411325199901054260</v>
      </c>
      <c r="B313" s="1" t="str">
        <f t="shared" si="145"/>
        <v>群众</v>
      </c>
      <c r="C313" s="1" t="str">
        <f t="shared" si="146"/>
        <v>本科</v>
      </c>
      <c r="D313" s="1" t="str">
        <f>"20210701"</f>
        <v>20210701</v>
      </c>
      <c r="E313" s="1" t="str">
        <f>"河南理工大学"</f>
        <v>河南理工大学</v>
      </c>
      <c r="F313" s="1" t="str">
        <f>"汉语言文学"</f>
        <v>汉语言文学</v>
      </c>
      <c r="G313" s="1" t="str">
        <f>"河南省内乡县建业森林半岛"</f>
        <v>河南省内乡县建业森林半岛</v>
      </c>
      <c r="H313" s="1" t="str">
        <f>"大学英语六级"</f>
        <v>大学英语六级</v>
      </c>
      <c r="I313" s="1" t="str">
        <f>"201409-2021-7 河南理工大学 文法学院 汉语言文学专业 就读，是全日制学历"</f>
        <v>201409-2021-7 河南理工大学 文法学院 汉语言文学专业 就读，是全日制学历</v>
      </c>
    </row>
    <row r="314" spans="1:9">
      <c r="A314" s="1" t="str">
        <f>"41132719910326002X"</f>
        <v>41132719910326002X</v>
      </c>
      <c r="B314" s="1" t="str">
        <f t="shared" si="145"/>
        <v>群众</v>
      </c>
      <c r="C314" s="1" t="str">
        <f t="shared" si="146"/>
        <v>本科</v>
      </c>
      <c r="D314" s="1" t="str">
        <f>"2013-6-30"</f>
        <v>2013-6-30</v>
      </c>
      <c r="E314" s="1" t="str">
        <f>"华中农业大学楚天学院"</f>
        <v>华中农业大学楚天学院</v>
      </c>
      <c r="F314" s="1" t="str">
        <f>"艺术设计（视觉传达设计方向）"</f>
        <v>艺术设计（视觉传达设计方向）</v>
      </c>
      <c r="G314" s="1" t="str">
        <f>"河南省南阳市内乡县城关镇黉学村"</f>
        <v>河南省南阳市内乡县城关镇黉学村</v>
      </c>
      <c r="H314" s="1" t="str">
        <f t="shared" ref="H314:H320" si="147">"无"</f>
        <v>无</v>
      </c>
      <c r="I314" s="1" t="str">
        <f>"2009.09——2013.06在华中农业大学楚天学院  视觉传达方向
2013.09——2018.08在内乡县广电局工作  记者
2018.09至今在内乡县人民法院工作 书记员"</f>
        <v>2009.09——2013.06在华中农业大学楚天学院  视觉传达方向
2013.09——2018.08在内乡县广电局工作  记者
2018.09至今在内乡县人民法院工作 书记员</v>
      </c>
    </row>
    <row r="315" spans="1:9">
      <c r="A315" s="1" t="str">
        <f>"411327200210101548"</f>
        <v>411327200210101548</v>
      </c>
      <c r="B315" s="1" t="str">
        <f t="shared" ref="B315:B320" si="148">"共青团员"</f>
        <v>共青团员</v>
      </c>
      <c r="C315" s="1" t="str">
        <f t="shared" si="146"/>
        <v>本科</v>
      </c>
      <c r="D315" s="1" t="str">
        <f>"20250617"</f>
        <v>20250617</v>
      </c>
      <c r="E315" s="1" t="str">
        <f>"商丘学院"</f>
        <v>商丘学院</v>
      </c>
      <c r="F315" s="1" t="str">
        <f>"视觉传达设计"</f>
        <v>视觉传达设计</v>
      </c>
      <c r="G315" s="1" t="str">
        <f>"河南省南阳市内乡县罗岗村谢洼组"</f>
        <v>河南省南阳市内乡县罗岗村谢洼组</v>
      </c>
      <c r="H315" s="1" t="str">
        <f t="shared" si="147"/>
        <v>无</v>
      </c>
      <c r="I315" s="1" t="str">
        <f>"202109-202506在商丘学院应用科技学院艺术与传媒学院视觉传达设计专业就读，是全日制本科。现在河南省南阳市内乡县湍东镇罗岗村谢洼组居家待业。"</f>
        <v>202109-202506在商丘学院应用科技学院艺术与传媒学院视觉传达设计专业就读，是全日制本科。现在河南省南阳市内乡县湍东镇罗岗村谢洼组居家待业。</v>
      </c>
    </row>
    <row r="316" spans="1:9">
      <c r="A316" s="1" t="str">
        <f>"411303200108306837"</f>
        <v>411303200108306837</v>
      </c>
      <c r="B316" s="1" t="str">
        <f t="shared" si="148"/>
        <v>共青团员</v>
      </c>
      <c r="C316" s="1" t="str">
        <f t="shared" ref="C316:C321" si="149">"专科"</f>
        <v>专科</v>
      </c>
      <c r="D316" s="1" t="str">
        <f>"20210701"</f>
        <v>20210701</v>
      </c>
      <c r="E316" s="1" t="str">
        <f>"河南工业职业技术学院"</f>
        <v>河南工业职业技术学院</v>
      </c>
      <c r="F316" s="1" t="str">
        <f>"建筑工程技术"</f>
        <v>建筑工程技术</v>
      </c>
      <c r="G316" s="1" t="str">
        <f>"河南省南阳市卧龙区涧河大道与中州西路李北小区"</f>
        <v>河南省南阳市卧龙区涧河大道与中州西路李北小区</v>
      </c>
      <c r="H316" s="1" t="str">
        <f>"1.监理员职业培训合格证书 2.技术员职业培训合格证书"</f>
        <v>1.监理员职业培训合格证书 2.技术员职业培训合格证书</v>
      </c>
      <c r="I316" s="1" t="str">
        <f>"201609-202106河南工业职业技术学院 建工系建筑工程技术专业 就读 是全日制学历"</f>
        <v>201609-202106河南工业职业技术学院 建工系建筑工程技术专业 就读 是全日制学历</v>
      </c>
    </row>
    <row r="317" ht="108" spans="1:9">
      <c r="A317" s="1" t="str">
        <f>"41133020011103515X"</f>
        <v>41133020011103515X</v>
      </c>
      <c r="B317" s="1" t="str">
        <f>"中共党员"</f>
        <v>中共党员</v>
      </c>
      <c r="C317" s="1" t="str">
        <f t="shared" ref="C317:C322" si="150">"本科"</f>
        <v>本科</v>
      </c>
      <c r="D317" s="1" t="str">
        <f>"20250505"</f>
        <v>20250505</v>
      </c>
      <c r="E317" s="1" t="str">
        <f>"常州工学院"</f>
        <v>常州工学院</v>
      </c>
      <c r="F317" s="1" t="str">
        <f>"交通运输"</f>
        <v>交通运输</v>
      </c>
      <c r="G317" s="1" t="str">
        <f>"河南省南阳市西峡县"</f>
        <v>河南省南阳市西峡县</v>
      </c>
      <c r="H317" s="1" t="str">
        <f t="shared" si="147"/>
        <v>无</v>
      </c>
      <c r="I317" s="3" t="s">
        <v>207</v>
      </c>
    </row>
    <row r="318" spans="1:9">
      <c r="A318" s="1" t="str">
        <f>"411324200012270018"</f>
        <v>411324200012270018</v>
      </c>
      <c r="B318" s="1" t="str">
        <f>"群众"</f>
        <v>群众</v>
      </c>
      <c r="C318" s="1" t="str">
        <f t="shared" si="149"/>
        <v>专科</v>
      </c>
      <c r="D318" s="1" t="str">
        <f>"20210618"</f>
        <v>20210618</v>
      </c>
      <c r="E318" s="1" t="str">
        <f>"南阳农业职业学院"</f>
        <v>南阳农业职业学院</v>
      </c>
      <c r="F318" s="1" t="str">
        <f>"计算机应用技术"</f>
        <v>计算机应用技术</v>
      </c>
      <c r="G318" s="1" t="str">
        <f>"河南省南阳市镇平县"</f>
        <v>河南省南阳市镇平县</v>
      </c>
      <c r="H318" s="1" t="str">
        <f t="shared" si="147"/>
        <v>无</v>
      </c>
      <c r="I318" s="1" t="str">
        <f>"201806-202106在南阳农业职业学院计算机系计算机应用技术专业就读，是全日制学历。"</f>
        <v>201806-202106在南阳农业职业学院计算机系计算机应用技术专业就读，是全日制学历。</v>
      </c>
    </row>
    <row r="319" spans="1:9">
      <c r="A319" s="1" t="str">
        <f>"411327200003100040"</f>
        <v>411327200003100040</v>
      </c>
      <c r="B319" s="1" t="str">
        <f t="shared" si="148"/>
        <v>共青团员</v>
      </c>
      <c r="C319" s="1" t="str">
        <f>"硕士研究生"</f>
        <v>硕士研究生</v>
      </c>
      <c r="D319" s="1" t="str">
        <f>"20250618"</f>
        <v>20250618</v>
      </c>
      <c r="E319" s="1" t="str">
        <f>"河南农业大学"</f>
        <v>河南农业大学</v>
      </c>
      <c r="F319" s="1" t="str">
        <f>"农村发展"</f>
        <v>农村发展</v>
      </c>
      <c r="G319" s="1" t="str">
        <f>"河南省内乡县城关镇县衙路"</f>
        <v>河南省内乡县城关镇县衙路</v>
      </c>
      <c r="H319" s="1" t="str">
        <f t="shared" si="147"/>
        <v>无</v>
      </c>
      <c r="I319" s="1" t="str">
        <f>"201809-202207 河南农业大学资源与环境学院土地资源管理专业全日制就读
202209-202506 河南农业大学资源与环境学院农村发展专业全日制就读"</f>
        <v>201809-202207 河南农业大学资源与环境学院土地资源管理专业全日制就读
202209-202506 河南农业大学资源与环境学院农村发展专业全日制就读</v>
      </c>
    </row>
    <row r="320" spans="1:9">
      <c r="A320" s="1" t="str">
        <f>"41270220011230817X"</f>
        <v>41270220011230817X</v>
      </c>
      <c r="B320" s="1" t="str">
        <f t="shared" si="148"/>
        <v>共青团员</v>
      </c>
      <c r="C320" s="1" t="str">
        <f t="shared" si="150"/>
        <v>本科</v>
      </c>
      <c r="D320" s="1" t="str">
        <f>"2024.07"</f>
        <v>2024.07</v>
      </c>
      <c r="E320" s="1" t="str">
        <f>"河南财经政法大学"</f>
        <v>河南财经政法大学</v>
      </c>
      <c r="F320" s="1" t="str">
        <f>"人文地理与城乡规划"</f>
        <v>人文地理与城乡规划</v>
      </c>
      <c r="G320" s="1" t="str">
        <f>"河南省周口市项城市东大街盐业小区"</f>
        <v>河南省周口市项城市东大街盐业小区</v>
      </c>
      <c r="H320" s="1" t="str">
        <f t="shared" si="147"/>
        <v>无</v>
      </c>
      <c r="I320" s="1" t="str">
        <f>"2019.09-2020.07 河南财经政法大学国际教育学院少数民族预科班就读 全日制本科
2020.09-2024.07 河南财经政法大学资源与环境学院人文地理与城乡规划专业就读 全日制本科
2024.07-今，待业"</f>
        <v>2019.09-2020.07 河南财经政法大学国际教育学院少数民族预科班就读 全日制本科
2020.09-2024.07 河南财经政法大学资源与环境学院人文地理与城乡规划专业就读 全日制本科
2024.07-今，待业</v>
      </c>
    </row>
    <row r="321" spans="1:9">
      <c r="A321" s="1" t="str">
        <f>"411326200204230013"</f>
        <v>411326200204230013</v>
      </c>
      <c r="B321" s="1" t="str">
        <f t="shared" ref="B321:B325" si="151">"群众"</f>
        <v>群众</v>
      </c>
      <c r="C321" s="1" t="str">
        <f t="shared" si="149"/>
        <v>专科</v>
      </c>
      <c r="D321" s="1" t="str">
        <f>"20230701"</f>
        <v>20230701</v>
      </c>
      <c r="E321" s="1" t="str">
        <f>"鹤壁职业技术学院"</f>
        <v>鹤壁职业技术学院</v>
      </c>
      <c r="F321" s="1" t="str">
        <f>"计算机网络技术"</f>
        <v>计算机网络技术</v>
      </c>
      <c r="G321" s="1" t="str">
        <f>"河南省南阳市南召县城关镇中华路"</f>
        <v>河南省南阳市南召县城关镇中华路</v>
      </c>
      <c r="H321" s="1" t="str">
        <f>"网络与信息安全管理员"</f>
        <v>网络与信息安全管理员</v>
      </c>
      <c r="I321" s="1" t="str">
        <f>"20201012-20230701 鹤壁职业技术学院于电子信息工程学院计算机网络技术专业就读是全日制"</f>
        <v>20201012-20230701 鹤壁职业技术学院于电子信息工程学院计算机网络技术专业就读是全日制</v>
      </c>
    </row>
    <row r="322" spans="1:9">
      <c r="A322" s="1" t="str">
        <f>"411327200106170068"</f>
        <v>411327200106170068</v>
      </c>
      <c r="B322" s="1" t="str">
        <f>"中共党员"</f>
        <v>中共党员</v>
      </c>
      <c r="C322" s="1" t="str">
        <f t="shared" si="150"/>
        <v>本科</v>
      </c>
      <c r="D322" s="1" t="str">
        <f>"2023-07-01"</f>
        <v>2023-07-01</v>
      </c>
      <c r="E322" s="1" t="str">
        <f>"许昌学院"</f>
        <v>许昌学院</v>
      </c>
      <c r="F322" s="1" t="str">
        <f>"机械设计制造及其自动化"</f>
        <v>机械设计制造及其自动化</v>
      </c>
      <c r="G322" s="1" t="str">
        <f>"河南省南阳市内乡县湍东镇柏树园"</f>
        <v>河南省南阳市内乡县湍东镇柏树园</v>
      </c>
      <c r="H322" s="1" t="str">
        <f t="shared" ref="H322:H329" si="152">"无"</f>
        <v>无</v>
      </c>
      <c r="I322" s="1" t="str">
        <f>"2019.09-2023.07 许昌学院国际教育学院机械师及制造及其自动化专业就读 全日制本科学历
2023.06--2023.10上海北变科技有限公司任职研发工程师
2023.11-2024.02郑州银行内乡支行任职大堂经理
2024.03-2024.04河南省南阳市内乡县待业
2024.05-2024.05猿辅导任职体验班班主任
2024.06-至今河南省南阳市内乡县待业"</f>
        <v>2019.09-2023.07 许昌学院国际教育学院机械师及制造及其自动化专业就读 全日制本科学历
2023.06--2023.10上海北变科技有限公司任职研发工程师
2023.11-2024.02郑州银行内乡支行任职大堂经理
2024.03-2024.04河南省南阳市内乡县待业
2024.05-2024.05猿辅导任职体验班班主任
2024.06-至今河南省南阳市内乡县待业</v>
      </c>
    </row>
    <row r="323" spans="1:9">
      <c r="A323" s="1" t="str">
        <f>"411330199805094562"</f>
        <v>411330199805094562</v>
      </c>
      <c r="B323" s="1" t="str">
        <f>"中共党员"</f>
        <v>中共党员</v>
      </c>
      <c r="C323" s="1" t="str">
        <f>"专科"</f>
        <v>专科</v>
      </c>
      <c r="D323" s="1" t="str">
        <f>"20210701"</f>
        <v>20210701</v>
      </c>
      <c r="E323" s="1" t="str">
        <f>"河南工业职业技术学院"</f>
        <v>河南工业职业技术学院</v>
      </c>
      <c r="F323" s="1" t="str">
        <f>"计算机应用技术"</f>
        <v>计算机应用技术</v>
      </c>
      <c r="G323" s="1" t="str">
        <f>"河南省南阳市西峡县米坪镇"</f>
        <v>河南省南阳市西峡县米坪镇</v>
      </c>
      <c r="H323" s="1" t="str">
        <f t="shared" si="152"/>
        <v>无</v>
      </c>
      <c r="I323" s="1" t="str">
        <f>"201809-202107河南工业职业技术学院  计算机应用技术专业  就读 全日制学历
202107-2024待业（西峡）
202401-202408郑州信安实业有限公司就职（邮政营业员）
2024008-至今河南鸿福实业有限公司就职（邮政营业员）"</f>
        <v>201809-202107河南工业职业技术学院  计算机应用技术专业  就读 全日制学历
202107-2024待业（西峡）
202401-202408郑州信安实业有限公司就职（邮政营业员）
2024008-至今河南鸿福实业有限公司就职（邮政营业员）</v>
      </c>
    </row>
    <row r="324" spans="1:9">
      <c r="A324" s="1" t="str">
        <f>"411330199301100527"</f>
        <v>411330199301100527</v>
      </c>
      <c r="B324" s="1" t="str">
        <f t="shared" si="151"/>
        <v>群众</v>
      </c>
      <c r="C324" s="1" t="str">
        <f t="shared" ref="C324:C331" si="153">"本科"</f>
        <v>本科</v>
      </c>
      <c r="D324" s="1" t="str">
        <f>"20170701"</f>
        <v>20170701</v>
      </c>
      <c r="E324" s="1" t="str">
        <f>"河南农业大学"</f>
        <v>河南农业大学</v>
      </c>
      <c r="F324" s="1" t="str">
        <f>"食品科学与工程（农产品加工）"</f>
        <v>食品科学与工程（农产品加工）</v>
      </c>
      <c r="G324" s="1" t="str">
        <f>"河南省南阳市西峡县田关乡杜营村"</f>
        <v>河南省南阳市西峡县田关乡杜营村</v>
      </c>
      <c r="H324" s="1" t="str">
        <f t="shared" si="152"/>
        <v>无</v>
      </c>
      <c r="I324" s="1" t="str">
        <f>"201309-201707 河南农业大学，专业：食品科学与工程（农产品加工），全日制本科学历"</f>
        <v>201309-201707 河南农业大学，专业：食品科学与工程（农产品加工），全日制本科学历</v>
      </c>
    </row>
    <row r="325" spans="1:9">
      <c r="A325" s="1" t="str">
        <f>"411527200302164088"</f>
        <v>411527200302164088</v>
      </c>
      <c r="B325" s="1" t="str">
        <f t="shared" si="151"/>
        <v>群众</v>
      </c>
      <c r="C325" s="1" t="str">
        <f t="shared" si="153"/>
        <v>本科</v>
      </c>
      <c r="D325" s="1" t="str">
        <f>"20250616"</f>
        <v>20250616</v>
      </c>
      <c r="E325" s="1" t="str">
        <f>"商丘工学院"</f>
        <v>商丘工学院</v>
      </c>
      <c r="F325" s="1" t="str">
        <f>"车辆工程"</f>
        <v>车辆工程</v>
      </c>
      <c r="G325" s="1" t="str">
        <f>"河南省信阳市淮滨县防胡镇街道"</f>
        <v>河南省信阳市淮滨县防胡镇街道</v>
      </c>
      <c r="H325" s="1" t="str">
        <f t="shared" si="152"/>
        <v>无</v>
      </c>
      <c r="I325" s="1" t="str">
        <f>"202109-202506 ，商丘工学院 机械工程学院 车辆工程专业就读，全日制学历。"</f>
        <v>202109-202506 ，商丘工学院 机械工程学院 车辆工程专业就读，全日制学历。</v>
      </c>
    </row>
    <row r="326" spans="1:9">
      <c r="A326" s="1" t="str">
        <f>"411302200012183119"</f>
        <v>411302200012183119</v>
      </c>
      <c r="B326" s="1" t="str">
        <f t="shared" ref="B326:B331" si="154">"共青团员"</f>
        <v>共青团员</v>
      </c>
      <c r="C326" s="1" t="str">
        <f t="shared" si="153"/>
        <v>本科</v>
      </c>
      <c r="D326" s="1" t="str">
        <f>"20240701"</f>
        <v>20240701</v>
      </c>
      <c r="E326" s="1" t="str">
        <f>"黄河科技学院"</f>
        <v>黄河科技学院</v>
      </c>
      <c r="F326" s="1" t="str">
        <f>"工商管理"</f>
        <v>工商管理</v>
      </c>
      <c r="G326" s="1" t="str">
        <f>"河南省南阳市宛城区黄台岗镇张竹园村2组"</f>
        <v>河南省南阳市宛城区黄台岗镇张竹园村2组</v>
      </c>
      <c r="H326" s="1" t="str">
        <f t="shared" si="152"/>
        <v>无</v>
      </c>
      <c r="I326" s="1" t="str">
        <f>"201909-202206河南经贸职业学院会计学院审计专业就读全日制专科；202209-202406黄河科技学院商学院工商管理专业就读全日制本科"</f>
        <v>201909-202206河南经贸职业学院会计学院审计专业就读全日制专科；202209-202406黄河科技学院商学院工商管理专业就读全日制本科</v>
      </c>
    </row>
    <row r="327" spans="1:9">
      <c r="A327" s="1" t="str">
        <f>"420902200105092017"</f>
        <v>420902200105092017</v>
      </c>
      <c r="B327" s="1" t="str">
        <f t="shared" ref="B327:B333" si="155">"群众"</f>
        <v>群众</v>
      </c>
      <c r="C327" s="1" t="str">
        <f t="shared" si="153"/>
        <v>本科</v>
      </c>
      <c r="D327" s="1" t="str">
        <f>"20250630"</f>
        <v>20250630</v>
      </c>
      <c r="E327" s="1" t="str">
        <f>"湖北工程学院"</f>
        <v>湖北工程学院</v>
      </c>
      <c r="F327" s="1" t="str">
        <f>"土木工程"</f>
        <v>土木工程</v>
      </c>
      <c r="G327" s="1" t="str">
        <f>"湖北省孝感市孝南区新铺镇新铺集"</f>
        <v>湖北省孝感市孝南区新铺镇新铺集</v>
      </c>
      <c r="H327" s="1" t="str">
        <f t="shared" si="152"/>
        <v>无</v>
      </c>
      <c r="I327" s="1" t="str">
        <f>"202009-202306 湖北工程学院新技术学院 工程造价专业 全日制
202309-202506 湖北工程学院 土木工程专业 全日制"</f>
        <v>202009-202306 湖北工程学院新技术学院 工程造价专业 全日制
202309-202506 湖北工程学院 土木工程专业 全日制</v>
      </c>
    </row>
    <row r="328" spans="1:9">
      <c r="A328" s="1" t="str">
        <f>"411323199902125320"</f>
        <v>411323199902125320</v>
      </c>
      <c r="B328" s="1" t="str">
        <f t="shared" si="154"/>
        <v>共青团员</v>
      </c>
      <c r="C328" s="1" t="str">
        <f t="shared" si="153"/>
        <v>本科</v>
      </c>
      <c r="D328" s="1" t="str">
        <f>"20250620"</f>
        <v>20250620</v>
      </c>
      <c r="E328" s="1" t="str">
        <f>"郑州科技学院"</f>
        <v>郑州科技学院</v>
      </c>
      <c r="F328" s="1" t="str">
        <f>"翻译"</f>
        <v>翻译</v>
      </c>
      <c r="G328" s="1" t="str">
        <f>"城关镇宝天曼商贸城"</f>
        <v>城关镇宝天曼商贸城</v>
      </c>
      <c r="H328" s="1" t="str">
        <f t="shared" si="152"/>
        <v>无</v>
      </c>
      <c r="I328" s="1" t="str">
        <f>"202109-202506 郑州科技学院外国语学院翻译专业就读，是全日制学历。"</f>
        <v>202109-202506 郑州科技学院外国语学院翻译专业就读，是全日制学历。</v>
      </c>
    </row>
    <row r="329" spans="1:9">
      <c r="A329" s="1" t="str">
        <f>"411330200109205121"</f>
        <v>411330200109205121</v>
      </c>
      <c r="B329" s="1" t="str">
        <f>"中共党员"</f>
        <v>中共党员</v>
      </c>
      <c r="C329" s="1" t="str">
        <f t="shared" si="153"/>
        <v>本科</v>
      </c>
      <c r="D329" s="1" t="str">
        <f>"20230701"</f>
        <v>20230701</v>
      </c>
      <c r="E329" s="1" t="str">
        <f>"中原工学院"</f>
        <v>中原工学院</v>
      </c>
      <c r="F329" s="1" t="str">
        <f>"知识产权"</f>
        <v>知识产权</v>
      </c>
      <c r="G329" s="1" t="str">
        <f>"河南省南阳市西峡县双龙镇汪坟村下庄组"</f>
        <v>河南省南阳市西峡县双龙镇汪坟村下庄组</v>
      </c>
      <c r="H329" s="1" t="str">
        <f t="shared" si="152"/>
        <v>无</v>
      </c>
      <c r="I329" s="1" t="str">
        <f>"201909-202307 中原工学院学校 就读"</f>
        <v>201909-202307 中原工学院学校 就读</v>
      </c>
    </row>
    <row r="330" spans="1:9">
      <c r="A330" s="1" t="str">
        <f>"411327200201201125"</f>
        <v>411327200201201125</v>
      </c>
      <c r="B330" s="1" t="str">
        <f t="shared" si="155"/>
        <v>群众</v>
      </c>
      <c r="C330" s="1" t="str">
        <f t="shared" si="153"/>
        <v>本科</v>
      </c>
      <c r="D330" s="1" t="str">
        <f>"20240701"</f>
        <v>20240701</v>
      </c>
      <c r="E330" s="1" t="str">
        <f>"河南科技学院"</f>
        <v>河南科技学院</v>
      </c>
      <c r="F330" s="1" t="str">
        <f>"动植物检疫（植物检疫方向）"</f>
        <v>动植物检疫（植物检疫方向）</v>
      </c>
      <c r="G330" s="1" t="str">
        <f>"河南省内乡县赤眉镇"</f>
        <v>河南省内乡县赤眉镇</v>
      </c>
      <c r="H330" s="1" t="str">
        <f>"农作物植保员三级工"</f>
        <v>农作物植保员三级工</v>
      </c>
      <c r="I330" s="1" t="str">
        <f>"202010-202407河南科技学院资源与环境学院动植物检疫（植物检疫方向）专业就读
202407-202507内乡县待业"</f>
        <v>202010-202407河南科技学院资源与环境学院动植物检疫（植物检疫方向）专业就读
202407-202507内乡县待业</v>
      </c>
    </row>
    <row r="331" spans="1:9">
      <c r="A331" s="1" t="str">
        <f>"411326200207154837"</f>
        <v>411326200207154837</v>
      </c>
      <c r="B331" s="1" t="str">
        <f t="shared" si="154"/>
        <v>共青团员</v>
      </c>
      <c r="C331" s="1" t="str">
        <f t="shared" si="153"/>
        <v>本科</v>
      </c>
      <c r="D331" s="1" t="str">
        <f>"20250701"</f>
        <v>20250701</v>
      </c>
      <c r="E331" s="1" t="str">
        <f>"黄河科技学院"</f>
        <v>黄河科技学院</v>
      </c>
      <c r="F331" s="1" t="str">
        <f>"土木工程"</f>
        <v>土木工程</v>
      </c>
      <c r="G331" s="1" t="str">
        <f>"河南省南召县城关镇福禄小区38号"</f>
        <v>河南省南召县城关镇福禄小区38号</v>
      </c>
      <c r="H331" s="1" t="str">
        <f>"地质调查员三级"</f>
        <v>地质调查员三级</v>
      </c>
      <c r="I331" s="1" t="str">
        <f>"202109-202507黄河科技学院应用技术学院土木工程专业就读    201809-202106南召县现代中学就读  
201509-201806南召县城关镇第一初级中学就读
200909-201506南召县城关镇第一完全小学就读               
                                             "</f>
        <v>202109-202507黄河科技学院应用技术学院土木工程专业就读    201809-202106南召县现代中学就读  
201509-201806南召县城关镇第一初级中学就读
200909-201506南召县城关镇第一完全小学就读               
                                             </v>
      </c>
    </row>
    <row r="332" spans="1:9">
      <c r="A332" s="1" t="str">
        <f>"411303199711190511"</f>
        <v>411303199711190511</v>
      </c>
      <c r="B332" s="1" t="str">
        <f t="shared" si="155"/>
        <v>群众</v>
      </c>
      <c r="C332" s="1" t="str">
        <f>"硕士研究生"</f>
        <v>硕士研究生</v>
      </c>
      <c r="D332" s="1" t="str">
        <f>"20250612"</f>
        <v>20250612</v>
      </c>
      <c r="E332" s="1" t="str">
        <f>"太原科技大学"</f>
        <v>太原科技大学</v>
      </c>
      <c r="F332" s="1" t="str">
        <f>"大数据技术与工程"</f>
        <v>大数据技术与工程</v>
      </c>
      <c r="G332" s="1" t="str">
        <f>"河南省南阳市宛城区滨河村412号"</f>
        <v>河南省南阳市宛城区滨河村412号</v>
      </c>
      <c r="H332" s="1" t="str">
        <f t="shared" ref="H332:H337" si="156">"无"</f>
        <v>无</v>
      </c>
      <c r="I332" s="1" t="str">
        <f>"201609-202007 洛阳师范学院 计算机科学与技术学院 软件开发 就读
202007-202209 河南省南阳市 待业
202009-202506 太原科技大学 计算机科学与技术学院 大数据技术与工程 就读"</f>
        <v>201609-202007 洛阳师范学院 计算机科学与技术学院 软件开发 就读
202007-202209 河南省南阳市 待业
202009-202506 太原科技大学 计算机科学与技术学院 大数据技术与工程 就读</v>
      </c>
    </row>
    <row r="333" spans="1:9">
      <c r="A333" s="1" t="str">
        <f>"411325199402260019"</f>
        <v>411325199402260019</v>
      </c>
      <c r="B333" s="1" t="str">
        <f t="shared" si="155"/>
        <v>群众</v>
      </c>
      <c r="C333" s="1" t="str">
        <f t="shared" ref="C333:C339" si="157">"专科"</f>
        <v>专科</v>
      </c>
      <c r="D333" s="1" t="str">
        <f>"20160701"</f>
        <v>20160701</v>
      </c>
      <c r="E333" s="1" t="str">
        <f>"河南交通职业技术学院"</f>
        <v>河南交通职业技术学院</v>
      </c>
      <c r="F333" s="1" t="str">
        <f>"公路监理"</f>
        <v>公路监理</v>
      </c>
      <c r="G333" s="1" t="str">
        <f>"河南省南阳市卧龙区卧龙岗街道明伦现代城一期"</f>
        <v>河南省南阳市卧龙区卧龙岗街道明伦现代城一期</v>
      </c>
      <c r="H333" s="1" t="str">
        <f t="shared" si="156"/>
        <v>无</v>
      </c>
      <c r="I333" s="1" t="str">
        <f>"201309-201607河南交通职业技术学院公路学院公路监理专业就读，全日制学历"</f>
        <v>201309-201607河南交通职业技术学院公路学院公路监理专业就读，全日制学历</v>
      </c>
    </row>
    <row r="334" spans="1:9">
      <c r="A334" s="1" t="str">
        <f>"411327200310121562"</f>
        <v>411327200310121562</v>
      </c>
      <c r="B334" s="1" t="str">
        <f>"共青团员"</f>
        <v>共青团员</v>
      </c>
      <c r="C334" s="1" t="str">
        <f t="shared" si="157"/>
        <v>专科</v>
      </c>
      <c r="D334" s="1" t="str">
        <f>"20240607"</f>
        <v>20240607</v>
      </c>
      <c r="E334" s="1" t="str">
        <f>"漯河职业技术学院"</f>
        <v>漯河职业技术学院</v>
      </c>
      <c r="F334" s="1" t="str">
        <f>"音乐舞蹈系学前教育专业"</f>
        <v>音乐舞蹈系学前教育专业</v>
      </c>
      <c r="G334" s="1" t="str">
        <f>"河南省南阳市内乡县"</f>
        <v>河南省南阳市内乡县</v>
      </c>
      <c r="H334" s="1" t="str">
        <f>"三级职业技术技能证书"</f>
        <v>三级职业技术技能证书</v>
      </c>
      <c r="I334" s="1" t="str">
        <f>"202209-202406 漯河职业技术学院 音乐舞蹈系，学前教育专业就读，是全日制学历"</f>
        <v>202209-202406 漯河职业技术学院 音乐舞蹈系，学前教育专业就读，是全日制学历</v>
      </c>
    </row>
    <row r="335" spans="1:9">
      <c r="A335" s="1" t="str">
        <f>"410224199908170042"</f>
        <v>410224199908170042</v>
      </c>
      <c r="B335" s="1" t="str">
        <f>"共青团员"</f>
        <v>共青团员</v>
      </c>
      <c r="C335" s="1" t="str">
        <f t="shared" ref="C335:C337" si="158">"本科"</f>
        <v>本科</v>
      </c>
      <c r="D335" s="1" t="str">
        <f>"20210617"</f>
        <v>20210617</v>
      </c>
      <c r="E335" s="1" t="str">
        <f>"中国海洋大学"</f>
        <v>中国海洋大学</v>
      </c>
      <c r="F335" s="1" t="str">
        <f>"环境科学"</f>
        <v>环境科学</v>
      </c>
      <c r="G335" s="1" t="str">
        <f>"河南省开封市祥符区"</f>
        <v>河南省开封市祥符区</v>
      </c>
      <c r="H335" s="1" t="str">
        <f t="shared" si="156"/>
        <v>无</v>
      </c>
      <c r="I335" s="1" t="str">
        <f>"201708-202106 中国海洋大学就读
202107-至今 自由职业
"</f>
        <v>201708-202106 中国海洋大学就读
202107-至今 自由职业
</v>
      </c>
    </row>
    <row r="336" spans="1:9">
      <c r="A336" s="1" t="str">
        <f>"411327199108284522"</f>
        <v>411327199108284522</v>
      </c>
      <c r="B336" s="1" t="str">
        <f>"中共党员"</f>
        <v>中共党员</v>
      </c>
      <c r="C336" s="1" t="str">
        <f t="shared" si="158"/>
        <v>本科</v>
      </c>
      <c r="D336" s="1" t="str">
        <f>"201707"</f>
        <v>201707</v>
      </c>
      <c r="E336" s="1" t="str">
        <f>"河南城建学院"</f>
        <v>河南城建学院</v>
      </c>
      <c r="F336" s="1" t="str">
        <f>"土木工程"</f>
        <v>土木工程</v>
      </c>
      <c r="G336" s="1" t="str">
        <f>"河南省内乡县郦都大道西关万德隆超市旁"</f>
        <v>河南省内乡县郦都大道西关万德隆超市旁</v>
      </c>
      <c r="H336" s="1" t="str">
        <f t="shared" si="156"/>
        <v>无</v>
      </c>
      <c r="I336" s="1" t="str">
        <f>"201109—201407 漯河职业技术学院 建筑装饰工程技术 
201407—201503 在家待业
201503—201707 河南城建学院 土木工程专业 （函授）
201707—201810 在家待业
201810—2025至今南阳人峰建筑设计有限公司"</f>
        <v>201109—201407 漯河职业技术学院 建筑装饰工程技术 
201407—201503 在家待业
201503—201707 河南城建学院 土木工程专业 （函授）
201707—201810 在家待业
201810—2025至今南阳人峰建筑设计有限公司</v>
      </c>
    </row>
    <row r="337" spans="1:9">
      <c r="A337" s="1" t="str">
        <f>"412826200101300320"</f>
        <v>412826200101300320</v>
      </c>
      <c r="B337" s="1" t="str">
        <f>"中共党员"</f>
        <v>中共党员</v>
      </c>
      <c r="C337" s="1" t="str">
        <f t="shared" si="158"/>
        <v>本科</v>
      </c>
      <c r="D337" s="1" t="str">
        <f>"2023-07-01"</f>
        <v>2023-07-01</v>
      </c>
      <c r="E337" s="1" t="str">
        <f>"郑州商学院"</f>
        <v>郑州商学院</v>
      </c>
      <c r="F337" s="1" t="str">
        <f>"学前教育"</f>
        <v>学前教育</v>
      </c>
      <c r="G337" s="1" t="str">
        <f>"河南省驻马店市汝南县万和锦绣苑"</f>
        <v>河南省驻马店市汝南县万和锦绣苑</v>
      </c>
      <c r="H337" s="1" t="str">
        <f t="shared" si="156"/>
        <v>无</v>
      </c>
      <c r="I337" s="1" t="str">
        <f>"2019.09-2023.06 郑州商学院 文学与新闻传播学院 学前教育专业 全日制
2023.07-2025.07 在驻马店市汝南县待业"</f>
        <v>2019.09-2023.06 郑州商学院 文学与新闻传播学院 学前教育专业 全日制
2023.07-2025.07 在驻马店市汝南县待业</v>
      </c>
    </row>
    <row r="338" spans="1:9">
      <c r="A338" s="1" t="str">
        <f>"411323199912084446"</f>
        <v>411323199912084446</v>
      </c>
      <c r="B338" s="1" t="str">
        <f>"中共预备党员"</f>
        <v>中共预备党员</v>
      </c>
      <c r="C338" s="1" t="str">
        <f t="shared" si="157"/>
        <v>专科</v>
      </c>
      <c r="D338" s="1" t="str">
        <f>"20200701"</f>
        <v>20200701</v>
      </c>
      <c r="E338" s="1" t="str">
        <f>"郑州旅游职业学院"</f>
        <v>郑州旅游职业学院</v>
      </c>
      <c r="F338" s="1" t="str">
        <f>"旅游管理"</f>
        <v>旅游管理</v>
      </c>
      <c r="G338" s="1" t="str">
        <f>"河南省南阳市淅川县盛湾镇"</f>
        <v>河南省南阳市淅川县盛湾镇</v>
      </c>
      <c r="H338" s="1" t="str">
        <f>"教师资格证（小学语文）"</f>
        <v>教师资格证（小学语文）</v>
      </c>
      <c r="I338" s="1" t="str">
        <f>"201709—20200701在郑州旅游职业学院旅游管理系生态管理专业就读，是全日制学历；202009至今在淅川县盛湾镇人民政府就业临时岗位。"</f>
        <v>201709—20200701在郑州旅游职业学院旅游管理系生态管理专业就读，是全日制学历；202009至今在淅川县盛湾镇人民政府就业临时岗位。</v>
      </c>
    </row>
    <row r="339" spans="1:9">
      <c r="A339" s="1" t="str">
        <f>"411327199911061520"</f>
        <v>411327199911061520</v>
      </c>
      <c r="B339" s="1" t="str">
        <f t="shared" ref="B339:B343" si="159">"群众"</f>
        <v>群众</v>
      </c>
      <c r="C339" s="1" t="str">
        <f t="shared" si="157"/>
        <v>专科</v>
      </c>
      <c r="D339" s="1" t="str">
        <f>"20210701"</f>
        <v>20210701</v>
      </c>
      <c r="E339" s="1" t="str">
        <f>"南阳理工学院"</f>
        <v>南阳理工学院</v>
      </c>
      <c r="F339" s="1" t="str">
        <f>"小学教育"</f>
        <v>小学教育</v>
      </c>
      <c r="G339" s="1" t="str">
        <f>"河南省南阳市内乡县湍东镇老牛铺村"</f>
        <v>河南省南阳市内乡县湍东镇老牛铺村</v>
      </c>
      <c r="H339" s="1" t="str">
        <f t="shared" ref="H339:H349" si="160">"无"</f>
        <v>无</v>
      </c>
      <c r="I339" s="1" t="str">
        <f>"201809-202107南阳理工学院小学教育专业就读，是全日制学历"</f>
        <v>201809-202107南阳理工学院小学教育专业就读，是全日制学历</v>
      </c>
    </row>
    <row r="340" spans="1:9">
      <c r="A340" s="1" t="str">
        <f>"411381200105066726"</f>
        <v>411381200105066726</v>
      </c>
      <c r="B340" s="1" t="str">
        <f t="shared" ref="B340:B345" si="161">"共青团员"</f>
        <v>共青团员</v>
      </c>
      <c r="C340" s="1" t="str">
        <f t="shared" ref="C340:C349" si="162">"本科"</f>
        <v>本科</v>
      </c>
      <c r="D340" s="1" t="str">
        <f>"2023.07"</f>
        <v>2023.07</v>
      </c>
      <c r="E340" s="1" t="str">
        <f>"安阳工学院"</f>
        <v>安阳工学院</v>
      </c>
      <c r="F340" s="1" t="str">
        <f>"环境设计"</f>
        <v>环境设计</v>
      </c>
      <c r="G340" s="1" t="str">
        <f>"河南省南阳市邓州市构林镇李营村"</f>
        <v>河南省南阳市邓州市构林镇李营村</v>
      </c>
      <c r="H340" s="1" t="str">
        <f t="shared" si="160"/>
        <v>无</v>
      </c>
      <c r="I340" s="1" t="str">
        <f>"201809-202107河南职业技术学院 环境工程学院 室内设计专业就读，全日制
202109-202307安阳工学院 艺术设计学院 环境设计专业就读，全日制"</f>
        <v>201809-202107河南职业技术学院 环境工程学院 室内设计专业就读，全日制
202109-202307安阳工学院 艺术设计学院 环境设计专业就读，全日制</v>
      </c>
    </row>
    <row r="341" spans="1:9">
      <c r="A341" s="1" t="str">
        <f>"411330200210274025"</f>
        <v>411330200210274025</v>
      </c>
      <c r="B341" s="1" t="str">
        <f t="shared" si="159"/>
        <v>群众</v>
      </c>
      <c r="C341" s="1" t="str">
        <f t="shared" si="162"/>
        <v>本科</v>
      </c>
      <c r="D341" s="1" t="str">
        <f>"20250606"</f>
        <v>20250606</v>
      </c>
      <c r="E341" s="1" t="str">
        <f>"南阳师范学院"</f>
        <v>南阳师范学院</v>
      </c>
      <c r="F341" s="1" t="str">
        <f>"教育学"</f>
        <v>教育学</v>
      </c>
      <c r="G341" s="1" t="str">
        <f>"河南省南阳市"</f>
        <v>河南省南阳市</v>
      </c>
      <c r="H341" s="1" t="str">
        <f t="shared" si="160"/>
        <v>无</v>
      </c>
      <c r="I341" s="1" t="str">
        <f>"202109-202506 南阳师范学院 教育科学学院 教育学 就读
全日制"</f>
        <v>202109-202506 南阳师范学院 教育科学学院 教育学 就读
全日制</v>
      </c>
    </row>
    <row r="342" spans="1:9">
      <c r="A342" s="1" t="str">
        <f>"410185200012166529"</f>
        <v>410185200012166529</v>
      </c>
      <c r="B342" s="1" t="str">
        <f t="shared" si="159"/>
        <v>群众</v>
      </c>
      <c r="C342" s="1" t="str">
        <f t="shared" si="162"/>
        <v>本科</v>
      </c>
      <c r="D342" s="1" t="str">
        <f>"20210701"</f>
        <v>20210701</v>
      </c>
      <c r="E342" s="1" t="str">
        <f>"信阳学院"</f>
        <v>信阳学院</v>
      </c>
      <c r="F342" s="1" t="str">
        <f>"数学与应用数学"</f>
        <v>数学与应用数学</v>
      </c>
      <c r="G342" s="1" t="str">
        <f>"河南省郑州市登封市颍阳镇陈沟村"</f>
        <v>河南省郑州市登封市颍阳镇陈沟村</v>
      </c>
      <c r="H342" s="1" t="str">
        <f t="shared" si="160"/>
        <v>无</v>
      </c>
      <c r="I342" s="1" t="str">
        <f>"201709-202107信阳学院 数学与统计学院 数学与应用数学 就读 全日制
202109-202507待业"</f>
        <v>201709-202107信阳学院 数学与统计学院 数学与应用数学 就读 全日制
202109-202507待业</v>
      </c>
    </row>
    <row r="343" spans="1:9">
      <c r="A343" s="1" t="str">
        <f>"411327200308160626"</f>
        <v>411327200308160626</v>
      </c>
      <c r="B343" s="1" t="str">
        <f t="shared" si="159"/>
        <v>群众</v>
      </c>
      <c r="C343" s="1" t="str">
        <f t="shared" si="162"/>
        <v>本科</v>
      </c>
      <c r="D343" s="1" t="str">
        <f>"20250701"</f>
        <v>20250701</v>
      </c>
      <c r="E343" s="1" t="str">
        <f>"平顶山学院"</f>
        <v>平顶山学院</v>
      </c>
      <c r="F343" s="1" t="str">
        <f>"旅游管理"</f>
        <v>旅游管理</v>
      </c>
      <c r="G343" s="1" t="str">
        <f>"河南省南阳市内乡县城关镇书院路十巷"</f>
        <v>河南省南阳市内乡县城关镇书院路十巷</v>
      </c>
      <c r="H343" s="1" t="str">
        <f t="shared" si="160"/>
        <v>无</v>
      </c>
      <c r="I343" s="1" t="str">
        <f>"20210901-20250701 平顶山学院旅游与规划学院旅游管理专业就读，是全日制学历"</f>
        <v>20210901-20250701 平顶山学院旅游与规划学院旅游管理专业就读，是全日制学历</v>
      </c>
    </row>
    <row r="344" spans="1:9">
      <c r="A344" s="1" t="str">
        <f>"411327200112280335"</f>
        <v>411327200112280335</v>
      </c>
      <c r="B344" s="1" t="str">
        <f t="shared" si="161"/>
        <v>共青团员</v>
      </c>
      <c r="C344" s="1" t="str">
        <f t="shared" si="162"/>
        <v>本科</v>
      </c>
      <c r="D344" s="1" t="str">
        <f>"20250616"</f>
        <v>20250616</v>
      </c>
      <c r="E344" s="1" t="str">
        <f>"商丘工学院"</f>
        <v>商丘工学院</v>
      </c>
      <c r="F344" s="1" t="str">
        <f>"数据科学与大数据技术"</f>
        <v>数据科学与大数据技术</v>
      </c>
      <c r="G344" s="1" t="str">
        <f>"河南省南阳市内乡县城关镇黉学街161号"</f>
        <v>河南省南阳市内乡县城关镇黉学街161号</v>
      </c>
      <c r="H344" s="1" t="str">
        <f t="shared" si="160"/>
        <v>无</v>
      </c>
      <c r="I344" s="1" t="str">
        <f>"202109-202506 商丘工学院就读，在信息与电子工程学院数据科学与大数据技术专业就读，是全日制本科学历。"</f>
        <v>202109-202506 商丘工学院就读，在信息与电子工程学院数据科学与大数据技术专业就读，是全日制本科学历。</v>
      </c>
    </row>
    <row r="345" spans="1:9">
      <c r="A345" s="1" t="str">
        <f>"411327200310193128"</f>
        <v>411327200310193128</v>
      </c>
      <c r="B345" s="1" t="str">
        <f t="shared" si="161"/>
        <v>共青团员</v>
      </c>
      <c r="C345" s="1" t="str">
        <f t="shared" si="162"/>
        <v>本科</v>
      </c>
      <c r="D345" s="1" t="str">
        <f>"20250622"</f>
        <v>20250622</v>
      </c>
      <c r="E345" s="1" t="str">
        <f>"陕西师范大学"</f>
        <v>陕西师范大学</v>
      </c>
      <c r="F345" s="1" t="str">
        <f>"编辑出版学"</f>
        <v>编辑出版学</v>
      </c>
      <c r="G345" s="1" t="str">
        <f>"河南省南阳市内乡县夏馆镇秋林街"</f>
        <v>河南省南阳市内乡县夏馆镇秋林街</v>
      </c>
      <c r="H345" s="1" t="str">
        <f t="shared" si="160"/>
        <v>无</v>
      </c>
      <c r="I345" s="1" t="str">
        <f>"202109-202506 陕西师范大学新闻传播学院编辑出版学就读，是全日制学历"</f>
        <v>202109-202506 陕西师范大学新闻传播学院编辑出版学就读，是全日制学历</v>
      </c>
    </row>
    <row r="346" spans="1:9">
      <c r="A346" s="1" t="str">
        <f>"411123199707159639"</f>
        <v>411123199707159639</v>
      </c>
      <c r="B346" s="1" t="str">
        <f t="shared" ref="B346:B349" si="163">"群众"</f>
        <v>群众</v>
      </c>
      <c r="C346" s="1" t="str">
        <f t="shared" si="162"/>
        <v>本科</v>
      </c>
      <c r="D346" s="1" t="str">
        <f>"20200701"</f>
        <v>20200701</v>
      </c>
      <c r="E346" s="1" t="str">
        <f>"郑州师范学院"</f>
        <v>郑州师范学院</v>
      </c>
      <c r="F346" s="1" t="str">
        <f>"文化产业管理"</f>
        <v>文化产业管理</v>
      </c>
      <c r="G346" s="1" t="str">
        <f>"河南省南阳市内乡县六棵松三期"</f>
        <v>河南省南阳市内乡县六棵松三期</v>
      </c>
      <c r="H346" s="1" t="str">
        <f t="shared" si="160"/>
        <v>无</v>
      </c>
      <c r="I346" s="1" t="str">
        <f>"201609-202007郑州师范学院历史文化学院文化产业管理专业就读，全日制本科；202009-202206西南财经大学体育学院社会体育指导专业就业，全日制硕士；202206-2023-06于漯河市召陵区待业；202306-202506南阳职业学院计算机与信息技术学院辅导员；202506-至今南阳市内乡县待业"</f>
        <v>201609-202007郑州师范学院历史文化学院文化产业管理专业就读，全日制本科；202009-202206西南财经大学体育学院社会体育指导专业就业，全日制硕士；202206-2023-06于漯河市召陵区待业；202306-202506南阳职业学院计算机与信息技术学院辅导员；202506-至今南阳市内乡县待业</v>
      </c>
    </row>
    <row r="347" spans="1:9">
      <c r="A347" s="1" t="str">
        <f>"411327199410130313"</f>
        <v>411327199410130313</v>
      </c>
      <c r="B347" s="1" t="str">
        <f t="shared" si="163"/>
        <v>群众</v>
      </c>
      <c r="C347" s="1" t="str">
        <f t="shared" si="162"/>
        <v>本科</v>
      </c>
      <c r="D347" s="1" t="str">
        <f>"20160701"</f>
        <v>20160701</v>
      </c>
      <c r="E347" s="1" t="str">
        <f>"郑州航空工业管理学院"</f>
        <v>郑州航空工业管理学院</v>
      </c>
      <c r="F347" s="1" t="str">
        <f>"自动化"</f>
        <v>自动化</v>
      </c>
      <c r="G347" s="1" t="str">
        <f>"河南省南阳市内乡县大桥乡谢营村五组"</f>
        <v>河南省南阳市内乡县大桥乡谢营村五组</v>
      </c>
      <c r="H347" s="1" t="str">
        <f t="shared" si="160"/>
        <v>无</v>
      </c>
      <c r="I347" s="1" t="str">
        <f>"2012.09-2016.07郑州航空工业管理学院机电工程学院自动化专业就读，全日制学历2016.08-2017.01河南宏瑞世英车辆有限公司职员2017.02-2017.10在内乡待业2017.11-2018.10上海松川远亿机械设备有限公司职员2018.10-2020.05在上海待业2020.06-2022.01浙江涵普电力科技有限公司职员2022.02-2023.08在内乡待业2023.09至今内乡智能开关有限公司职员"</f>
        <v>2012.09-2016.07郑州航空工业管理学院机电工程学院自动化专业就读，全日制学历2016.08-2017.01河南宏瑞世英车辆有限公司职员2017.02-2017.10在内乡待业2017.11-2018.10上海松川远亿机械设备有限公司职员2018.10-2020.05在上海待业2020.06-2022.01浙江涵普电力科技有限公司职员2022.02-2023.08在内乡待业2023.09至今内乡智能开关有限公司职员</v>
      </c>
    </row>
    <row r="348" spans="1:9">
      <c r="A348" s="1" t="str">
        <f>"412826199408010314"</f>
        <v>412826199408010314</v>
      </c>
      <c r="B348" s="1" t="str">
        <f t="shared" si="163"/>
        <v>群众</v>
      </c>
      <c r="C348" s="1" t="str">
        <f t="shared" si="162"/>
        <v>本科</v>
      </c>
      <c r="D348" s="1" t="str">
        <f>"20180701"</f>
        <v>20180701</v>
      </c>
      <c r="E348" s="1" t="str">
        <f>"郑州轻工业学院"</f>
        <v>郑州轻工业学院</v>
      </c>
      <c r="F348" s="1" t="str">
        <f>"环境设计"</f>
        <v>环境设计</v>
      </c>
      <c r="G348" s="1" t="str">
        <f>"河南省驻马店市驿城区解放大道西段林苑小区"</f>
        <v>河南省驻马店市驿城区解放大道西段林苑小区</v>
      </c>
      <c r="H348" s="1" t="str">
        <f t="shared" si="160"/>
        <v>无</v>
      </c>
      <c r="I348" s="1" t="str">
        <f>"201409-201807郑州轻工业学院艺术设计系环境设计专业就读
201807-201907在汝南县待业
201907-202507驿城区生态环境保护委员会办公室工作（人事代理合同制）"</f>
        <v>201409-201807郑州轻工业学院艺术设计系环境设计专业就读
201807-201907在汝南县待业
201907-202507驿城区生态环境保护委员会办公室工作（人事代理合同制）</v>
      </c>
    </row>
    <row r="349" spans="1:9">
      <c r="A349" s="1" t="str">
        <f>"411327199804163521"</f>
        <v>411327199804163521</v>
      </c>
      <c r="B349" s="1" t="str">
        <f t="shared" si="163"/>
        <v>群众</v>
      </c>
      <c r="C349" s="1" t="str">
        <f t="shared" si="162"/>
        <v>本科</v>
      </c>
      <c r="D349" s="1" t="str">
        <f>"20200720"</f>
        <v>20200720</v>
      </c>
      <c r="E349" s="1" t="str">
        <f>"河南理工大学"</f>
        <v>河南理工大学</v>
      </c>
      <c r="F349" s="1" t="str">
        <f>"国际经济与贸易"</f>
        <v>国际经济与贸易</v>
      </c>
      <c r="G349" s="1" t="str">
        <f>"南阳市内乡县土产院内一号楼二单元"</f>
        <v>南阳市内乡县土产院内一号楼二单元</v>
      </c>
      <c r="H349" s="1" t="str">
        <f t="shared" si="160"/>
        <v>无</v>
      </c>
      <c r="I349" s="1" t="str">
        <f>"201607-202007   河南理工大学 国际经济与贸易  全日制
202007-202107  内乡县郦都学校  小学六年级语文
202110-202305  上海高顿教育科技有限公司  公考学管
202305-202507   内乡郦都学校     小学六年级语文
"</f>
        <v>201607-202007   河南理工大学 国际经济与贸易  全日制
202007-202107  内乡县郦都学校  小学六年级语文
202110-202305  上海高顿教育科技有限公司  公考学管
202305-202507   内乡郦都学校     小学六年级语文
</v>
      </c>
    </row>
    <row r="350" spans="1:9">
      <c r="A350" s="1" t="str">
        <f>"411327199202200014"</f>
        <v>411327199202200014</v>
      </c>
      <c r="B350" s="1" t="str">
        <f>"中共党员"</f>
        <v>中共党员</v>
      </c>
      <c r="C350" s="1" t="str">
        <f>"专科"</f>
        <v>专科</v>
      </c>
      <c r="D350" s="1" t="str">
        <f>"20130701"</f>
        <v>20130701</v>
      </c>
      <c r="E350" s="1" t="str">
        <f>"新乡学院"</f>
        <v>新乡学院</v>
      </c>
      <c r="F350" s="1" t="str">
        <f>"园林技术"</f>
        <v>园林技术</v>
      </c>
      <c r="G350" s="1" t="str">
        <f>"河南省南阳市内乡县城关镇"</f>
        <v>河南省南阳市内乡县城关镇</v>
      </c>
      <c r="H350" s="1" t="str">
        <f>"工程师"</f>
        <v>工程师</v>
      </c>
      <c r="I350" s="1" t="str">
        <f>"201009-201307新乡学院园林技术专业，全日制；
201307-201310待业；
201310至今在南阳市菊苑建设工程有限公司工作。"</f>
        <v>201009-201307新乡学院园林技术专业，全日制；
201307-201310待业；
201310至今在南阳市菊苑建设工程有限公司工作。</v>
      </c>
    </row>
    <row r="351" spans="1:9">
      <c r="A351" s="1" t="str">
        <f>"141125200208090051"</f>
        <v>141125200208090051</v>
      </c>
      <c r="B351" s="1" t="str">
        <f t="shared" ref="B351:B355" si="164">"共青团员"</f>
        <v>共青团员</v>
      </c>
      <c r="C351" s="1" t="str">
        <f t="shared" ref="C351:C356" si="165">"本科"</f>
        <v>本科</v>
      </c>
      <c r="D351" s="1" t="str">
        <f>"20250701"</f>
        <v>20250701</v>
      </c>
      <c r="E351" s="1" t="str">
        <f>"山西晋中理工学院"</f>
        <v>山西晋中理工学院</v>
      </c>
      <c r="F351" s="1" t="str">
        <f>"物联网工程"</f>
        <v>物联网工程</v>
      </c>
      <c r="G351" s="1" t="str">
        <f>"山西省吕梁市柳林县二中家属院"</f>
        <v>山西省吕梁市柳林县二中家属院</v>
      </c>
      <c r="H351" s="1" t="str">
        <f t="shared" ref="H351:H356" si="166">"无"</f>
        <v>无</v>
      </c>
      <c r="I351" s="1" t="str">
        <f>"202109-202507 山西晋中理工学院信创与大数据学院网络与通信工程系物联网工程专业就读，是全日制本科学历
202507-202507 在山西省吕梁市柳林县二中家属院待业"</f>
        <v>202109-202507 山西晋中理工学院信创与大数据学院网络与通信工程系物联网工程专业就读，是全日制本科学历
202507-202507 在山西省吕梁市柳林县二中家属院待业</v>
      </c>
    </row>
    <row r="352" spans="1:9">
      <c r="A352" s="1" t="str">
        <f>"41132719940409116X"</f>
        <v>41132719940409116X</v>
      </c>
      <c r="B352" s="1" t="str">
        <f t="shared" ref="B352:B360" si="167">"群众"</f>
        <v>群众</v>
      </c>
      <c r="C352" s="1" t="str">
        <f t="shared" si="165"/>
        <v>本科</v>
      </c>
      <c r="D352" s="1" t="str">
        <f>"20170701"</f>
        <v>20170701</v>
      </c>
      <c r="E352" s="1" t="str">
        <f>"郑州升达经贸管理学院"</f>
        <v>郑州升达经贸管理学院</v>
      </c>
      <c r="F352" s="1" t="str">
        <f>"环境设计"</f>
        <v>环境设计</v>
      </c>
      <c r="G352" s="1" t="str">
        <f>"河南省内乡县城关镇东湖家园6号楼2单元"</f>
        <v>河南省内乡县城关镇东湖家园6号楼2单元</v>
      </c>
      <c r="H352" s="1" t="str">
        <f t="shared" si="166"/>
        <v>无</v>
      </c>
      <c r="I352" s="1" t="str">
        <f>"201309-201707 郑州升达经贸管理学院艺术系环境设计专业就读，全日制学历；
201707-202012 合肥乐凯科技产业有限公司就职；
202105-202401 河南华福科技有限公司就职；
202402-至今 南阳瑞达实业有限公司就职。"</f>
        <v>201309-201707 郑州升达经贸管理学院艺术系环境设计专业就读，全日制学历；
201707-202012 合肥乐凯科技产业有限公司就职；
202105-202401 河南华福科技有限公司就职；
202402-至今 南阳瑞达实业有限公司就职。</v>
      </c>
    </row>
    <row r="353" spans="1:9">
      <c r="A353" s="1" t="str">
        <f>"411303200106185111"</f>
        <v>411303200106185111</v>
      </c>
      <c r="B353" s="1" t="str">
        <f t="shared" si="164"/>
        <v>共青团员</v>
      </c>
      <c r="C353" s="1" t="str">
        <f>"专科"</f>
        <v>专科</v>
      </c>
      <c r="D353" s="1" t="str">
        <f>"20220701"</f>
        <v>20220701</v>
      </c>
      <c r="E353" s="1" t="str">
        <f>"河南工业职业技术学院"</f>
        <v>河南工业职业技术学院</v>
      </c>
      <c r="F353" s="1" t="str">
        <f>"软件技术"</f>
        <v>软件技术</v>
      </c>
      <c r="G353" s="1" t="str">
        <f>"河南省南阳市卧龙区青华镇"</f>
        <v>河南省南阳市卧龙区青华镇</v>
      </c>
      <c r="H353" s="1" t="str">
        <f t="shared" si="166"/>
        <v>无</v>
      </c>
      <c r="I353" s="1" t="str">
        <f>"201709-202207 河南工业职业技术学院软件技术专业就读
202109-202309 31672部队
202309-202507 卧龙区待业"</f>
        <v>201709-202207 河南工业职业技术学院软件技术专业就读
202109-202309 31672部队
202309-202507 卧龙区待业</v>
      </c>
    </row>
    <row r="354" spans="1:9">
      <c r="A354" s="1" t="str">
        <f>"410326199909297318"</f>
        <v>410326199909297318</v>
      </c>
      <c r="B354" s="1" t="str">
        <f t="shared" si="167"/>
        <v>群众</v>
      </c>
      <c r="C354" s="1" t="str">
        <f t="shared" si="165"/>
        <v>本科</v>
      </c>
      <c r="D354" s="1" t="str">
        <f>"20220701"</f>
        <v>20220701</v>
      </c>
      <c r="E354" s="1" t="str">
        <f>"中原工学院信息商务学院"</f>
        <v>中原工学院信息商务学院</v>
      </c>
      <c r="F354" s="1" t="str">
        <f>"土木工程"</f>
        <v>土木工程</v>
      </c>
      <c r="G354" s="1" t="str">
        <f>"河南省洛阳市汝阳县"</f>
        <v>河南省洛阳市汝阳县</v>
      </c>
      <c r="H354" s="1" t="str">
        <f t="shared" si="166"/>
        <v>无</v>
      </c>
      <c r="I354" s="1" t="str">
        <f>"201809-202207 中原工学院信息商务学院建筑工程系土木工程专业就读，是全日制学历"</f>
        <v>201809-202207 中原工学院信息商务学院建筑工程系土木工程专业就读，是全日制学历</v>
      </c>
    </row>
    <row r="355" spans="1:9">
      <c r="A355" s="1" t="str">
        <f>"411325200204260064"</f>
        <v>411325200204260064</v>
      </c>
      <c r="B355" s="1" t="str">
        <f t="shared" si="164"/>
        <v>共青团员</v>
      </c>
      <c r="C355" s="1" t="str">
        <f t="shared" si="165"/>
        <v>本科</v>
      </c>
      <c r="D355" s="1" t="str">
        <f>"20240607"</f>
        <v>20240607</v>
      </c>
      <c r="E355" s="1" t="str">
        <f>"河南师范大学"</f>
        <v>河南师范大学</v>
      </c>
      <c r="F355" s="1" t="str">
        <f>"音乐学"</f>
        <v>音乐学</v>
      </c>
      <c r="G355" s="1" t="str">
        <f>"河南省南阳市内乡县渚阳大街北十六巷40号"</f>
        <v>河南省南阳市内乡县渚阳大街北十六巷40号</v>
      </c>
      <c r="H355" s="1" t="str">
        <f t="shared" si="166"/>
        <v>无</v>
      </c>
      <c r="I355" s="1" t="str">
        <f>"201909-202206 郑州信息工程职业学院 艺术系 音乐表演
202209-202406 河南师范大学（全日制） 音乐与舞蹈学院 音乐学"</f>
        <v>201909-202206 郑州信息工程职业学院 艺术系 音乐表演
202209-202406 河南师范大学（全日制） 音乐与舞蹈学院 音乐学</v>
      </c>
    </row>
    <row r="356" spans="1:9">
      <c r="A356" s="1" t="str">
        <f>"411302200201150041"</f>
        <v>411302200201150041</v>
      </c>
      <c r="B356" s="1" t="str">
        <f t="shared" si="167"/>
        <v>群众</v>
      </c>
      <c r="C356" s="1" t="str">
        <f t="shared" si="165"/>
        <v>本科</v>
      </c>
      <c r="D356" s="1" t="str">
        <f>"2024-06-20"</f>
        <v>2024-06-20</v>
      </c>
      <c r="E356" s="1" t="str">
        <f>"南阳理工学院"</f>
        <v>南阳理工学院</v>
      </c>
      <c r="F356" s="1" t="str">
        <f>"环境设计"</f>
        <v>环境设计</v>
      </c>
      <c r="G356" s="1" t="str">
        <f>"河南省南阳建业新筑6号楼1单元1301"</f>
        <v>河南省南阳建业新筑6号楼1单元1301</v>
      </c>
      <c r="H356" s="1" t="str">
        <f t="shared" si="166"/>
        <v>无</v>
      </c>
      <c r="I356" s="1" t="str">
        <f>"202009-202406 在南阳理工学院校 建筑系就读，是全日制本科
202409-202506 在南阳市待业"</f>
        <v>202009-202406 在南阳理工学院校 建筑系就读，是全日制本科
202409-202506 在南阳市待业</v>
      </c>
    </row>
    <row r="357" spans="1:9">
      <c r="A357" s="1" t="str">
        <f>"411327199206211124"</f>
        <v>411327199206211124</v>
      </c>
      <c r="B357" s="1" t="str">
        <f t="shared" si="167"/>
        <v>群众</v>
      </c>
      <c r="C357" s="1" t="str">
        <f>"专科"</f>
        <v>专科</v>
      </c>
      <c r="D357" s="1" t="str">
        <f>"20160701"</f>
        <v>20160701</v>
      </c>
      <c r="E357" s="1" t="str">
        <f>"河南艺术职业学院"</f>
        <v>河南艺术职业学院</v>
      </c>
      <c r="F357" s="1" t="str">
        <f>"编导"</f>
        <v>编导</v>
      </c>
      <c r="G357" s="1" t="str">
        <f>"河南省南阳市内乡县"</f>
        <v>河南省南阳市内乡县</v>
      </c>
      <c r="H357" s="1" t="str">
        <f>"有声演播师（中级）"</f>
        <v>有声演播师（中级）</v>
      </c>
      <c r="I357" s="1" t="str">
        <f>"201309-201607河南艺术职业学院就读编导专业；201608-201708菊潭学校任教初中七年级语文教师兼班主任；201709-201807因病在家修养；201808-202307湍东镇人民政府先后服务于扶贫办和文化站；202308-202410北京学习和工作；202411-202505河南伏牛山生物科技股份有限公司任职办公室主任；202506-专职有声演播师。"</f>
        <v>201309-201607河南艺术职业学院就读编导专业；201608-201708菊潭学校任教初中七年级语文教师兼班主任；201709-201807因病在家修养；201808-202307湍东镇人民政府先后服务于扶贫办和文化站；202308-202410北京学习和工作；202411-202505河南伏牛山生物科技股份有限公司任职办公室主任；202506-专职有声演播师。</v>
      </c>
    </row>
    <row r="358" spans="1:9">
      <c r="A358" s="1" t="str">
        <f>"411327200304274925"</f>
        <v>411327200304274925</v>
      </c>
      <c r="B358" s="1" t="str">
        <f t="shared" si="167"/>
        <v>群众</v>
      </c>
      <c r="C358" s="1" t="str">
        <f t="shared" ref="C358:C362" si="168">"本科"</f>
        <v>本科</v>
      </c>
      <c r="D358" s="1" t="str">
        <f>"20250701"</f>
        <v>20250701</v>
      </c>
      <c r="E358" s="1" t="str">
        <f>"郑州大学"</f>
        <v>郑州大学</v>
      </c>
      <c r="F358" s="1" t="str">
        <f>"教育学"</f>
        <v>教育学</v>
      </c>
      <c r="G358" s="1" t="str">
        <f>"河南省南阳市内乡县城关镇一小家属院一单元五楼"</f>
        <v>河南省南阳市内乡县城关镇一小家属院一单元五楼</v>
      </c>
      <c r="H358" s="1" t="str">
        <f t="shared" ref="H358:H360" si="169">"无"</f>
        <v>无</v>
      </c>
      <c r="I358" s="1" t="str">
        <f>"20210901-20250701在郑州大学教育学专业就读，是全日制学历。"</f>
        <v>20210901-20250701在郑州大学教育学专业就读，是全日制学历。</v>
      </c>
    </row>
    <row r="359" spans="1:9">
      <c r="A359" s="1" t="str">
        <f>"411324199701094536"</f>
        <v>411324199701094536</v>
      </c>
      <c r="B359" s="1" t="str">
        <f t="shared" si="167"/>
        <v>群众</v>
      </c>
      <c r="C359" s="1" t="str">
        <f>"专科"</f>
        <v>专科</v>
      </c>
      <c r="D359" s="1" t="str">
        <f>"20190701"</f>
        <v>20190701</v>
      </c>
      <c r="E359" s="1" t="str">
        <f>"郑州电子信息职业技术学院"</f>
        <v>郑州电子信息职业技术学院</v>
      </c>
      <c r="F359" s="1" t="str">
        <f>"汽车电子技术"</f>
        <v>汽车电子技术</v>
      </c>
      <c r="G359" s="1" t="str">
        <f>"河南省镇平县"</f>
        <v>河南省镇平县</v>
      </c>
      <c r="H359" s="1" t="str">
        <f t="shared" si="169"/>
        <v>无</v>
      </c>
      <c r="I359" s="1" t="str">
        <f>"201609-201907 郑州电子信息职业技术学院 汽车电子技术"</f>
        <v>201609-201907 郑州电子信息职业技术学院 汽车电子技术</v>
      </c>
    </row>
    <row r="360" spans="1:9">
      <c r="A360" s="1" t="str">
        <f>"411326200109170411"</f>
        <v>411326200109170411</v>
      </c>
      <c r="B360" s="1" t="str">
        <f t="shared" si="167"/>
        <v>群众</v>
      </c>
      <c r="C360" s="1" t="str">
        <f t="shared" si="168"/>
        <v>本科</v>
      </c>
      <c r="D360" s="1" t="str">
        <f>"20240701"</f>
        <v>20240701</v>
      </c>
      <c r="E360" s="1" t="str">
        <f>"新乡工程学院"</f>
        <v>新乡工程学院</v>
      </c>
      <c r="F360" s="1" t="str">
        <f>"城乡规划"</f>
        <v>城乡规划</v>
      </c>
      <c r="G360" s="1" t="str">
        <f>"河南省南阳市南召县城关镇中华西路"</f>
        <v>河南省南阳市南召县城关镇中华西路</v>
      </c>
      <c r="H360" s="1" t="str">
        <f t="shared" si="169"/>
        <v>无</v>
      </c>
      <c r="I360" s="1" t="str">
        <f>"201909-202207郑州城市职业学院 建筑装饰专业全日制在读
2022.09-2024.07新乡工程学院城乡规划专业全日制在读"</f>
        <v>201909-202207郑州城市职业学院 建筑装饰专业全日制在读
2022.09-2024.07新乡工程学院城乡规划专业全日制在读</v>
      </c>
    </row>
    <row r="361" spans="1:9">
      <c r="A361" s="1" t="str">
        <f>"41132420020321422X"</f>
        <v>41132420020321422X</v>
      </c>
      <c r="B361" s="1" t="str">
        <f>"共青团员"</f>
        <v>共青团员</v>
      </c>
      <c r="C361" s="1" t="str">
        <f t="shared" si="168"/>
        <v>本科</v>
      </c>
      <c r="D361" s="1" t="str">
        <f>"20240607"</f>
        <v>20240607</v>
      </c>
      <c r="E361" s="1" t="str">
        <f>"郑州经贸学院"</f>
        <v>郑州经贸学院</v>
      </c>
      <c r="F361" s="1" t="str">
        <f>"会计学"</f>
        <v>会计学</v>
      </c>
      <c r="G361" s="1" t="str">
        <f>"18336673123"</f>
        <v>18336673123</v>
      </c>
      <c r="H361" s="1" t="str">
        <f>"初级会计证书"</f>
        <v>初级会计证书</v>
      </c>
      <c r="I361" s="1" t="str">
        <f>"202009-202406 郑州经贸学院会计学院会计学就读，全日制"</f>
        <v>202009-202406 郑州经贸学院会计学院会计学就读，全日制</v>
      </c>
    </row>
    <row r="362" spans="1:9">
      <c r="A362" s="1" t="str">
        <f>"610582199102090091"</f>
        <v>610582199102090091</v>
      </c>
      <c r="B362" s="1" t="str">
        <f t="shared" ref="B362:B369" si="170">"群众"</f>
        <v>群众</v>
      </c>
      <c r="C362" s="1" t="str">
        <f t="shared" si="168"/>
        <v>本科</v>
      </c>
      <c r="D362" s="1" t="str">
        <f>"2012.07"</f>
        <v>2012.07</v>
      </c>
      <c r="E362" s="1" t="str">
        <f>"西安工业大学北方信息工程学院"</f>
        <v>西安工业大学北方信息工程学院</v>
      </c>
      <c r="F362" s="1" t="str">
        <f>"经济学"</f>
        <v>经济学</v>
      </c>
      <c r="G362" s="1" t="str">
        <f>"河南省南阳市西峡县张岗花园"</f>
        <v>河南省南阳市西峡县张岗花园</v>
      </c>
      <c r="H362" s="1" t="str">
        <f t="shared" ref="H362:H367" si="171">"无"</f>
        <v>无</v>
      </c>
      <c r="I362" s="1" t="str">
        <f>"2008.09-2012.07 西安工业大学北方信息工程学院 经贸系 经济学专业 全日制本科
2012.12-2016.12 南阳龙成天然气有限责任公司
2017.01-2020.07 内乡县投资控股有限责任公司
2020.08至今&amp;#160;&amp;#160;&amp;#160;南阳财和投资有限公司"</f>
        <v>2008.09-2012.07 西安工业大学北方信息工程学院 经贸系 经济学专业 全日制本科
2012.12-2016.12 南阳龙成天然气有限责任公司
2017.01-2020.07 内乡县投资控股有限责任公司
2020.08至今&amp;#160;&amp;#160;&amp;#160;南阳财和投资有限公司</v>
      </c>
    </row>
    <row r="363" spans="1:9">
      <c r="A363" s="1" t="str">
        <f>"411327199808131113"</f>
        <v>411327199808131113</v>
      </c>
      <c r="B363" s="1" t="str">
        <f>"共青团员"</f>
        <v>共青团员</v>
      </c>
      <c r="C363" s="1" t="str">
        <f t="shared" ref="C363:C367" si="172">"专科"</f>
        <v>专科</v>
      </c>
      <c r="D363" s="1" t="str">
        <f>"20200701"</f>
        <v>20200701</v>
      </c>
      <c r="E363" s="1" t="str">
        <f>"澍青医学高等专科学校"</f>
        <v>澍青医学高等专科学校</v>
      </c>
      <c r="F363" s="1" t="str">
        <f>"医学影像技术"</f>
        <v>医学影像技术</v>
      </c>
      <c r="G363" s="1" t="str">
        <f>"河南省南阳市内乡县湍东镇瑞康家园小区"</f>
        <v>河南省南阳市内乡县湍东镇瑞康家园小区</v>
      </c>
      <c r="H363" s="1" t="str">
        <f t="shared" si="171"/>
        <v>无</v>
      </c>
      <c r="I363" s="1" t="str">
        <f>"2017.09-2020.07毕业于全日制澍青医学高等专科学校
2020.08-2021.05实习于内乡县第二人民医院
2021.10至今在内乡县妇幼保健院工作"</f>
        <v>2017.09-2020.07毕业于全日制澍青医学高等专科学校
2020.08-2021.05实习于内乡县第二人民医院
2021.10至今在内乡县妇幼保健院工作</v>
      </c>
    </row>
    <row r="364" spans="1:9">
      <c r="A364" s="1" t="str">
        <f>"41132719961030113X"</f>
        <v>41132719961030113X</v>
      </c>
      <c r="B364" s="1" t="str">
        <f t="shared" si="170"/>
        <v>群众</v>
      </c>
      <c r="C364" s="1" t="str">
        <f t="shared" ref="C364:C372" si="173">"本科"</f>
        <v>本科</v>
      </c>
      <c r="D364" s="1" t="str">
        <f>"20180701"</f>
        <v>20180701</v>
      </c>
      <c r="E364" s="1" t="str">
        <f>"河南科技学院"</f>
        <v>河南科技学院</v>
      </c>
      <c r="F364" s="1" t="str">
        <f>"城乡规划"</f>
        <v>城乡规划</v>
      </c>
      <c r="G364" s="1" t="str">
        <f>"河南省南阳市内乡县赤眉镇陈湾村陈南组"</f>
        <v>河南省南阳市内乡县赤眉镇陈湾村陈南组</v>
      </c>
      <c r="H364" s="1" t="str">
        <f>"城乡规划中级工程师"</f>
        <v>城乡规划中级工程师</v>
      </c>
      <c r="I364" s="1" t="str">
        <f>"201409-201807  河南科技学院园艺园林学院城乡规划专业就读  全日制
201807-201811  北京中公教育科技股份有限公司南阳分公司就职
201811-202105  内乡县待业    
202105-202306  内乡县第二建筑安装有限公司就职
202306-至今  中元天纬集团有限公司南阳分公司就职
"</f>
        <v>201409-201807  河南科技学院园艺园林学院城乡规划专业就读  全日制
201807-201811  北京中公教育科技股份有限公司南阳分公司就职
201811-202105  内乡县待业    
202105-202306  内乡县第二建筑安装有限公司就职
202306-至今  中元天纬集团有限公司南阳分公司就职
</v>
      </c>
    </row>
    <row r="365" spans="1:9">
      <c r="A365" s="1" t="str">
        <f>"411324200003062049"</f>
        <v>411324200003062049</v>
      </c>
      <c r="B365" s="1" t="str">
        <f t="shared" si="170"/>
        <v>群众</v>
      </c>
      <c r="C365" s="1" t="str">
        <f t="shared" si="173"/>
        <v>本科</v>
      </c>
      <c r="D365" s="1" t="str">
        <f>"20250701"</f>
        <v>20250701</v>
      </c>
      <c r="E365" s="1" t="str">
        <f>"中原科技学院"</f>
        <v>中原科技学院</v>
      </c>
      <c r="F365" s="1" t="str">
        <f>"汉语言文学"</f>
        <v>汉语言文学</v>
      </c>
      <c r="G365" s="1" t="str">
        <f>"河南省南阳市镇平县石佛寺尚营村10组44号"</f>
        <v>河南省南阳市镇平县石佛寺尚营村10组44号</v>
      </c>
      <c r="H365" s="1" t="str">
        <f t="shared" si="171"/>
        <v>无</v>
      </c>
      <c r="I365" s="1" t="str">
        <f>"202009-202307 周口职业技术学院学院就读  文化教育学院  语文教育专业  是全日制学历 
202309-202507 中原科技学院就读  文学与传媒学院  汉语言专业  是全日制学历"</f>
        <v>202009-202307 周口职业技术学院学院就读  文化教育学院  语文教育专业  是全日制学历 
202309-202507 中原科技学院就读  文学与传媒学院  汉语言专业  是全日制学历</v>
      </c>
    </row>
    <row r="366" spans="1:9">
      <c r="A366" s="1" t="str">
        <f>"411327200302110011"</f>
        <v>411327200302110011</v>
      </c>
      <c r="B366" s="1" t="str">
        <f t="shared" si="170"/>
        <v>群众</v>
      </c>
      <c r="C366" s="1" t="str">
        <f t="shared" si="172"/>
        <v>专科</v>
      </c>
      <c r="D366" s="1" t="str">
        <f>"20240630"</f>
        <v>20240630</v>
      </c>
      <c r="E366" s="1" t="str">
        <f>"南阳农业职业学院"</f>
        <v>南阳农业职业学院</v>
      </c>
      <c r="F366" s="1" t="str">
        <f>"大数据与会计"</f>
        <v>大数据与会计</v>
      </c>
      <c r="G366" s="1" t="str">
        <f>"内乡县市场监督管理局"</f>
        <v>内乡县市场监督管理局</v>
      </c>
      <c r="H366" s="1" t="str">
        <f t="shared" si="171"/>
        <v>无</v>
      </c>
      <c r="I366" s="1" t="str">
        <f>"2021-2024在南阳农业职业学院就读，全日制；
2024年至今待业
"</f>
        <v>2021-2024在南阳农业职业学院就读，全日制；
2024年至今待业
</v>
      </c>
    </row>
    <row r="367" spans="1:9">
      <c r="A367" s="1" t="str">
        <f>"410823199901300058"</f>
        <v>410823199901300058</v>
      </c>
      <c r="B367" s="1" t="str">
        <f t="shared" si="170"/>
        <v>群众</v>
      </c>
      <c r="C367" s="1" t="str">
        <f t="shared" si="172"/>
        <v>专科</v>
      </c>
      <c r="D367" s="1" t="str">
        <f>"20230701"</f>
        <v>20230701</v>
      </c>
      <c r="E367" s="1" t="str">
        <f>"河南科技职业大学"</f>
        <v>河南科技职业大学</v>
      </c>
      <c r="F367" s="1" t="str">
        <f>"计算机应用技术"</f>
        <v>计算机应用技术</v>
      </c>
      <c r="G367" s="1" t="str">
        <f>"河南省焦作市山阳区宁郭镇宁郭村报国街71号"</f>
        <v>河南省焦作市山阳区宁郭镇宁郭村报国街71号</v>
      </c>
      <c r="H367" s="1" t="str">
        <f t="shared" si="171"/>
        <v>无</v>
      </c>
      <c r="I367" s="1" t="str">
        <f>"本人202103-202307河南科技职业大学，就读计算机应用技术专业，非全日制学历。202105-202504焦作万方铝业股份有限公司职员，202505-至今在焦作市待业"</f>
        <v>本人202103-202307河南科技职业大学，就读计算机应用技术专业，非全日制学历。202105-202504焦作万方铝业股份有限公司职员，202505-至今在焦作市待业</v>
      </c>
    </row>
    <row r="368" spans="1:9">
      <c r="A368" s="1" t="str">
        <f>"410329199711145561"</f>
        <v>410329199711145561</v>
      </c>
      <c r="B368" s="1" t="str">
        <f t="shared" si="170"/>
        <v>群众</v>
      </c>
      <c r="C368" s="1" t="str">
        <f t="shared" si="173"/>
        <v>本科</v>
      </c>
      <c r="D368" s="1" t="str">
        <f>"20190607"</f>
        <v>20190607</v>
      </c>
      <c r="E368" s="1" t="str">
        <f>"郑州升达经贸管理学院"</f>
        <v>郑州升达经贸管理学院</v>
      </c>
      <c r="F368" s="1" t="str">
        <f>"会计学"</f>
        <v>会计学</v>
      </c>
      <c r="G368" s="1" t="str">
        <f>"河南省洛阳市大曌国际广场"</f>
        <v>河南省洛阳市大曌国际广场</v>
      </c>
      <c r="H368" s="1" t="str">
        <f>"初级会计证"</f>
        <v>初级会计证</v>
      </c>
      <c r="I368" s="1" t="str">
        <f>"201509-201906 郑州升达经贸管理学院 就读 全日制学历
201906-202010  在洛阳市待业
202010-202305  洛阳市涧西区人民法院任职书记员
202305-202506   在洛阳市待业
202506至今   在洛阳商业职业学院任职
"</f>
        <v>201509-201906 郑州升达经贸管理学院 就读 全日制学历
201906-202010  在洛阳市待业
202010-202305  洛阳市涧西区人民法院任职书记员
202305-202506   在洛阳市待业
202506至今   在洛阳商业职业学院任职
</v>
      </c>
    </row>
    <row r="369" spans="1:9">
      <c r="A369" s="1" t="str">
        <f>"410223200202252520"</f>
        <v>410223200202252520</v>
      </c>
      <c r="B369" s="1" t="str">
        <f t="shared" si="170"/>
        <v>群众</v>
      </c>
      <c r="C369" s="1" t="str">
        <f t="shared" si="173"/>
        <v>本科</v>
      </c>
      <c r="D369" s="1" t="str">
        <f>"20240605"</f>
        <v>20240605</v>
      </c>
      <c r="E369" s="1" t="str">
        <f>"安阳学院"</f>
        <v>安阳学院</v>
      </c>
      <c r="F369" s="1" t="str">
        <f>"数学与应用数学"</f>
        <v>数学与应用数学</v>
      </c>
      <c r="G369" s="1" t="str">
        <f>"河南省开封市尉氏县"</f>
        <v>河南省开封市尉氏县</v>
      </c>
      <c r="H369" s="1" t="str">
        <f t="shared" ref="H369:H373" si="174">"无"</f>
        <v>无</v>
      </c>
      <c r="I369" s="1" t="str">
        <f>"202009-202406 安阳学院计算机科学与数学学院数学与应用数学 就读"</f>
        <v>202009-202406 安阳学院计算机科学与数学学院数学与应用数学 就读</v>
      </c>
    </row>
    <row r="370" spans="1:9">
      <c r="A370" s="1" t="str">
        <f>"411330199908021112"</f>
        <v>411330199908021112</v>
      </c>
      <c r="B370" s="1" t="str">
        <f>"共青团员"</f>
        <v>共青团员</v>
      </c>
      <c r="C370" s="1" t="str">
        <f t="shared" si="173"/>
        <v>本科</v>
      </c>
      <c r="D370" s="1" t="str">
        <f>"20220630"</f>
        <v>20220630</v>
      </c>
      <c r="E370" s="1" t="str">
        <f>"湖北理工学院"</f>
        <v>湖北理工学院</v>
      </c>
      <c r="F370" s="1" t="str">
        <f>"应用物理学"</f>
        <v>应用物理学</v>
      </c>
      <c r="G370" s="1" t="str">
        <f>"河南省西峡县回车镇杜店村杜东组71号"</f>
        <v>河南省西峡县回车镇杜店村杜东组71号</v>
      </c>
      <c r="H370" s="1" t="str">
        <f t="shared" si="174"/>
        <v>无</v>
      </c>
      <c r="I370" s="1" t="str">
        <f>"201809-202206 湖北理工学院数理学院应用物理学就读 全日制本科
"</f>
        <v>201809-202206 湖北理工学院数理学院应用物理学就读 全日制本科
</v>
      </c>
    </row>
    <row r="371" spans="1:9">
      <c r="A371" s="1" t="str">
        <f>"411327199912162518"</f>
        <v>411327199912162518</v>
      </c>
      <c r="B371" s="1" t="str">
        <f>"中共党员"</f>
        <v>中共党员</v>
      </c>
      <c r="C371" s="1" t="str">
        <f t="shared" si="173"/>
        <v>本科</v>
      </c>
      <c r="D371" s="1" t="str">
        <f>"20230701"</f>
        <v>20230701</v>
      </c>
      <c r="E371" s="1" t="str">
        <f>"河南城建学院"</f>
        <v>河南城建学院</v>
      </c>
      <c r="F371" s="1" t="str">
        <f>"建筑电气与智能化"</f>
        <v>建筑电气与智能化</v>
      </c>
      <c r="G371" s="1" t="str">
        <f>"河南省南阳市内乡县湍东镇飞龙大道菊城豪庭4号楼1单元401"</f>
        <v>河南省南阳市内乡县湍东镇飞龙大道菊城豪庭4号楼1单元401</v>
      </c>
      <c r="H371" s="1" t="str">
        <f t="shared" si="174"/>
        <v>无</v>
      </c>
      <c r="I371" s="1" t="str">
        <f>"201909-202306 河南城建学院 电气与控制工程学院 建筑电气与智能化专业 就读         是全日制学历"</f>
        <v>201909-202306 河南城建学院 电气与控制工程学院 建筑电气与智能化专业 就读         是全日制学历</v>
      </c>
    </row>
    <row r="372" spans="1:9">
      <c r="A372" s="1" t="str">
        <f>"410324200107050017"</f>
        <v>410324200107050017</v>
      </c>
      <c r="B372" s="1" t="str">
        <f t="shared" ref="B372:B377" si="175">"群众"</f>
        <v>群众</v>
      </c>
      <c r="C372" s="1" t="str">
        <f t="shared" si="173"/>
        <v>本科</v>
      </c>
      <c r="D372" s="1" t="str">
        <f>"20230607"</f>
        <v>20230607</v>
      </c>
      <c r="E372" s="1" t="str">
        <f>"广东石油化工学院"</f>
        <v>广东石油化工学院</v>
      </c>
      <c r="F372" s="1" t="str">
        <f>"材料成型及控制工程"</f>
        <v>材料成型及控制工程</v>
      </c>
      <c r="G372" s="1" t="str">
        <f>"河南省洛阳市栾川县城关镇幸福中路2单元101室"</f>
        <v>河南省洛阳市栾川县城关镇幸福中路2单元101室</v>
      </c>
      <c r="H372" s="1" t="str">
        <f t="shared" si="174"/>
        <v>无</v>
      </c>
      <c r="I372" s="1" t="str">
        <f>"201909-202306 在广东石油化工学院机械系材料成型及控制工程专业就读，是全日制。"</f>
        <v>201909-202306 在广东石油化工学院机械系材料成型及控制工程专业就读，是全日制。</v>
      </c>
    </row>
    <row r="373" spans="1:9">
      <c r="A373" s="1" t="str">
        <f>"411327199109172936"</f>
        <v>411327199109172936</v>
      </c>
      <c r="B373" s="1" t="str">
        <f t="shared" si="175"/>
        <v>群众</v>
      </c>
      <c r="C373" s="1" t="str">
        <f t="shared" ref="C373:C377" si="176">"专科"</f>
        <v>专科</v>
      </c>
      <c r="D373" s="1" t="str">
        <f>"20120701"</f>
        <v>20120701</v>
      </c>
      <c r="E373" s="1" t="str">
        <f>"河南司法警官职业学院"</f>
        <v>河南司法警官职业学院</v>
      </c>
      <c r="F373" s="1" t="str">
        <f>"法律事务"</f>
        <v>法律事务</v>
      </c>
      <c r="G373" s="1" t="str">
        <f>"河南省南阳市内乡县瓦亭镇杨河村阳大路3号"</f>
        <v>河南省南阳市内乡县瓦亭镇杨河村阳大路3号</v>
      </c>
      <c r="H373" s="1" t="str">
        <f t="shared" si="174"/>
        <v>无</v>
      </c>
      <c r="I373" s="1" t="str">
        <f>"2009年9月至2012年7月 河南司法警官职业学院 就读 
2012年7月至2013年9月 郑州市公安局文化路派出所案件侦办大队 工作 
2013年10月至2016年9月 河南省左右街网络技术服务有限公司 工作 
2016年10月至2018年5月 内乡县公安局纪律检查委员会 工作 
2018年6月至2021年10月 陕西正航实业有限公司 工作 
2021年11月至今  内乡县总工会 政府购岗"</f>
        <v>2009年9月至2012年7月 河南司法警官职业学院 就读 
2012年7月至2013年9月 郑州市公安局文化路派出所案件侦办大队 工作 
2013年10月至2016年9月 河南省左右街网络技术服务有限公司 工作 
2016年10月至2018年5月 内乡县公安局纪律检查委员会 工作 
2018年6月至2021年10月 陕西正航实业有限公司 工作 
2021年11月至今  内乡县总工会 政府购岗</v>
      </c>
    </row>
    <row r="374" spans="1:9">
      <c r="A374" s="1" t="str">
        <f>"410522200302029465"</f>
        <v>410522200302029465</v>
      </c>
      <c r="B374" s="1" t="str">
        <f>"中共党员"</f>
        <v>中共党员</v>
      </c>
      <c r="C374" s="1" t="str">
        <f t="shared" ref="C374:C383" si="177">"本科"</f>
        <v>本科</v>
      </c>
      <c r="D374" s="1" t="str">
        <f>"2025-06-01"</f>
        <v>2025-06-01</v>
      </c>
      <c r="E374" s="1" t="str">
        <f>"南阳理工学院"</f>
        <v>南阳理工学院</v>
      </c>
      <c r="F374" s="1" t="str">
        <f>"财务管理"</f>
        <v>财务管理</v>
      </c>
      <c r="G374" s="1" t="str">
        <f>"河南省安阳市殷都区"</f>
        <v>河南省安阳市殷都区</v>
      </c>
      <c r="H374" s="1" t="str">
        <f>"初级会计资格证书"</f>
        <v>初级会计资格证书</v>
      </c>
      <c r="I374" s="1" t="str">
        <f>"2020.09-2023.06 焦作大学 财务管理专业 全日制
2023.09-2025.06 南阳理工学院 财务管理专业 全日制 "</f>
        <v>2020.09-2023.06 焦作大学 财务管理专业 全日制
2023.09-2025.06 南阳理工学院 财务管理专业 全日制 </v>
      </c>
    </row>
    <row r="375" spans="1:9">
      <c r="A375" s="1" t="str">
        <f>"411327200101250341"</f>
        <v>411327200101250341</v>
      </c>
      <c r="B375" s="1" t="str">
        <f t="shared" si="175"/>
        <v>群众</v>
      </c>
      <c r="C375" s="1" t="str">
        <f t="shared" si="177"/>
        <v>本科</v>
      </c>
      <c r="D375" s="1" t="str">
        <f>"20240618"</f>
        <v>20240618</v>
      </c>
      <c r="E375" s="1" t="str">
        <f>"福州理工学院"</f>
        <v>福州理工学院</v>
      </c>
      <c r="F375" s="1" t="str">
        <f>"网络与新媒体"</f>
        <v>网络与新媒体</v>
      </c>
      <c r="G375" s="1" t="str">
        <f>"河南省南阳市内乡县大桥乡灵山村小邹营路西424号"</f>
        <v>河南省南阳市内乡县大桥乡灵山村小邹营路西424号</v>
      </c>
      <c r="H375" s="1" t="str">
        <f t="shared" ref="H375:H378" si="178">"无"</f>
        <v>无</v>
      </c>
      <c r="I375" s="1" t="str">
        <f>"202009-202406 福州理工学院 传媒与艺术学院 网络与新媒体专业就读 全日制学历
2024.06-至今 待业"</f>
        <v>202009-202406 福州理工学院 传媒与艺术学院 网络与新媒体专业就读 全日制学历
2024.06-至今 待业</v>
      </c>
    </row>
    <row r="376" spans="1:9">
      <c r="A376" s="1" t="str">
        <f>"411224200006263238"</f>
        <v>411224200006263238</v>
      </c>
      <c r="B376" s="1" t="str">
        <f t="shared" si="175"/>
        <v>群众</v>
      </c>
      <c r="C376" s="1" t="str">
        <f t="shared" si="176"/>
        <v>专科</v>
      </c>
      <c r="D376" s="1" t="str">
        <f>"20210701"</f>
        <v>20210701</v>
      </c>
      <c r="E376" s="1" t="str">
        <f>"三门峡职业技术学院"</f>
        <v>三门峡职业技术学院</v>
      </c>
      <c r="F376" s="1" t="str">
        <f>"新能源汽车技术"</f>
        <v>新能源汽车技术</v>
      </c>
      <c r="G376" s="1" t="str">
        <f>"河南省三门峡市卢氏县汤河乡"</f>
        <v>河南省三门峡市卢氏县汤河乡</v>
      </c>
      <c r="H376" s="1" t="str">
        <f t="shared" si="178"/>
        <v>无</v>
      </c>
      <c r="I376" s="1" t="str">
        <f>"201809-202107三门峡职业技术学院就读
202107-202303在家待业
202303-至今卢氏县公安局巡防队员"</f>
        <v>201809-202107三门峡职业技术学院就读
202107-202303在家待业
202303-至今卢氏县公安局巡防队员</v>
      </c>
    </row>
    <row r="377" spans="1:9">
      <c r="A377" s="1" t="str">
        <f>"411123200012292033"</f>
        <v>411123200012292033</v>
      </c>
      <c r="B377" s="1" t="str">
        <f t="shared" si="175"/>
        <v>群众</v>
      </c>
      <c r="C377" s="1" t="str">
        <f t="shared" si="176"/>
        <v>专科</v>
      </c>
      <c r="D377" s="1" t="str">
        <f>"2021.07"</f>
        <v>2021.07</v>
      </c>
      <c r="E377" s="1" t="str">
        <f>"河南机电职业学院"</f>
        <v>河南机电职业学院</v>
      </c>
      <c r="F377" s="1" t="str">
        <f>"无人机应用技术"</f>
        <v>无人机应用技术</v>
      </c>
      <c r="G377" s="1" t="str">
        <f>"河南漯河"</f>
        <v>河南漯河</v>
      </c>
      <c r="H377" s="1" t="str">
        <f t="shared" si="178"/>
        <v>无</v>
      </c>
      <c r="I377" s="1" t="str">
        <f>"2018.09-2021.07 河南机电职业学院
2022.11-2024.11 漯河市源汇区农业机械技术中心"</f>
        <v>2018.09-2021.07 河南机电职业学院
2022.11-2024.11 漯河市源汇区农业机械技术中心</v>
      </c>
    </row>
    <row r="378" spans="1:9">
      <c r="A378" s="1" t="str">
        <f>"130524200003171029"</f>
        <v>130524200003171029</v>
      </c>
      <c r="B378" s="1" t="str">
        <f t="shared" ref="B378:B381" si="179">"共青团员"</f>
        <v>共青团员</v>
      </c>
      <c r="C378" s="1" t="str">
        <f t="shared" si="177"/>
        <v>本科</v>
      </c>
      <c r="D378" s="1" t="str">
        <f>"20220722"</f>
        <v>20220722</v>
      </c>
      <c r="E378" s="1" t="str">
        <f>"河北农业大学"</f>
        <v>河北农业大学</v>
      </c>
      <c r="F378" s="1" t="str">
        <f>"风景园林"</f>
        <v>风景园林</v>
      </c>
      <c r="G378" s="1" t="str">
        <f>"河北省邢台市柏乡县税务局家属院"</f>
        <v>河北省邢台市柏乡县税务局家属院</v>
      </c>
      <c r="H378" s="1" t="str">
        <f t="shared" si="178"/>
        <v>无</v>
      </c>
      <c r="I378" s="1" t="str">
        <f>"20180901-20220722，河北农业大学园林与旅游学院风景园林专业就读，是全日制学历
20220722-20250730，于河北省邢台市柏乡县待业"</f>
        <v>20180901-20220722，河北农业大学园林与旅游学院风景园林专业就读，是全日制学历
20220722-20250730，于河北省邢台市柏乡县待业</v>
      </c>
    </row>
    <row r="379" spans="1:9">
      <c r="A379" s="1" t="str">
        <f>"411327199801014213"</f>
        <v>411327199801014213</v>
      </c>
      <c r="B379" s="1" t="str">
        <f t="shared" si="179"/>
        <v>共青团员</v>
      </c>
      <c r="C379" s="1" t="str">
        <f t="shared" si="177"/>
        <v>本科</v>
      </c>
      <c r="D379" s="1" t="str">
        <f>"20210701"</f>
        <v>20210701</v>
      </c>
      <c r="E379" s="1" t="str">
        <f>"江西科技师范大学"</f>
        <v>江西科技师范大学</v>
      </c>
      <c r="F379" s="1" t="str">
        <f>"体育教育"</f>
        <v>体育教育</v>
      </c>
      <c r="G379" s="1" t="str">
        <f>"内乡县余关镇王家"</f>
        <v>内乡县余关镇王家</v>
      </c>
      <c r="H379" s="1" t="str">
        <f>"足球三级裁判证"</f>
        <v>足球三级裁判证</v>
      </c>
      <c r="I379" s="1" t="str">
        <f>"201709-202107在江西科技师范大学体育学院体育教育专业就读"</f>
        <v>201709-202107在江西科技师范大学体育学院体育教育专业就读</v>
      </c>
    </row>
    <row r="380" spans="1:9">
      <c r="A380" s="1" t="str">
        <f>"411330200208040043"</f>
        <v>411330200208040043</v>
      </c>
      <c r="B380" s="1" t="str">
        <f t="shared" si="179"/>
        <v>共青团员</v>
      </c>
      <c r="C380" s="1" t="str">
        <f t="shared" si="177"/>
        <v>本科</v>
      </c>
      <c r="D380" s="1" t="str">
        <f>"20240607"</f>
        <v>20240607</v>
      </c>
      <c r="E380" s="1" t="str">
        <f>"四川农业大学"</f>
        <v>四川农业大学</v>
      </c>
      <c r="F380" s="1" t="str">
        <f>"生物技术"</f>
        <v>生物技术</v>
      </c>
      <c r="G380" s="1" t="str">
        <f>"南阳西峡丹水"</f>
        <v>南阳西峡丹水</v>
      </c>
      <c r="H380" s="1" t="str">
        <f t="shared" ref="H380:H386" si="180">"无"</f>
        <v>无</v>
      </c>
      <c r="I380" s="1" t="str">
        <f>"202009-202406四川农业大学生命科学学院生物技术专业就读，是全日制学历"</f>
        <v>202009-202406四川农业大学生命科学学院生物技术专业就读，是全日制学历</v>
      </c>
    </row>
    <row r="381" spans="1:9">
      <c r="A381" s="1" t="str">
        <f>"410482200108087718"</f>
        <v>410482200108087718</v>
      </c>
      <c r="B381" s="1" t="str">
        <f t="shared" si="179"/>
        <v>共青团员</v>
      </c>
      <c r="C381" s="1" t="str">
        <f t="shared" si="177"/>
        <v>本科</v>
      </c>
      <c r="D381" s="1" t="str">
        <f>"20250701"</f>
        <v>20250701</v>
      </c>
      <c r="E381" s="1" t="str">
        <f>"信阳学院"</f>
        <v>信阳学院</v>
      </c>
      <c r="F381" s="1" t="str">
        <f>"车辆工程"</f>
        <v>车辆工程</v>
      </c>
      <c r="G381" s="1" t="str">
        <f>"河南省平顶山市汝州市米庙镇安庄村长马村"</f>
        <v>河南省平顶山市汝州市米庙镇安庄村长马村</v>
      </c>
      <c r="H381" s="1" t="str">
        <f t="shared" si="180"/>
        <v>无</v>
      </c>
      <c r="I381" s="1" t="str">
        <f>"202309-202507信阳学院就读，是全日制学历"</f>
        <v>202309-202507信阳学院就读，是全日制学历</v>
      </c>
    </row>
    <row r="382" spans="1:9">
      <c r="A382" s="1" t="str">
        <f>"411330199907210018"</f>
        <v>411330199907210018</v>
      </c>
      <c r="B382" s="1" t="str">
        <f t="shared" ref="B382:B388" si="181">"群众"</f>
        <v>群众</v>
      </c>
      <c r="C382" s="1" t="str">
        <f t="shared" si="177"/>
        <v>本科</v>
      </c>
      <c r="D382" s="1" t="str">
        <f>"20220630"</f>
        <v>20220630</v>
      </c>
      <c r="E382" s="1" t="str">
        <f>"宜宾学院"</f>
        <v>宜宾学院</v>
      </c>
      <c r="F382" s="1" t="str">
        <f>"财务管理"</f>
        <v>财务管理</v>
      </c>
      <c r="G382" s="1" t="str">
        <f>"河南省西峡县五里桥镇稻香路学府世家"</f>
        <v>河南省西峡县五里桥镇稻香路学府世家</v>
      </c>
      <c r="H382" s="1" t="str">
        <f>"CMA美国注册管理会计"</f>
        <v>CMA美国注册管理会计</v>
      </c>
      <c r="I382" s="1" t="str">
        <f>"201809-202206就读于四川省宜宾市宜宾学院，全日制本科学历
202207-202406工作于四川省人民政府驻北京办事处下属国企-北京华川有限公司，任职出纳、成本管理会计工作
202406-202507在家待业"</f>
        <v>201809-202206就读于四川省宜宾市宜宾学院，全日制本科学历
202207-202406工作于四川省人民政府驻北京办事处下属国企-北京华川有限公司，任职出纳、成本管理会计工作
202406-202507在家待业</v>
      </c>
    </row>
    <row r="383" spans="1:9">
      <c r="A383" s="1" t="str">
        <f>"411327200205131144"</f>
        <v>411327200205131144</v>
      </c>
      <c r="B383" s="1" t="str">
        <f>"共青团员"</f>
        <v>共青团员</v>
      </c>
      <c r="C383" s="1" t="str">
        <f t="shared" si="177"/>
        <v>本科</v>
      </c>
      <c r="D383" s="1" t="str">
        <f>"20240625"</f>
        <v>20240625</v>
      </c>
      <c r="E383" s="1" t="str">
        <f>"河南理工大学"</f>
        <v>河南理工大学</v>
      </c>
      <c r="F383" s="1" t="str">
        <f>"工商管理"</f>
        <v>工商管理</v>
      </c>
      <c r="G383" s="1" t="str">
        <f>"河南省南阳市内乡县赤眉镇张堂村张南4号"</f>
        <v>河南省南阳市内乡县赤眉镇张堂村张南4号</v>
      </c>
      <c r="H383" s="1" t="str">
        <f t="shared" si="180"/>
        <v>无</v>
      </c>
      <c r="I383" s="1" t="str">
        <f>"202009-202406 河南理工大学 工商管理学院工商管理专业 就读，本科全日制
202406至今 待业"</f>
        <v>202009-202406 河南理工大学 工商管理学院工商管理专业 就读，本科全日制
202406至今 待业</v>
      </c>
    </row>
    <row r="384" spans="1:9">
      <c r="A384" s="1" t="str">
        <f>"411323200001063025"</f>
        <v>411323200001063025</v>
      </c>
      <c r="B384" s="1" t="str">
        <f t="shared" si="181"/>
        <v>群众</v>
      </c>
      <c r="C384" s="1" t="str">
        <f t="shared" ref="C384:C388" si="182">"专科"</f>
        <v>专科</v>
      </c>
      <c r="D384" s="1" t="str">
        <f>"20210701"</f>
        <v>20210701</v>
      </c>
      <c r="E384" s="1" t="str">
        <f>"黄河科技学院"</f>
        <v>黄河科技学院</v>
      </c>
      <c r="F384" s="1" t="str">
        <f>"学前教育"</f>
        <v>学前教育</v>
      </c>
      <c r="G384" s="1" t="str">
        <f>"河南省淅川县老城镇街道"</f>
        <v>河南省淅川县老城镇街道</v>
      </c>
      <c r="H384" s="1" t="str">
        <f t="shared" si="180"/>
        <v>无</v>
      </c>
      <c r="I384" s="1" t="str">
        <f>"201903-202107在黄河科技学院学前教育专业就读（函授大专）
201903-202308在家待业
202309-202407在凤凰森林幼儿园任教
202408-202503在家待业
202504在南阳稀有甄品有限公司就业
202505-202507在淅川县众诚网络科技有限公司就业
202508-至今在家待业"</f>
        <v>201903-202107在黄河科技学院学前教育专业就读（函授大专）
201903-202308在家待业
202309-202407在凤凰森林幼儿园任教
202408-202503在家待业
202504在南阳稀有甄品有限公司就业
202505-202507在淅川县众诚网络科技有限公司就业
202508-至今在家待业</v>
      </c>
    </row>
    <row r="385" spans="1:9">
      <c r="A385" s="1" t="str">
        <f>"411327199909154525"</f>
        <v>411327199909154525</v>
      </c>
      <c r="B385" s="1" t="str">
        <f t="shared" si="181"/>
        <v>群众</v>
      </c>
      <c r="C385" s="1" t="str">
        <f t="shared" ref="C385:C392" si="183">"本科"</f>
        <v>本科</v>
      </c>
      <c r="D385" s="1" t="str">
        <f>"20230701"</f>
        <v>20230701</v>
      </c>
      <c r="E385" s="1" t="str">
        <f>"许昌学院"</f>
        <v>许昌学院</v>
      </c>
      <c r="F385" s="1" t="str">
        <f>"计算机科学与技术"</f>
        <v>计算机科学与技术</v>
      </c>
      <c r="G385" s="1" t="str">
        <f>"河南省南阳市内乡县赵店乡"</f>
        <v>河南省南阳市内乡县赵店乡</v>
      </c>
      <c r="H385" s="1" t="str">
        <f t="shared" si="180"/>
        <v>无</v>
      </c>
      <c r="I385" s="1" t="str">
        <f>"于201909-2023-07 许昌学院 就读 信息工程学院（智能交通学院、软件学院）中的计算机科学与技术，是全日制本科学历。"</f>
        <v>于201909-2023-07 许昌学院 就读 信息工程学院（智能交通学院、软件学院）中的计算机科学与技术，是全日制本科学历。</v>
      </c>
    </row>
    <row r="386" spans="1:9">
      <c r="A386" s="1" t="str">
        <f>"411303199504160520"</f>
        <v>411303199504160520</v>
      </c>
      <c r="B386" s="1" t="str">
        <f t="shared" si="181"/>
        <v>群众</v>
      </c>
      <c r="C386" s="1" t="str">
        <f t="shared" si="182"/>
        <v>专科</v>
      </c>
      <c r="D386" s="1" t="str">
        <f>"201607"</f>
        <v>201607</v>
      </c>
      <c r="E386" s="1" t="str">
        <f>"河南工业职业技术学院"</f>
        <v>河南工业职业技术学院</v>
      </c>
      <c r="F386" s="1" t="str">
        <f>"会计电算化"</f>
        <v>会计电算化</v>
      </c>
      <c r="G386" s="1" t="str">
        <f>"河南省南阳市宛城区工农路171号"</f>
        <v>河南省南阳市宛城区工农路171号</v>
      </c>
      <c r="H386" s="1" t="str">
        <f t="shared" si="180"/>
        <v>无</v>
      </c>
      <c r="I386" s="1" t="str">
        <f>"201309-201607河南工业职业技术学院会计电算化全日制大专
201607-201707于北京市金玉翠福有限公司任职
201709-201807于南阳市第二十一学校西校区任职教师"</f>
        <v>201309-201607河南工业职业技术学院会计电算化全日制大专
201607-201707于北京市金玉翠福有限公司任职
201709-201807于南阳市第二十一学校西校区任职教师</v>
      </c>
    </row>
    <row r="387" spans="1:9">
      <c r="A387" s="1" t="str">
        <f>"610581200104110016"</f>
        <v>610581200104110016</v>
      </c>
      <c r="B387" s="1" t="str">
        <f t="shared" si="181"/>
        <v>群众</v>
      </c>
      <c r="C387" s="1" t="str">
        <f t="shared" si="182"/>
        <v>专科</v>
      </c>
      <c r="D387" s="1" t="str">
        <f>"20220701"</f>
        <v>20220701</v>
      </c>
      <c r="E387" s="1" t="str">
        <f>"河南工业职业技术学院"</f>
        <v>河南工业职业技术学院</v>
      </c>
      <c r="F387" s="1" t="str">
        <f>"机电一体化技术"</f>
        <v>机电一体化技术</v>
      </c>
      <c r="G387" s="1" t="str">
        <f>"河南省内乡县赵店乡"</f>
        <v>河南省内乡县赵店乡</v>
      </c>
      <c r="H387" s="1" t="str">
        <f>"T610581200104110016"</f>
        <v>T610581200104110016</v>
      </c>
      <c r="I387" s="1" t="str">
        <f>"201709-202207 河南工业职业技术学院机电一体化专业就读，全日制
202209-202312 米咔商贸有限公司上班
202405-202506  牧原食品股份有限公司上班
"</f>
        <v>201709-202207 河南工业职业技术学院机电一体化专业就读，全日制
202209-202312 米咔商贸有限公司上班
202405-202506  牧原食品股份有限公司上班
</v>
      </c>
    </row>
    <row r="388" spans="1:9">
      <c r="A388" s="1" t="str">
        <f>"411326200312112428"</f>
        <v>411326200312112428</v>
      </c>
      <c r="B388" s="1" t="str">
        <f t="shared" si="181"/>
        <v>群众</v>
      </c>
      <c r="C388" s="1" t="str">
        <f t="shared" si="182"/>
        <v>专科</v>
      </c>
      <c r="D388" s="1" t="str">
        <f>"20240701"</f>
        <v>20240701</v>
      </c>
      <c r="E388" s="1" t="str">
        <f>"许昌学院"</f>
        <v>许昌学院</v>
      </c>
      <c r="F388" s="1" t="str">
        <f>"医学检验技术"</f>
        <v>医学检验技术</v>
      </c>
      <c r="G388" s="1" t="str">
        <f>"河南省南阳市卧龙区"</f>
        <v>河南省南阳市卧龙区</v>
      </c>
      <c r="H388" s="1" t="str">
        <f t="shared" ref="H388:H392" si="184">"无"</f>
        <v>无</v>
      </c>
      <c r="I388" s="1" t="str">
        <f>"202109-202407许昌学院医学院医学检验技术就读，是全日制
202407-202507于南阳市卧龙区待业"</f>
        <v>202109-202407许昌学院医学院医学检验技术就读，是全日制
202407-202507于南阳市卧龙区待业</v>
      </c>
    </row>
    <row r="389" spans="1:9">
      <c r="A389" s="1" t="str">
        <f>"410526200408080416"</f>
        <v>410526200408080416</v>
      </c>
      <c r="B389" s="1" t="str">
        <f t="shared" ref="B389:B394" si="185">"共青团员"</f>
        <v>共青团员</v>
      </c>
      <c r="C389" s="1" t="str">
        <f t="shared" si="183"/>
        <v>本科</v>
      </c>
      <c r="D389" s="1" t="str">
        <f>"20240606"</f>
        <v>20240606</v>
      </c>
      <c r="E389" s="1" t="str">
        <f>"河南大学民生学院"</f>
        <v>河南大学民生学院</v>
      </c>
      <c r="F389" s="1" t="str">
        <f>"经济学"</f>
        <v>经济学</v>
      </c>
      <c r="G389" s="1" t="str">
        <f>"河南省安阳市滑县道口镇"</f>
        <v>河南省安阳市滑县道口镇</v>
      </c>
      <c r="H389" s="1" t="str">
        <f t="shared" si="184"/>
        <v>无</v>
      </c>
      <c r="I389" s="1" t="str">
        <f>"202009-202406 河南大学民生学院就读 经济学院经济学专业 全日制学历
202406-至今      待业"</f>
        <v>202009-202406 河南大学民生学院就读 经济学院经济学专业 全日制学历
202406-至今      待业</v>
      </c>
    </row>
    <row r="390" spans="1:9">
      <c r="A390" s="1" t="str">
        <f>"411323200302270028"</f>
        <v>411323200302270028</v>
      </c>
      <c r="B390" s="1" t="str">
        <f>"群众"</f>
        <v>群众</v>
      </c>
      <c r="C390" s="1" t="str">
        <f t="shared" si="183"/>
        <v>本科</v>
      </c>
      <c r="D390" s="1" t="str">
        <f>"20250618"</f>
        <v>20250618</v>
      </c>
      <c r="E390" s="1" t="str">
        <f>"江苏科技大学"</f>
        <v>江苏科技大学</v>
      </c>
      <c r="F390" s="1" t="str">
        <f>"土木工程"</f>
        <v>土木工程</v>
      </c>
      <c r="G390" s="1" t="str">
        <f>"河南省南阳市内乡县灌涨镇灌涨街"</f>
        <v>河南省南阳市内乡县灌涨镇灌涨街</v>
      </c>
      <c r="H390" s="1" t="str">
        <f t="shared" si="184"/>
        <v>无</v>
      </c>
      <c r="I390" s="1" t="str">
        <f>"202109-202506江苏科技大学土木工程与建筑学院土木工程专业就读，全日制学历"</f>
        <v>202109-202506江苏科技大学土木工程与建筑学院土木工程专业就读，全日制学历</v>
      </c>
    </row>
    <row r="391" spans="1:9">
      <c r="A391" s="1" t="str">
        <f>"411327200110100046"</f>
        <v>411327200110100046</v>
      </c>
      <c r="B391" s="1" t="str">
        <f t="shared" si="185"/>
        <v>共青团员</v>
      </c>
      <c r="C391" s="1" t="str">
        <f t="shared" si="183"/>
        <v>本科</v>
      </c>
      <c r="D391" s="1" t="str">
        <f>"20230712"</f>
        <v>20230712</v>
      </c>
      <c r="E391" s="1" t="str">
        <f>"宁夏大学"</f>
        <v>宁夏大学</v>
      </c>
      <c r="F391" s="1" t="str">
        <f>"经济学（金融）"</f>
        <v>经济学（金融）</v>
      </c>
      <c r="G391" s="1" t="str">
        <f>"河南省南阳市内乡县东风村"</f>
        <v>河南省南阳市内乡县东风村</v>
      </c>
      <c r="H391" s="1" t="str">
        <f t="shared" si="184"/>
        <v>无</v>
      </c>
      <c r="I391" s="1" t="str">
        <f>"201909-202307在宁夏大学经济管理学院经济学（金融）专业就读，是全日制学历；202307-202405在家待业；202405至今在河南内乡农村商业银行股份有限公司上班。"</f>
        <v>201909-202307在宁夏大学经济管理学院经济学（金融）专业就读，是全日制学历；202307-202405在家待业；202405至今在河南内乡农村商业银行股份有限公司上班。</v>
      </c>
    </row>
    <row r="392" spans="1:9">
      <c r="A392" s="1" t="str">
        <f>"411303199907280519"</f>
        <v>411303199907280519</v>
      </c>
      <c r="B392" s="1" t="str">
        <f>"中共预备党员"</f>
        <v>中共预备党员</v>
      </c>
      <c r="C392" s="1" t="str">
        <f t="shared" si="183"/>
        <v>本科</v>
      </c>
      <c r="D392" s="1" t="str">
        <f>"20240120"</f>
        <v>20240120</v>
      </c>
      <c r="E392" s="1" t="str">
        <f>"国家开放大学"</f>
        <v>国家开放大学</v>
      </c>
      <c r="F392" s="1" t="str">
        <f>"水利水电工程"</f>
        <v>水利水电工程</v>
      </c>
      <c r="G392" s="1" t="str">
        <f>"河南省南阳市卧龙区光武街道刘庄社区"</f>
        <v>河南省南阳市卧龙区光武街道刘庄社区</v>
      </c>
      <c r="H392" s="1" t="str">
        <f t="shared" si="184"/>
        <v>无</v>
      </c>
      <c r="I392" s="1" t="str">
        <f>"201709-202007 河南工业职业技术学院 经济管理学院就读 全日制学历
202007-202103在家待业
202103-202401国家开放大学 水利水电工程  非全日制学历
"</f>
        <v>201709-202007 河南工业职业技术学院 经济管理学院就读 全日制学历
202007-202103在家待业
202103-202401国家开放大学 水利水电工程  非全日制学历
</v>
      </c>
    </row>
    <row r="393" spans="1:9">
      <c r="A393" s="1" t="str">
        <f>"411324199911054858"</f>
        <v>411324199911054858</v>
      </c>
      <c r="B393" s="1" t="str">
        <f>"中共党员"</f>
        <v>中共党员</v>
      </c>
      <c r="C393" s="1" t="str">
        <f>"专科"</f>
        <v>专科</v>
      </c>
      <c r="D393" s="1" t="str">
        <f>"2025-07-01"</f>
        <v>2025-07-01</v>
      </c>
      <c r="E393" s="1" t="str">
        <f>"郑州商学院"</f>
        <v>郑州商学院</v>
      </c>
      <c r="F393" s="1" t="str">
        <f>"大数据与会计"</f>
        <v>大数据与会计</v>
      </c>
      <c r="G393" s="1" t="str">
        <f>"河南省南阳市镇平县御景华城12号楼"</f>
        <v>河南省南阳市镇平县御景华城12号楼</v>
      </c>
      <c r="H393" s="1" t="str">
        <f>"初级会计师"</f>
        <v>初级会计师</v>
      </c>
      <c r="I393" s="1" t="str">
        <f>"201709-201806郑州成功财经学院  管理学院  财务管理  全日制
201809-2023.9武警安徽省总队蚌埠支队
202309-202506郑州商学院 会计学院 大数据与会计 全日制"</f>
        <v>201709-201806郑州成功财经学院  管理学院  财务管理  全日制
201809-2023.9武警安徽省总队蚌埠支队
202309-202506郑州商学院 会计学院 大数据与会计 全日制</v>
      </c>
    </row>
    <row r="394" spans="1:9">
      <c r="A394" s="1" t="str">
        <f>"411327200107044549"</f>
        <v>411327200107044549</v>
      </c>
      <c r="B394" s="1" t="str">
        <f t="shared" si="185"/>
        <v>共青团员</v>
      </c>
      <c r="C394" s="1" t="str">
        <f t="shared" ref="C394:C397" si="186">"本科"</f>
        <v>本科</v>
      </c>
      <c r="D394" s="1" t="str">
        <f>"20240630"</f>
        <v>20240630</v>
      </c>
      <c r="E394" s="1" t="str">
        <f>"河南工学院"</f>
        <v>河南工学院</v>
      </c>
      <c r="F394" s="1" t="str">
        <f>"环境设计"</f>
        <v>环境设计</v>
      </c>
      <c r="G394" s="1" t="str">
        <f>"河南省南阳市内乡县"</f>
        <v>河南省南阳市内乡县</v>
      </c>
      <c r="H394" s="1" t="str">
        <f t="shared" ref="H394:H397" si="187">"无"</f>
        <v>无</v>
      </c>
      <c r="I394" s="1" t="str">
        <f>"河南省新乡市河南工学院 202009-202407 河南工学院环境设计专业就读 全日制本科
202407-202503待业"</f>
        <v>河南省新乡市河南工学院 202009-202407 河南工学院环境设计专业就读 全日制本科
202407-202503待业</v>
      </c>
    </row>
    <row r="395" spans="1:9">
      <c r="A395" s="1" t="str">
        <f>"411327199912062912"</f>
        <v>411327199912062912</v>
      </c>
      <c r="B395" s="1" t="str">
        <f>"群众"</f>
        <v>群众</v>
      </c>
      <c r="C395" s="1" t="str">
        <f t="shared" si="186"/>
        <v>本科</v>
      </c>
      <c r="D395" s="1" t="str">
        <f>"20250619"</f>
        <v>20250619</v>
      </c>
      <c r="E395" s="1" t="str">
        <f>"佳木斯大学人文学院"</f>
        <v>佳木斯大学人文学院</v>
      </c>
      <c r="F395" s="1" t="str">
        <f>"网络与新媒体"</f>
        <v>网络与新媒体</v>
      </c>
      <c r="G395" s="1" t="str">
        <f>"204460500@qq.com"</f>
        <v>204460500@qq.com</v>
      </c>
      <c r="H395" s="1" t="str">
        <f>"普通话二级乙等证书"</f>
        <v>普通话二级乙等证书</v>
      </c>
      <c r="I395" s="1" t="str">
        <f>"202109-202506 佳木斯大学人文学院网络与新媒体专业就读，是全日制学历。"</f>
        <v>202109-202506 佳木斯大学人文学院网络与新媒体专业就读，是全日制学历。</v>
      </c>
    </row>
    <row r="396" spans="1:9">
      <c r="A396" s="1" t="str">
        <f>"41132519990207065X"</f>
        <v>41132519990207065X</v>
      </c>
      <c r="B396" s="1" t="str">
        <f t="shared" ref="B396:B400" si="188">"共青团员"</f>
        <v>共青团员</v>
      </c>
      <c r="C396" s="1" t="str">
        <f t="shared" si="186"/>
        <v>本科</v>
      </c>
      <c r="D396" s="1" t="str">
        <f>"20210701"</f>
        <v>20210701</v>
      </c>
      <c r="E396" s="1" t="str">
        <f>"南阳师范学院"</f>
        <v>南阳师范学院</v>
      </c>
      <c r="F396" s="1" t="str">
        <f>"物联网工程"</f>
        <v>物联网工程</v>
      </c>
      <c r="G396" s="1" t="str">
        <f>"河南省南阳市内乡县马山口镇"</f>
        <v>河南省南阳市内乡县马山口镇</v>
      </c>
      <c r="H396" s="1" t="str">
        <f t="shared" si="187"/>
        <v>无</v>
      </c>
      <c r="I396" s="1" t="str">
        <f>"201709-202107 南阳师范学院就读
202109-至今 内乡郦都学校"</f>
        <v>201709-202107 南阳师范学院就读
202109-至今 内乡郦都学校</v>
      </c>
    </row>
    <row r="397" spans="1:9">
      <c r="A397" s="1" t="str">
        <f>"411323199406151415"</f>
        <v>411323199406151415</v>
      </c>
      <c r="B397" s="1" t="str">
        <f t="shared" ref="B397:B402" si="189">"群众"</f>
        <v>群众</v>
      </c>
      <c r="C397" s="1" t="str">
        <f t="shared" si="186"/>
        <v>本科</v>
      </c>
      <c r="D397" s="1" t="str">
        <f>"201709"</f>
        <v>201709</v>
      </c>
      <c r="E397" s="1" t="str">
        <f>"商丘师范学院"</f>
        <v>商丘师范学院</v>
      </c>
      <c r="F397" s="1" t="str">
        <f>"农学（专升本）"</f>
        <v>农学（专升本）</v>
      </c>
      <c r="G397" s="1" t="str">
        <f>"河南省南阳市淅川县西簧乡"</f>
        <v>河南省南阳市淅川县西簧乡</v>
      </c>
      <c r="H397" s="1" t="str">
        <f t="shared" si="187"/>
        <v>无</v>
      </c>
      <c r="I397" s="1" t="str">
        <f>"201209-201507 河南农业大学应用科技学院 就读于种子生产与经营专业 全日制
201509-201707 商丘师范学院生命科学学院就读于农学（专升本）专业 全日制
201707-至今-在河南省淅川县待业"</f>
        <v>201209-201507 河南农业大学应用科技学院 就读于种子生产与经营专业 全日制
201509-201707 商丘师范学院生命科学学院就读于农学（专升本）专业 全日制
201707-至今-在河南省淅川县待业</v>
      </c>
    </row>
    <row r="398" spans="1:9">
      <c r="A398" s="1" t="str">
        <f>"411381199110152033"</f>
        <v>411381199110152033</v>
      </c>
      <c r="B398" s="1" t="str">
        <f>"中共党员"</f>
        <v>中共党员</v>
      </c>
      <c r="C398" s="1" t="str">
        <f t="shared" ref="C398:C402" si="190">"专科"</f>
        <v>专科</v>
      </c>
      <c r="D398" s="1" t="str">
        <f>"20130701"</f>
        <v>20130701</v>
      </c>
      <c r="E398" s="1" t="str">
        <f>"漯河职业技术学院"</f>
        <v>漯河职业技术学院</v>
      </c>
      <c r="F398" s="1" t="str">
        <f>"制冷与冷藏技术"</f>
        <v>制冷与冷藏技术</v>
      </c>
      <c r="G398" s="1" t="str">
        <f>"河南省邓州市湍河街道办事处美景天城九号楼"</f>
        <v>河南省邓州市湍河街道办事处美景天城九号楼</v>
      </c>
      <c r="H398" s="1" t="str">
        <f>"助理工程师"</f>
        <v>助理工程师</v>
      </c>
      <c r="I398" s="1" t="str">
        <f>"201009-201306  在漯河职业技术学院制冷与冷藏技术专业学习，全日制；
201307-至今 在邓州市公路事业发展中心工作。"</f>
        <v>201009-201306  在漯河职业技术学院制冷与冷藏技术专业学习，全日制；
201307-至今 在邓州市公路事业发展中心工作。</v>
      </c>
    </row>
    <row r="399" spans="1:9">
      <c r="A399" s="1" t="str">
        <f>"410882199802088573"</f>
        <v>410882199802088573</v>
      </c>
      <c r="B399" s="1" t="str">
        <f t="shared" si="188"/>
        <v>共青团员</v>
      </c>
      <c r="C399" s="1" t="str">
        <f t="shared" ref="C399:C403" si="191">"本科"</f>
        <v>本科</v>
      </c>
      <c r="D399" s="1" t="str">
        <f>"20210607"</f>
        <v>20210607</v>
      </c>
      <c r="E399" s="1" t="str">
        <f>"郑州升达经贸管理学院"</f>
        <v>郑州升达经贸管理学院</v>
      </c>
      <c r="F399" s="1" t="str">
        <f>"市场营销"</f>
        <v>市场营销</v>
      </c>
      <c r="G399" s="1" t="str">
        <f>"河南省沁阳市覃怀办事处塔寺街2号"</f>
        <v>河南省沁阳市覃怀办事处塔寺街2号</v>
      </c>
      <c r="H399" s="1" t="str">
        <f t="shared" ref="H399:H405" si="192">"无"</f>
        <v>无</v>
      </c>
      <c r="I399" s="1" t="str">
        <f>"201609-201906 河南工程学院
201909-202106 郑州升达经贸管理学院
202107-202207 周口元淇美林置业有限公司
202208-202412 在家待业
202501-202506 郑州探见科技有限公司"</f>
        <v>201609-201906 河南工程学院
201909-202106 郑州升达经贸管理学院
202107-202207 周口元淇美林置业有限公司
202208-202412 在家待业
202501-202506 郑州探见科技有限公司</v>
      </c>
    </row>
    <row r="400" spans="1:9">
      <c r="A400" s="1" t="str">
        <f>"41130320001105678X"</f>
        <v>41130320001105678X</v>
      </c>
      <c r="B400" s="1" t="str">
        <f t="shared" si="188"/>
        <v>共青团员</v>
      </c>
      <c r="C400" s="1" t="str">
        <f t="shared" si="190"/>
        <v>专科</v>
      </c>
      <c r="D400" s="1" t="str">
        <f>"20230607"</f>
        <v>20230607</v>
      </c>
      <c r="E400" s="1" t="str">
        <f>"南阳农业职业学院"</f>
        <v>南阳农业职业学院</v>
      </c>
      <c r="F400" s="1" t="str">
        <f>"会计"</f>
        <v>会计</v>
      </c>
      <c r="G400" s="1" t="str">
        <f>"南阳市卧龙区汉画街"</f>
        <v>南阳市卧龙区汉画街</v>
      </c>
      <c r="H400" s="1" t="str">
        <f>"初级经济师"</f>
        <v>初级经济师</v>
      </c>
      <c r="I400" s="1" t="str">
        <f>"202010-202306南阳农业职业学院就读全日制"</f>
        <v>202010-202306南阳农业职业学院就读全日制</v>
      </c>
    </row>
    <row r="401" spans="1:9">
      <c r="A401" s="1" t="str">
        <f>"411381199303286513"</f>
        <v>411381199303286513</v>
      </c>
      <c r="B401" s="1" t="str">
        <f t="shared" si="189"/>
        <v>群众</v>
      </c>
      <c r="C401" s="1" t="str">
        <f t="shared" si="191"/>
        <v>本科</v>
      </c>
      <c r="D401" s="1" t="str">
        <f>"20220701"</f>
        <v>20220701</v>
      </c>
      <c r="E401" s="1" t="str">
        <f>"河南工业"</f>
        <v>河南工业</v>
      </c>
      <c r="F401" s="1" t="str">
        <f>"土木工程"</f>
        <v>土木工程</v>
      </c>
      <c r="G401" s="1" t="str">
        <f>"河南省邓州市都司镇户张村"</f>
        <v>河南省邓州市都司镇户张村</v>
      </c>
      <c r="H401" s="1" t="str">
        <f>"助理工程师"</f>
        <v>助理工程师</v>
      </c>
      <c r="I401" s="1" t="str">
        <f>"201309-201607在河南交通职业技术学院，公路学院道路桥梁系道路桥梁工程技术专业就读，全日制大专学历。
202009-202207在河南工业大学，土木工程专业就读，成人本科学历。
201611-202507在郑州市市政设施维修建设有限公司就职，担任公司路面工程事业部施工一队技术员。"</f>
        <v>201309-201607在河南交通职业技术学院，公路学院道路桥梁系道路桥梁工程技术专业就读，全日制大专学历。
202009-202207在河南工业大学，土木工程专业就读，成人本科学历。
201611-202507在郑州市市政设施维修建设有限公司就职，担任公司路面工程事业部施工一队技术员。</v>
      </c>
    </row>
    <row r="402" spans="1:9">
      <c r="A402" s="1" t="str">
        <f>"41130220010715605X"</f>
        <v>41130220010715605X</v>
      </c>
      <c r="B402" s="1" t="str">
        <f t="shared" si="189"/>
        <v>群众</v>
      </c>
      <c r="C402" s="1" t="str">
        <f t="shared" si="190"/>
        <v>专科</v>
      </c>
      <c r="D402" s="1" t="str">
        <f>"2022年7.1"</f>
        <v>2022年7.1</v>
      </c>
      <c r="E402" s="1" t="str">
        <f>"河南工业职业技术学院"</f>
        <v>河南工业职业技术学院</v>
      </c>
      <c r="F402" s="1" t="str">
        <f>"建筑工程学院"</f>
        <v>建筑工程学院</v>
      </c>
      <c r="G402" s="1" t="str">
        <f>"河南省南阳市宛城区建业云境"</f>
        <v>河南省南阳市宛城区建业云境</v>
      </c>
      <c r="H402" s="1" t="str">
        <f t="shared" si="192"/>
        <v>无</v>
      </c>
      <c r="I402" s="1" t="str">
        <f>"201709-202207在河南工业职业技术学院就读建筑工程职业技术全日制"</f>
        <v>201709-202207在河南工业职业技术学院就读建筑工程职业技术全日制</v>
      </c>
    </row>
    <row r="403" spans="1:9">
      <c r="A403" s="1" t="str">
        <f>"411303200104146311"</f>
        <v>411303200104146311</v>
      </c>
      <c r="B403" s="1" t="str">
        <f>"中共党员"</f>
        <v>中共党员</v>
      </c>
      <c r="C403" s="1" t="str">
        <f t="shared" si="191"/>
        <v>本科</v>
      </c>
      <c r="D403" s="1" t="str">
        <f>"20240701"</f>
        <v>20240701</v>
      </c>
      <c r="E403" s="1" t="str">
        <f>"河南财政金融学院"</f>
        <v>河南财政金融学院</v>
      </c>
      <c r="F403" s="1" t="str">
        <f>"汉语言文学"</f>
        <v>汉语言文学</v>
      </c>
      <c r="G403" s="1" t="str">
        <f>"河南省南阳市卧龙区武侯街道亚龙盛世家园"</f>
        <v>河南省南阳市卧龙区武侯街道亚龙盛世家园</v>
      </c>
      <c r="H403" s="1" t="str">
        <f t="shared" si="192"/>
        <v>无</v>
      </c>
      <c r="I403" s="1" t="str">
        <f>"201909-202207商丘师范学院 就读
202209-202407河南财政金融学院 就读
202407-至今 在河南省南阳市待业"</f>
        <v>201909-202207商丘师范学院 就读
202209-202407河南财政金融学院 就读
202407-至今 在河南省南阳市待业</v>
      </c>
    </row>
    <row r="404" spans="1:9">
      <c r="A404" s="1" t="str">
        <f>"411327199910190320"</f>
        <v>411327199910190320</v>
      </c>
      <c r="B404" s="1" t="str">
        <f t="shared" ref="B404:B407" si="193">"共青团员"</f>
        <v>共青团员</v>
      </c>
      <c r="C404" s="1" t="str">
        <f>"硕士研究生"</f>
        <v>硕士研究生</v>
      </c>
      <c r="D404" s="1" t="str">
        <f>"20250615"</f>
        <v>20250615</v>
      </c>
      <c r="E404" s="1" t="str">
        <f>"西南交通大学"</f>
        <v>西南交通大学</v>
      </c>
      <c r="F404" s="1" t="str">
        <f>"英语笔译"</f>
        <v>英语笔译</v>
      </c>
      <c r="G404" s="1" t="str">
        <f>"河南省内乡县大桥乡新街"</f>
        <v>河南省内乡县大桥乡新街</v>
      </c>
      <c r="H404" s="1" t="str">
        <f t="shared" si="192"/>
        <v>无</v>
      </c>
      <c r="I404" s="1" t="str">
        <f>"201709-202106 西南交通大学就读 外国语学院英语专业 全日制
202106-202209 考研
202209-202506 西南交通大学就读 外国语学院英语笔译专业 全日制"</f>
        <v>201709-202106 西南交通大学就读 外国语学院英语专业 全日制
202106-202209 考研
202209-202506 西南交通大学就读 外国语学院英语笔译专业 全日制</v>
      </c>
    </row>
    <row r="405" spans="1:9">
      <c r="A405" s="1" t="str">
        <f>"410185200103180019"</f>
        <v>410185200103180019</v>
      </c>
      <c r="B405" s="1" t="str">
        <f t="shared" si="193"/>
        <v>共青团员</v>
      </c>
      <c r="C405" s="1" t="str">
        <f>"本科"</f>
        <v>本科</v>
      </c>
      <c r="D405" s="1" t="str">
        <f>"20230619"</f>
        <v>20230619</v>
      </c>
      <c r="E405" s="1" t="str">
        <f>"天津职业技术师范大学"</f>
        <v>天津职业技术师范大学</v>
      </c>
      <c r="F405" s="1" t="str">
        <f>"动画"</f>
        <v>动画</v>
      </c>
      <c r="G405" s="1" t="str">
        <f>"河南省郑州市登封市嵩基鸿润城"</f>
        <v>河南省郑州市登封市嵩基鸿润城</v>
      </c>
      <c r="H405" s="1" t="str">
        <f t="shared" si="192"/>
        <v>无</v>
      </c>
      <c r="I405" s="1" t="str">
        <f>"201909-202306 天津职业技术师范大学艺术学院动画专业就读 全日制本科
202306-202309在家待业
202310-至今 登封市万帮人力资源有限公司"</f>
        <v>201909-202306 天津职业技术师范大学艺术学院动画专业就读 全日制本科
202306-202309在家待业
202310-至今 登封市万帮人力资源有限公司</v>
      </c>
    </row>
    <row r="406" spans="1:9">
      <c r="A406" s="1" t="str">
        <f>"411327199710054519"</f>
        <v>411327199710054519</v>
      </c>
      <c r="B406" s="1" t="str">
        <f t="shared" ref="B406:B413" si="194">"群众"</f>
        <v>群众</v>
      </c>
      <c r="C406" s="1" t="str">
        <f t="shared" ref="C406:C408" si="195">"专科"</f>
        <v>专科</v>
      </c>
      <c r="D406" s="1" t="str">
        <f>"201906"</f>
        <v>201906</v>
      </c>
      <c r="E406" s="1" t="str">
        <f>"信阳学院"</f>
        <v>信阳学院</v>
      </c>
      <c r="F406" s="1" t="str">
        <f>"视觉传播设计与制作"</f>
        <v>视觉传播设计与制作</v>
      </c>
      <c r="G406" s="1" t="str">
        <f>"河南省南阳市内乡县明珠花园"</f>
        <v>河南省南阳市内乡县明珠花园</v>
      </c>
      <c r="H406" s="1" t="str">
        <f>"会计从业资格证"</f>
        <v>会计从业资格证</v>
      </c>
      <c r="I406" s="1" t="str">
        <f>"201609-201906在信阳学院视觉传播设计与制作就读，是全日制学历"</f>
        <v>201609-201906在信阳学院视觉传播设计与制作就读，是全日制学历</v>
      </c>
    </row>
    <row r="407" spans="1:9">
      <c r="A407" s="1" t="str">
        <f>"41150320030828002X"</f>
        <v>41150320030828002X</v>
      </c>
      <c r="B407" s="1" t="str">
        <f t="shared" si="193"/>
        <v>共青团员</v>
      </c>
      <c r="C407" s="1" t="str">
        <f t="shared" si="195"/>
        <v>专科</v>
      </c>
      <c r="D407" s="1" t="str">
        <f>"20250607"</f>
        <v>20250607</v>
      </c>
      <c r="E407" s="1" t="str">
        <f>"河南水利与环境职业学院"</f>
        <v>河南水利与环境职业学院</v>
      </c>
      <c r="F407" s="1" t="str">
        <f>"水文与水资源技术"</f>
        <v>水文与水资源技术</v>
      </c>
      <c r="G407" s="1" t="str">
        <f>"河南省信阳市平桥区"</f>
        <v>河南省信阳市平桥区</v>
      </c>
      <c r="H407" s="1" t="str">
        <f t="shared" ref="H407:H414" si="196">"无"</f>
        <v>无</v>
      </c>
      <c r="I407" s="1" t="str">
        <f>"202209-202506 河南水利与环境职业学院 水利系-水文与水资源技术"</f>
        <v>202209-202506 河南水利与环境职业学院 水利系-水文与水资源技术</v>
      </c>
    </row>
    <row r="408" spans="1:9">
      <c r="A408" s="1" t="str">
        <f>"410727199109147811"</f>
        <v>410727199109147811</v>
      </c>
      <c r="B408" s="1" t="str">
        <f t="shared" si="194"/>
        <v>群众</v>
      </c>
      <c r="C408" s="1" t="str">
        <f t="shared" si="195"/>
        <v>专科</v>
      </c>
      <c r="D408" s="1" t="str">
        <f>"20120701"</f>
        <v>20120701</v>
      </c>
      <c r="E408" s="1" t="str">
        <f>"河南商业高等专科学校"</f>
        <v>河南商业高等专科学校</v>
      </c>
      <c r="F408" s="1" t="str">
        <f>"广告设计与制作"</f>
        <v>广告设计与制作</v>
      </c>
      <c r="G408" s="1" t="str">
        <f>"河南省新乡市封丘县城关镇健康路559号"</f>
        <v>河南省新乡市封丘县城关镇健康路559号</v>
      </c>
      <c r="H408" s="1" t="str">
        <f>"教师资格证书"</f>
        <v>教师资格证书</v>
      </c>
      <c r="I408" s="1" t="str">
        <f>"2006年9月至2009年7月，就读于河南省封丘县第一中学
2009年9月至2012年7月，就读于河南商业高等专科学校广告设计与制作专业
2012年8月至2013年10月，待业期间
2013年11月至2015年12月，郑州金星啤酒有限公司工作
2016年1月至2017年5月，待业期间
2017年6月至2017年11月，北京外企人力资源服务河南有限公司工作
2017年12月至2018年5月，待业期间
2018年6月至今，封丘县社会保险中心工作"</f>
        <v>2006年9月至2009年7月，就读于河南省封丘县第一中学
2009年9月至2012年7月，就读于河南商业高等专科学校广告设计与制作专业
2012年8月至2013年10月，待业期间
2013年11月至2015年12月，郑州金星啤酒有限公司工作
2016年1月至2017年5月，待业期间
2017年6月至2017年11月，北京外企人力资源服务河南有限公司工作
2017年12月至2018年5月，待业期间
2018年6月至今，封丘县社会保险中心工作</v>
      </c>
    </row>
    <row r="409" spans="1:9">
      <c r="A409" s="1" t="str">
        <f>"412824199504082614"</f>
        <v>412824199504082614</v>
      </c>
      <c r="B409" s="1" t="str">
        <f t="shared" si="194"/>
        <v>群众</v>
      </c>
      <c r="C409" s="1" t="str">
        <f>"硕士研究生"</f>
        <v>硕士研究生</v>
      </c>
      <c r="D409" s="1" t="str">
        <f>"20250620"</f>
        <v>20250620</v>
      </c>
      <c r="E409" s="1" t="str">
        <f>"西南民族大学"</f>
        <v>西南民族大学</v>
      </c>
      <c r="F409" s="1" t="str">
        <f>"中国哲学"</f>
        <v>中国哲学</v>
      </c>
      <c r="G409" s="1" t="str">
        <f>"河南省西平县柏城商场附近"</f>
        <v>河南省西平县柏城商场附近</v>
      </c>
      <c r="H409" s="1" t="str">
        <f t="shared" si="196"/>
        <v>无</v>
      </c>
      <c r="I409" s="1" t="str">
        <f>"201409—201907河南医药大学 就读 本科
201908—202204达州南方医院 工作
202209—202506西南民族大学 就读 研究生"</f>
        <v>201409—201907河南医药大学 就读 本科
201908—202204达州南方医院 工作
202209—202506西南民族大学 就读 研究生</v>
      </c>
    </row>
    <row r="410" spans="1:9">
      <c r="A410" s="1" t="str">
        <f>"410927200010017028"</f>
        <v>410927200010017028</v>
      </c>
      <c r="B410" s="1" t="str">
        <f t="shared" si="194"/>
        <v>群众</v>
      </c>
      <c r="C410" s="1" t="str">
        <f t="shared" ref="C410:C413" si="197">"本科"</f>
        <v>本科</v>
      </c>
      <c r="D410" s="1" t="str">
        <f>"20220701"</f>
        <v>20220701</v>
      </c>
      <c r="E410" s="1" t="str">
        <f>"郑州科技学院"</f>
        <v>郑州科技学院</v>
      </c>
      <c r="F410" s="1" t="str">
        <f>"经济学"</f>
        <v>经济学</v>
      </c>
      <c r="G410" s="1" t="str">
        <f>"河南省濮阳市台前县打渔陈乡三官庙村"</f>
        <v>河南省濮阳市台前县打渔陈乡三官庙村</v>
      </c>
      <c r="H410" s="1" t="str">
        <f t="shared" si="196"/>
        <v>无</v>
      </c>
      <c r="I410" s="1" t="str">
        <f>"201809-202207 郑州科技学院就读；
202207-至今 待业。"</f>
        <v>201809-202207 郑州科技学院就读；
202207-至今 待业。</v>
      </c>
    </row>
    <row r="411" spans="1:9">
      <c r="A411" s="1" t="str">
        <f>"412801200301270616"</f>
        <v>412801200301270616</v>
      </c>
      <c r="B411" s="1" t="str">
        <f t="shared" si="194"/>
        <v>群众</v>
      </c>
      <c r="C411" s="1" t="str">
        <f>"专科"</f>
        <v>专科</v>
      </c>
      <c r="D411" s="1" t="str">
        <f>"20240630"</f>
        <v>20240630</v>
      </c>
      <c r="E411" s="1" t="str">
        <f>"郑州信息工程职业学院"</f>
        <v>郑州信息工程职业学院</v>
      </c>
      <c r="F411" s="1" t="str">
        <f>"学前教育"</f>
        <v>学前教育</v>
      </c>
      <c r="G411" s="1" t="str">
        <f>"463000"</f>
        <v>463000</v>
      </c>
      <c r="H411" s="1" t="str">
        <f t="shared" si="196"/>
        <v>无</v>
      </c>
      <c r="I411" s="1" t="str">
        <f>"20210901----20240630在郑州信息工程职业学院就读"</f>
        <v>20210901----20240630在郑州信息工程职业学院就读</v>
      </c>
    </row>
    <row r="412" spans="1:9">
      <c r="A412" s="1" t="str">
        <f>"411327199405113914"</f>
        <v>411327199405113914</v>
      </c>
      <c r="B412" s="1" t="str">
        <f t="shared" si="194"/>
        <v>群众</v>
      </c>
      <c r="C412" s="1" t="str">
        <f t="shared" si="197"/>
        <v>本科</v>
      </c>
      <c r="D412" s="1" t="str">
        <f>"20250715"</f>
        <v>20250715</v>
      </c>
      <c r="E412" s="1" t="str">
        <f>"长春大学"</f>
        <v>长春大学</v>
      </c>
      <c r="F412" s="1" t="str">
        <f>"汉语言文学"</f>
        <v>汉语言文学</v>
      </c>
      <c r="G412" s="1" t="str">
        <f>"河南省南阳市内乡县城关镇宏达南路"</f>
        <v>河南省南阳市内乡县城关镇宏达南路</v>
      </c>
      <c r="H412" s="1" t="str">
        <f t="shared" si="196"/>
        <v>无</v>
      </c>
      <c r="I412" s="1" t="str">
        <f>"201209--201507 在漯河食品职业学院经济管理系全日制就读，201507--202201自主创业，202305--202507 成人教育于长春大学汉语言文学系"</f>
        <v>201209--201507 在漯河食品职业学院经济管理系全日制就读，201507--202201自主创业，202305--202507 成人教育于长春大学汉语言文学系</v>
      </c>
    </row>
    <row r="413" spans="1:9">
      <c r="A413" s="1" t="str">
        <f>"411327200112094524"</f>
        <v>411327200112094524</v>
      </c>
      <c r="B413" s="1" t="str">
        <f t="shared" si="194"/>
        <v>群众</v>
      </c>
      <c r="C413" s="1" t="str">
        <f t="shared" si="197"/>
        <v>本科</v>
      </c>
      <c r="D413" s="1" t="str">
        <f>"20230701"</f>
        <v>20230701</v>
      </c>
      <c r="E413" s="1" t="str">
        <f>"安阳学院"</f>
        <v>安阳学院</v>
      </c>
      <c r="F413" s="1" t="str">
        <f>"汉语言文学"</f>
        <v>汉语言文学</v>
      </c>
      <c r="G413" s="1" t="str">
        <f>"河南省南阳市内乡县"</f>
        <v>河南省南阳市内乡县</v>
      </c>
      <c r="H413" s="1" t="str">
        <f t="shared" si="196"/>
        <v>无</v>
      </c>
      <c r="I413" s="1" t="str">
        <f>"201909-202307  安阳学院全日制汉语言文学专业就读
202307-至今       内乡县郦都学校担任语文教师"</f>
        <v>201909-202307  安阳学院全日制汉语言文学专业就读
202307-至今       内乡县郦都学校担任语文教师</v>
      </c>
    </row>
    <row r="414" spans="1:9">
      <c r="A414" s="1" t="str">
        <f>"411381200112184229"</f>
        <v>411381200112184229</v>
      </c>
      <c r="B414" s="1" t="str">
        <f t="shared" ref="B414:B419" si="198">"共青团员"</f>
        <v>共青团员</v>
      </c>
      <c r="C414" s="1" t="str">
        <f>"专科"</f>
        <v>专科</v>
      </c>
      <c r="D414" s="1" t="str">
        <f>"20220630"</f>
        <v>20220630</v>
      </c>
      <c r="E414" s="1" t="str">
        <f>"平顶山职业技术学院"</f>
        <v>平顶山职业技术学院</v>
      </c>
      <c r="F414" s="1" t="str">
        <f>"小学教育（师范）"</f>
        <v>小学教育（师范）</v>
      </c>
      <c r="G414" s="1" t="str">
        <f>"河南省南阳市邓州市十林镇大东村"</f>
        <v>河南省南阳市邓州市十林镇大东村</v>
      </c>
      <c r="H414" s="1" t="str">
        <f t="shared" si="196"/>
        <v>无</v>
      </c>
      <c r="I414" s="1" t="str">
        <f>"202009-202306平顶山职业技术学院就读，小学教育专业，全日制大专。"</f>
        <v>202009-202306平顶山职业技术学院就读，小学教育专业，全日制大专。</v>
      </c>
    </row>
    <row r="415" spans="1:9">
      <c r="A415" s="1" t="str">
        <f>"411330200102161525"</f>
        <v>411330200102161525</v>
      </c>
      <c r="B415" s="1" t="str">
        <f t="shared" si="198"/>
        <v>共青团员</v>
      </c>
      <c r="C415" s="1" t="str">
        <f t="shared" ref="C415:C421" si="199">"本科"</f>
        <v>本科</v>
      </c>
      <c r="D415" s="1" t="str">
        <f>"20240701"</f>
        <v>20240701</v>
      </c>
      <c r="E415" s="1" t="str">
        <f>"黄河交通学院"</f>
        <v>黄河交通学院</v>
      </c>
      <c r="F415" s="1" t="str">
        <f>"审计学"</f>
        <v>审计学</v>
      </c>
      <c r="G415" s="1" t="str">
        <f>"河南省南阳市西峡县紫金路帝景天城"</f>
        <v>河南省南阳市西峡县紫金路帝景天城</v>
      </c>
      <c r="H415" s="1" t="str">
        <f>"初级会计证 初级中学教师资格证"</f>
        <v>初级会计证 初级中学教师资格证</v>
      </c>
      <c r="I415" s="1" t="str">
        <f>"202009-202407黄河交通学院经济管理学院审计学就读是全日制学历
202407至今居家待业"</f>
        <v>202009-202407黄河交通学院经济管理学院审计学就读是全日制学历
202407至今居家待业</v>
      </c>
    </row>
    <row r="416" spans="1:9">
      <c r="A416" s="1" t="str">
        <f>"412825200204152512"</f>
        <v>412825200204152512</v>
      </c>
      <c r="B416" s="1" t="str">
        <f t="shared" ref="B416:B418" si="200">"群众"</f>
        <v>群众</v>
      </c>
      <c r="C416" s="1" t="str">
        <f t="shared" si="199"/>
        <v>本科</v>
      </c>
      <c r="D416" s="1" t="str">
        <f>"20240630"</f>
        <v>20240630</v>
      </c>
      <c r="E416" s="1" t="str">
        <f>"湖北经济学院"</f>
        <v>湖北经济学院</v>
      </c>
      <c r="F416" s="1" t="str">
        <f>"旅游管理"</f>
        <v>旅游管理</v>
      </c>
      <c r="G416" s="1" t="str">
        <f>"河南省驻马店市上蔡县洙湖镇"</f>
        <v>河南省驻马店市上蔡县洙湖镇</v>
      </c>
      <c r="H416" s="1" t="str">
        <f t="shared" ref="H416:H418" si="201">"无"</f>
        <v>无</v>
      </c>
      <c r="I416" s="1" t="str">
        <f>"202009-202406 湖北经济学院旅游与酒店管理学院旅游管理专业就读"</f>
        <v>202009-202406 湖北经济学院旅游与酒店管理学院旅游管理专业就读</v>
      </c>
    </row>
    <row r="417" spans="1:9">
      <c r="A417" s="1" t="str">
        <f>"410324200301073917"</f>
        <v>410324200301073917</v>
      </c>
      <c r="B417" s="1" t="str">
        <f t="shared" si="200"/>
        <v>群众</v>
      </c>
      <c r="C417" s="1" t="str">
        <f>"专科"</f>
        <v>专科</v>
      </c>
      <c r="D417" s="1" t="str">
        <f>"2025.6.13"</f>
        <v>2025.6.13</v>
      </c>
      <c r="E417" s="1" t="str">
        <f>"河南水利与环境职业学院"</f>
        <v>河南水利与环境职业学院</v>
      </c>
      <c r="F417" s="1" t="str">
        <f>"水利水电工程智能管理"</f>
        <v>水利水电工程智能管理</v>
      </c>
      <c r="G417" s="1" t="str">
        <f>"河南省洛阳市栾川县赤土店镇"</f>
        <v>河南省洛阳市栾川县赤土店镇</v>
      </c>
      <c r="H417" s="1" t="str">
        <f t="shared" si="201"/>
        <v>无</v>
      </c>
      <c r="I417" s="1" t="str">
        <f>"2022年9月至2025年6月在河南水利与环境职业学院水利工程系水利水电工程智能管理专业就读"</f>
        <v>2022年9月至2025年6月在河南水利与环境职业学院水利工程系水利水电工程智能管理专业就读</v>
      </c>
    </row>
    <row r="418" spans="1:9">
      <c r="A418" s="1" t="str">
        <f>"412826199508274915"</f>
        <v>412826199508274915</v>
      </c>
      <c r="B418" s="1" t="str">
        <f t="shared" si="200"/>
        <v>群众</v>
      </c>
      <c r="C418" s="1" t="str">
        <f t="shared" si="199"/>
        <v>本科</v>
      </c>
      <c r="D418" s="1" t="str">
        <f>"20190701"</f>
        <v>20190701</v>
      </c>
      <c r="E418" s="1" t="str">
        <f>"河南财经政法大学"</f>
        <v>河南财经政法大学</v>
      </c>
      <c r="F418" s="1" t="str">
        <f>"法学（检察方向）"</f>
        <v>法学（检察方向）</v>
      </c>
      <c r="G418" s="1" t="str">
        <f>"河南省汝南县梁祝大道与英才路交叉口南100米"</f>
        <v>河南省汝南县梁祝大道与英才路交叉口南100米</v>
      </c>
      <c r="H418" s="1" t="str">
        <f t="shared" si="201"/>
        <v>无</v>
      </c>
      <c r="I418" s="1" t="str">
        <f>"201509-201907，河南财经政法大学 检察学院 法学（检察方向），全日制学历；
201907-202012，待业；
202101-202507，驻马店市保安服务有限公司汝南县分公司；"</f>
        <v>201509-201907，河南财经政法大学 检察学院 法学（检察方向），全日制学历；
201907-202012，待业；
202101-202507，驻马店市保安服务有限公司汝南县分公司；</v>
      </c>
    </row>
    <row r="419" spans="1:9">
      <c r="A419" s="1" t="str">
        <f>"412727200009135722"</f>
        <v>412727200009135722</v>
      </c>
      <c r="B419" s="1" t="str">
        <f t="shared" si="198"/>
        <v>共青团员</v>
      </c>
      <c r="C419" s="1" t="str">
        <f t="shared" si="199"/>
        <v>本科</v>
      </c>
      <c r="D419" s="1" t="str">
        <f>"20240701"</f>
        <v>20240701</v>
      </c>
      <c r="E419" s="1" t="str">
        <f>"郑州轻工业大学"</f>
        <v>郑州轻工业大学</v>
      </c>
      <c r="F419" s="1" t="str">
        <f>"财务管理"</f>
        <v>财务管理</v>
      </c>
      <c r="G419" s="1" t="str">
        <f>"河南省周口市淮阳区刘振屯乡"</f>
        <v>河南省周口市淮阳区刘振屯乡</v>
      </c>
      <c r="H419" s="1" t="str">
        <f>"初级会计资格证"</f>
        <v>初级会计资格证</v>
      </c>
      <c r="I419" s="1" t="str">
        <f>"202009-202407 郑州轻工业大学经济与管理学院财务管理专业就读 ，全日制学历；
202407-202507 河南省周口市淮阳区刘振屯乡待业"</f>
        <v>202009-202407 郑州轻工业大学经济与管理学院财务管理专业就读 ，全日制学历；
202407-202507 河南省周口市淮阳区刘振屯乡待业</v>
      </c>
    </row>
    <row r="420" spans="1:9">
      <c r="A420" s="1" t="str">
        <f>"411327199504060029"</f>
        <v>411327199504060029</v>
      </c>
      <c r="B420" s="1" t="str">
        <f t="shared" ref="B420:B425" si="202">"群众"</f>
        <v>群众</v>
      </c>
      <c r="C420" s="1" t="str">
        <f t="shared" si="199"/>
        <v>本科</v>
      </c>
      <c r="D420" s="1" t="str">
        <f>"201861"</f>
        <v>201861</v>
      </c>
      <c r="E420" s="1" t="str">
        <f>"安阳师范学院"</f>
        <v>安阳师范学院</v>
      </c>
      <c r="F420" s="1" t="str">
        <f>"摄影"</f>
        <v>摄影</v>
      </c>
      <c r="G420" s="1" t="str">
        <f>"河南省南阳市内乡县郦都大道"</f>
        <v>河南省南阳市内乡县郦都大道</v>
      </c>
      <c r="H420" s="1" t="str">
        <f>"初中语文教资"</f>
        <v>初中语文教资</v>
      </c>
      <c r="I420" s="1" t="str">
        <f>"201409-201806就读于安阳师范学院美术专业摄影，全日制
2018-2019待业
2019-至今就职于灌涨镇初级中学教师
"</f>
        <v>201409-201806就读于安阳师范学院美术专业摄影，全日制
2018-2019待业
2019-至今就职于灌涨镇初级中学教师
</v>
      </c>
    </row>
    <row r="421" spans="1:9">
      <c r="A421" s="1" t="str">
        <f>"41132420020926552X"</f>
        <v>41132420020926552X</v>
      </c>
      <c r="B421" s="1" t="str">
        <f t="shared" ref="B421:B426" si="203">"共青团员"</f>
        <v>共青团员</v>
      </c>
      <c r="C421" s="1" t="str">
        <f t="shared" si="199"/>
        <v>本科</v>
      </c>
      <c r="D421" s="1" t="str">
        <f>"2024.6.6"</f>
        <v>2024.6.6</v>
      </c>
      <c r="E421" s="1" t="str">
        <f>"信阳学院"</f>
        <v>信阳学院</v>
      </c>
      <c r="F421" s="1" t="str">
        <f>"数学与应用数学"</f>
        <v>数学与应用数学</v>
      </c>
      <c r="G421" s="1" t="str">
        <f>"河南省南阳市"</f>
        <v>河南省南阳市</v>
      </c>
      <c r="H421" s="1" t="str">
        <f t="shared" ref="H421:H425" si="204">"无"</f>
        <v>无</v>
      </c>
      <c r="I421" s="1" t="str">
        <f>"2020.09.12-2024.06.06信阳学院就读
数学与应用数学专业
全日制本科"</f>
        <v>2020.09.12-2024.06.06信阳学院就读
数学与应用数学专业
全日制本科</v>
      </c>
    </row>
    <row r="422" spans="1:9">
      <c r="A422" s="1" t="str">
        <f>"411324200208160021"</f>
        <v>411324200208160021</v>
      </c>
      <c r="B422" s="1" t="str">
        <f t="shared" si="203"/>
        <v>共青团员</v>
      </c>
      <c r="C422" s="1" t="str">
        <f>"专科"</f>
        <v>专科</v>
      </c>
      <c r="D422" s="1" t="str">
        <f>"2024-07-01"</f>
        <v>2024-07-01</v>
      </c>
      <c r="E422" s="1" t="str">
        <f>"河南应用技术职业学院"</f>
        <v>河南应用技术职业学院</v>
      </c>
      <c r="F422" s="1" t="str">
        <f>"大数据与会计（中外合作办学）"</f>
        <v>大数据与会计（中外合作办学）</v>
      </c>
      <c r="G422" s="1" t="str">
        <f>"河南省南阳市镇平县三里河村"</f>
        <v>河南省南阳市镇平县三里河村</v>
      </c>
      <c r="H422" s="1" t="str">
        <f t="shared" si="204"/>
        <v>无</v>
      </c>
      <c r="I422" s="1" t="str">
        <f>"2021年09.01——2024年07.01河南应用技术职业学院大数据与会计（中外合作办）专业就读"</f>
        <v>2021年09.01——2024年07.01河南应用技术职业学院大数据与会计（中外合作办）专业就读</v>
      </c>
    </row>
    <row r="423" spans="1:9">
      <c r="A423" s="1" t="str">
        <f>"411302200009281316"</f>
        <v>411302200009281316</v>
      </c>
      <c r="B423" s="1" t="str">
        <f t="shared" si="202"/>
        <v>群众</v>
      </c>
      <c r="C423" s="1" t="str">
        <f t="shared" ref="C423:C427" si="205">"本科"</f>
        <v>本科</v>
      </c>
      <c r="D423" s="1" t="str">
        <f>"20220607"</f>
        <v>20220607</v>
      </c>
      <c r="E423" s="1" t="str">
        <f>"郑州工商学院"</f>
        <v>郑州工商学院</v>
      </c>
      <c r="F423" s="1" t="str">
        <f>"视觉传达设计"</f>
        <v>视觉传达设计</v>
      </c>
      <c r="G423" s="1" t="str">
        <f>"河南省南阳市卧龙区十三中北校区家属院"</f>
        <v>河南省南阳市卧龙区十三中北校区家属院</v>
      </c>
      <c r="H423" s="1" t="str">
        <f t="shared" si="204"/>
        <v>无</v>
      </c>
      <c r="I423" s="1" t="str">
        <f>"202109-202306郑州工商学院 就读 视觉传达设计专业 全日制学历
202307-202310 颐韵广告 担任设计师工作
202311-202410 南阳市无人机产业协会担任摄影师工作
202410至今 南阳市吉利汽车天义豪4s店担任网销经理工作"</f>
        <v>202109-202306郑州工商学院 就读 视觉传达设计专业 全日制学历
202307-202310 颐韵广告 担任设计师工作
202311-202410 南阳市无人机产业协会担任摄影师工作
202410至今 南阳市吉利汽车天义豪4s店担任网销经理工作</v>
      </c>
    </row>
    <row r="424" spans="1:9">
      <c r="A424" s="1" t="str">
        <f>"411327199907141528"</f>
        <v>411327199907141528</v>
      </c>
      <c r="B424" s="1" t="str">
        <f t="shared" si="202"/>
        <v>群众</v>
      </c>
      <c r="C424" s="1" t="str">
        <f t="shared" si="205"/>
        <v>本科</v>
      </c>
      <c r="D424" s="1" t="str">
        <f>"20210607"</f>
        <v>20210607</v>
      </c>
      <c r="E424" s="1" t="str">
        <f>"河南师范大学新联学院"</f>
        <v>河南师范大学新联学院</v>
      </c>
      <c r="F424" s="1" t="str">
        <f>"产品设计"</f>
        <v>产品设计</v>
      </c>
      <c r="G424" s="1" t="str">
        <f>"河南省南阳市内乡县"</f>
        <v>河南省南阳市内乡县</v>
      </c>
      <c r="H424" s="1" t="str">
        <f t="shared" si="204"/>
        <v>无</v>
      </c>
      <c r="I424" s="1" t="str">
        <f>"201409-201706就读于内乡第一高级中学。
201709-202106就读于全日制河南师范大学新联学院，产品设计专业。
202109-202205于内乡复兴学校担任初中美术教师一职。
202208-至今于河南双庭建筑工程有限公司担任设计一职。"</f>
        <v>201409-201706就读于内乡第一高级中学。
201709-202106就读于全日制河南师范大学新联学院，产品设计专业。
202109-202205于内乡复兴学校担任初中美术教师一职。
202208-至今于河南双庭建筑工程有限公司担任设计一职。</v>
      </c>
    </row>
    <row r="425" spans="1:9">
      <c r="A425" s="1" t="str">
        <f>"411327200203301525"</f>
        <v>411327200203301525</v>
      </c>
      <c r="B425" s="1" t="str">
        <f t="shared" si="202"/>
        <v>群众</v>
      </c>
      <c r="C425" s="1" t="str">
        <f t="shared" si="205"/>
        <v>本科</v>
      </c>
      <c r="D425" s="1" t="str">
        <f>"20250605"</f>
        <v>20250605</v>
      </c>
      <c r="E425" s="1" t="str">
        <f>"郑州商学院"</f>
        <v>郑州商学院</v>
      </c>
      <c r="F425" s="1" t="str">
        <f>"工程管理"</f>
        <v>工程管理</v>
      </c>
      <c r="G425" s="1" t="str">
        <f>"河南省南阳市内乡县湍东镇恐龙塔"</f>
        <v>河南省南阳市内乡县湍东镇恐龙塔</v>
      </c>
      <c r="H425" s="1" t="str">
        <f t="shared" si="204"/>
        <v>无</v>
      </c>
      <c r="I425" s="1" t="str">
        <f>"202009-202306就读于黄河科技学院，城市轨道交通运营管理专业，全日制学历。
202309-202506就读于郑州商学院，工程管理专业，全日制学历。"</f>
        <v>202009-202306就读于黄河科技学院，城市轨道交通运营管理专业，全日制学历。
202309-202506就读于郑州商学院，工程管理专业，全日制学历。</v>
      </c>
    </row>
    <row r="426" spans="1:9">
      <c r="A426" s="1" t="str">
        <f>"411528200308210029"</f>
        <v>411528200308210029</v>
      </c>
      <c r="B426" s="1" t="str">
        <f t="shared" si="203"/>
        <v>共青团员</v>
      </c>
      <c r="C426" s="1" t="str">
        <f t="shared" si="205"/>
        <v>本科</v>
      </c>
      <c r="D426" s="1" t="str">
        <f>"20250520"</f>
        <v>20250520</v>
      </c>
      <c r="E426" s="1" t="str">
        <f>"北京工业大学耿丹学院"</f>
        <v>北京工业大学耿丹学院</v>
      </c>
      <c r="F426" s="1" t="str">
        <f>"应用心理学"</f>
        <v>应用心理学</v>
      </c>
      <c r="G426" s="1" t="str">
        <f>"河南省信阳市息县谯楼街教育小区"</f>
        <v>河南省信阳市息县谯楼街教育小区</v>
      </c>
      <c r="H426" s="1" t="str">
        <f>"有《中科院心研所心理咨询师合格证书》"</f>
        <v>有《中科院心研所心理咨询师合格证书》</v>
      </c>
      <c r="I426" s="1" t="str">
        <f>"202109-202506 北京工业大学耿丹学院  人文学院 应用心理学专业就读 全日制本科"</f>
        <v>202109-202506 北京工业大学耿丹学院  人文学院 应用心理学专业就读 全日制本科</v>
      </c>
    </row>
    <row r="427" spans="1:9">
      <c r="A427" s="1" t="str">
        <f>"411327199706230014"</f>
        <v>411327199706230014</v>
      </c>
      <c r="B427" s="1" t="str">
        <f t="shared" ref="B427:B431" si="206">"群众"</f>
        <v>群众</v>
      </c>
      <c r="C427" s="1" t="str">
        <f t="shared" si="205"/>
        <v>本科</v>
      </c>
      <c r="D427" s="1" t="str">
        <f>"20190701"</f>
        <v>20190701</v>
      </c>
      <c r="E427" s="1" t="str">
        <f>"黄河科技学院"</f>
        <v>黄河科技学院</v>
      </c>
      <c r="F427" s="1" t="str">
        <f>"土木工程"</f>
        <v>土木工程</v>
      </c>
      <c r="G427" s="1" t="str">
        <f>"河南省南阳市内乡县城关镇清心路姜记面馆对面"</f>
        <v>河南省南阳市内乡县城关镇清心路姜记面馆对面</v>
      </c>
      <c r="H427" s="1" t="str">
        <f t="shared" ref="H427:H442" si="207">"无"</f>
        <v>无</v>
      </c>
      <c r="I427" s="1" t="str">
        <f>"201509-201906 黄河科技学院应用技术学院土木工程专业就读，全日制学历"</f>
        <v>201509-201906 黄河科技学院应用技术学院土木工程专业就读，全日制学历</v>
      </c>
    </row>
    <row r="428" spans="1:9">
      <c r="A428" s="1" t="str">
        <f>"411327200101291557"</f>
        <v>411327200101291557</v>
      </c>
      <c r="B428" s="1" t="str">
        <f t="shared" si="206"/>
        <v>群众</v>
      </c>
      <c r="C428" s="1" t="str">
        <f t="shared" ref="C428:C433" si="208">"专科"</f>
        <v>专科</v>
      </c>
      <c r="D428" s="1" t="str">
        <f>"20240616"</f>
        <v>20240616</v>
      </c>
      <c r="E428" s="1" t="str">
        <f>"湖北铁道运输职业学院"</f>
        <v>湖北铁道运输职业学院</v>
      </c>
      <c r="F428" s="1" t="str">
        <f>"铁道机车运用于维护"</f>
        <v>铁道机车运用于维护</v>
      </c>
      <c r="G428" s="1" t="str">
        <f>"河南省南阳市内乡县湍东镇北符营村"</f>
        <v>河南省南阳市内乡县湍东镇北符营村</v>
      </c>
      <c r="H428" s="1" t="str">
        <f>"红十字救援活动证书，中级电工等级证，焊接与热切割操作证"</f>
        <v>红十字救援活动证书，中级电工等级证，焊接与热切割操作证</v>
      </c>
      <c r="I428" s="1" t="str">
        <f>"201709-201906学年就读于内乡县复兴学校。                               201909-202106就读于内乡县第三高级中学
202109-202406学年就读于湖北铁道运输职业学院，机车车辆系，铁道机车运用与维护专业，是全日制学历。"</f>
        <v>201709-201906学年就读于内乡县复兴学校。                               201909-202106就读于内乡县第三高级中学
202109-202406学年就读于湖北铁道运输职业学院，机车车辆系，铁道机车运用与维护专业，是全日制学历。</v>
      </c>
    </row>
    <row r="429" spans="1:9">
      <c r="A429" s="1" t="str">
        <f>"411082200003067824"</f>
        <v>411082200003067824</v>
      </c>
      <c r="B429" s="1" t="str">
        <f>"共青团员"</f>
        <v>共青团员</v>
      </c>
      <c r="C429" s="1" t="str">
        <f t="shared" ref="C429:C431" si="209">"本科"</f>
        <v>本科</v>
      </c>
      <c r="D429" s="1" t="str">
        <f>"20210628"</f>
        <v>20210628</v>
      </c>
      <c r="E429" s="1" t="str">
        <f>"辽宁科技大学"</f>
        <v>辽宁科技大学</v>
      </c>
      <c r="F429" s="1" t="str">
        <f>"环境工程"</f>
        <v>环境工程</v>
      </c>
      <c r="G429" s="1" t="str">
        <f>"河南省许昌市长葛市建业春天里"</f>
        <v>河南省许昌市长葛市建业春天里</v>
      </c>
      <c r="H429" s="1" t="str">
        <f t="shared" si="207"/>
        <v>无</v>
      </c>
      <c r="I429" s="1" t="str">
        <f>"201709-202106 在辽宁科技大学化学工程学院环境工程专业就读
202106-202307 在河南省长葛市待业
202307-202409 在鹤壁市信和药业有限公司任环保专员
202409至今 在河南省长葛市待业"</f>
        <v>201709-202106 在辽宁科技大学化学工程学院环境工程专业就读
202106-202307 在河南省长葛市待业
202307-202409 在鹤壁市信和药业有限公司任环保专员
202409至今 在河南省长葛市待业</v>
      </c>
    </row>
    <row r="430" spans="1:9">
      <c r="A430" s="1" t="str">
        <f>"411321199907190014"</f>
        <v>411321199907190014</v>
      </c>
      <c r="B430" s="1" t="str">
        <f t="shared" si="206"/>
        <v>群众</v>
      </c>
      <c r="C430" s="1" t="str">
        <f t="shared" si="209"/>
        <v>本科</v>
      </c>
      <c r="D430" s="1" t="str">
        <f>"20240701"</f>
        <v>20240701</v>
      </c>
      <c r="E430" s="1" t="str">
        <f>"郑州轻工业大学"</f>
        <v>郑州轻工业大学</v>
      </c>
      <c r="F430" s="1" t="str">
        <f>"公共事业管理"</f>
        <v>公共事业管理</v>
      </c>
      <c r="G430" s="1" t="str">
        <f>"河南省南阳市桐柏县红叶路"</f>
        <v>河南省南阳市桐柏县红叶路</v>
      </c>
      <c r="H430" s="1" t="str">
        <f t="shared" si="207"/>
        <v>无</v>
      </c>
      <c r="I430" s="1" t="str">
        <f>"20170901-20200701 郑州铁路职业技术学院机车车辆学院动车组检修技术专业就读
20220301-20240701 郑州轻工业大学继续教育学院漯河方远电脑职业培训学校公共事业管理专业就读"</f>
        <v>20170901-20200701 郑州铁路职业技术学院机车车辆学院动车组检修技术专业就读
20220301-20240701 郑州轻工业大学继续教育学院漯河方远电脑职业培训学校公共事业管理专业就读</v>
      </c>
    </row>
    <row r="431" spans="1:9">
      <c r="A431" s="1" t="str">
        <f>"411224200310046422"</f>
        <v>411224200310046422</v>
      </c>
      <c r="B431" s="1" t="str">
        <f t="shared" si="206"/>
        <v>群众</v>
      </c>
      <c r="C431" s="1" t="str">
        <f t="shared" si="209"/>
        <v>本科</v>
      </c>
      <c r="D431" s="1" t="str">
        <f>"20250607"</f>
        <v>20250607</v>
      </c>
      <c r="E431" s="1" t="str">
        <f>"黄淮学院"</f>
        <v>黄淮学院</v>
      </c>
      <c r="F431" s="1" t="str">
        <f>"会计学"</f>
        <v>会计学</v>
      </c>
      <c r="G431" s="1" t="str">
        <f>"河南省三门峡市卢氏县"</f>
        <v>河南省三门峡市卢氏县</v>
      </c>
      <c r="H431" s="1" t="str">
        <f t="shared" si="207"/>
        <v>无</v>
      </c>
      <c r="I431" s="1" t="str">
        <f>"202109-202506 黄淮学院国际教育学院会计学就读，是全日制本科"</f>
        <v>202109-202506 黄淮学院国际教育学院会计学就读，是全日制本科</v>
      </c>
    </row>
    <row r="432" spans="1:9">
      <c r="A432" s="1" t="str">
        <f>"411326200310195346"</f>
        <v>411326200310195346</v>
      </c>
      <c r="B432" s="1" t="str">
        <f>"中共党员"</f>
        <v>中共党员</v>
      </c>
      <c r="C432" s="1" t="str">
        <f t="shared" si="208"/>
        <v>专科</v>
      </c>
      <c r="D432" s="1" t="str">
        <f>"2024-07-10"</f>
        <v>2024-07-10</v>
      </c>
      <c r="E432" s="1" t="str">
        <f>"南阳农业职业学院"</f>
        <v>南阳农业职业学院</v>
      </c>
      <c r="F432" s="1" t="str">
        <f>"学前教育"</f>
        <v>学前教育</v>
      </c>
      <c r="G432" s="1" t="str">
        <f>"河南省淅川县商圣街道"</f>
        <v>河南省淅川县商圣街道</v>
      </c>
      <c r="H432" s="1" t="str">
        <f t="shared" si="207"/>
        <v>无</v>
      </c>
      <c r="I432" s="1" t="str">
        <f>"202109-202406  南阳农业职业学院
202406-至今 待业"</f>
        <v>202109-202406  南阳农业职业学院
202406-至今 待业</v>
      </c>
    </row>
    <row r="433" spans="1:9">
      <c r="A433" s="1" t="str">
        <f>"411381200504080429"</f>
        <v>411381200504080429</v>
      </c>
      <c r="B433" s="1" t="str">
        <f t="shared" ref="B433:B435" si="210">"群众"</f>
        <v>群众</v>
      </c>
      <c r="C433" s="1" t="str">
        <f t="shared" si="208"/>
        <v>专科</v>
      </c>
      <c r="D433" s="1" t="str">
        <f>"2025年7月1日"</f>
        <v>2025年7月1日</v>
      </c>
      <c r="E433" s="1" t="str">
        <f>"中原科技学院"</f>
        <v>中原科技学院</v>
      </c>
      <c r="F433" s="1" t="str">
        <f>"小学语文教育"</f>
        <v>小学语文教育</v>
      </c>
      <c r="G433" s="1" t="str">
        <f>"河南省邓州市卫生北路大西关卫生室二楼"</f>
        <v>河南省邓州市卫生北路大西关卫生室二楼</v>
      </c>
      <c r="H433" s="1" t="str">
        <f t="shared" si="207"/>
        <v>无</v>
      </c>
      <c r="I433" s="1" t="str">
        <f>"202209-202507 中原科技学院文学与传媒学院小学语文教育专业就读 全日制学历"</f>
        <v>202209-202507 中原科技学院文学与传媒学院小学语文教育专业就读 全日制学历</v>
      </c>
    </row>
    <row r="434" spans="1:9">
      <c r="A434" s="1" t="str">
        <f>"411224200002049015"</f>
        <v>411224200002049015</v>
      </c>
      <c r="B434" s="1" t="str">
        <f t="shared" si="210"/>
        <v>群众</v>
      </c>
      <c r="C434" s="1" t="str">
        <f t="shared" ref="C434:C446" si="211">"本科"</f>
        <v>本科</v>
      </c>
      <c r="D434" s="1" t="str">
        <f>"20220701"</f>
        <v>20220701</v>
      </c>
      <c r="E434" s="1" t="str">
        <f>"河南理工大学"</f>
        <v>河南理工大学</v>
      </c>
      <c r="F434" s="1" t="str">
        <f>"土木工程专业"</f>
        <v>土木工程专业</v>
      </c>
      <c r="G434" s="1" t="str">
        <f>"河南省卢氏县沙河乡留书村"</f>
        <v>河南省卢氏县沙河乡留书村</v>
      </c>
      <c r="H434" s="1" t="str">
        <f t="shared" si="207"/>
        <v>无</v>
      </c>
      <c r="I434" s="1" t="str">
        <f>"1、201809-202207于河南理工大学土木工程专业就读，四年全日制本科；2、202207-202504于辽宁省路桥建设集团有限公司任职；3、202504-至今待业。"</f>
        <v>1、201809-202207于河南理工大学土木工程专业就读，四年全日制本科；2、202207-202504于辽宁省路桥建设集团有限公司任职；3、202504-至今待业。</v>
      </c>
    </row>
    <row r="435" spans="1:9">
      <c r="A435" s="1" t="str">
        <f>"41132720030901492X"</f>
        <v>41132720030901492X</v>
      </c>
      <c r="B435" s="1" t="str">
        <f t="shared" si="210"/>
        <v>群众</v>
      </c>
      <c r="C435" s="1" t="str">
        <f t="shared" si="211"/>
        <v>本科</v>
      </c>
      <c r="D435" s="1" t="str">
        <f>"20250620"</f>
        <v>20250620</v>
      </c>
      <c r="E435" s="1" t="str">
        <f>"商丘师范学院"</f>
        <v>商丘师范学院</v>
      </c>
      <c r="F435" s="1" t="str">
        <f>"自动化"</f>
        <v>自动化</v>
      </c>
      <c r="G435" s="1" t="str">
        <f>"南阳市内乡县灌涨镇前湾村"</f>
        <v>南阳市内乡县灌涨镇前湾村</v>
      </c>
      <c r="H435" s="1" t="str">
        <f t="shared" si="207"/>
        <v>无</v>
      </c>
      <c r="I435" s="1" t="str">
        <f>"202109-202506商丘师范学院电子电气工程学院自动化专业就读（全日制本科学历）。
202507-至今在家备考。"</f>
        <v>202109-202506商丘师范学院电子电气工程学院自动化专业就读（全日制本科学历）。
202507-至今在家备考。</v>
      </c>
    </row>
    <row r="436" spans="1:9">
      <c r="A436" s="1" t="str">
        <f>"41132719980809253X"</f>
        <v>41132719980809253X</v>
      </c>
      <c r="B436" s="1" t="str">
        <f>"共青团员"</f>
        <v>共青团员</v>
      </c>
      <c r="C436" s="1" t="str">
        <f t="shared" si="211"/>
        <v>本科</v>
      </c>
      <c r="D436" s="1" t="str">
        <f>"20200701"</f>
        <v>20200701</v>
      </c>
      <c r="E436" s="1" t="str">
        <f>"河南师范大学"</f>
        <v>河南师范大学</v>
      </c>
      <c r="F436" s="1" t="str">
        <f>"行政管理"</f>
        <v>行政管理</v>
      </c>
      <c r="G436" s="1" t="str">
        <f>"河南省南阳市内乡县湍东镇七里河畔5号楼1单元"</f>
        <v>河南省南阳市内乡县湍东镇七里河畔5号楼1单元</v>
      </c>
      <c r="H436" s="1" t="str">
        <f t="shared" si="207"/>
        <v>无</v>
      </c>
      <c r="I436" s="1" t="str">
        <f>"201609-202007河南师范大学就读
202007-202202牧原食品有限公司就业
202003-202207在家待业
202208-202301广州市顺兴石场有限公司就业
202302-202507在家待业"</f>
        <v>201609-202007河南师范大学就读
202007-202202牧原食品有限公司就业
202003-202207在家待业
202208-202301广州市顺兴石场有限公司就业
202302-202507在家待业</v>
      </c>
    </row>
    <row r="437" spans="1:9">
      <c r="A437" s="1" t="str">
        <f>"411327200301033325"</f>
        <v>411327200301033325</v>
      </c>
      <c r="B437" s="1" t="str">
        <f>"共青团员"</f>
        <v>共青团员</v>
      </c>
      <c r="C437" s="1" t="str">
        <f t="shared" si="211"/>
        <v>本科</v>
      </c>
      <c r="D437" s="1" t="str">
        <f>"20240610"</f>
        <v>20240610</v>
      </c>
      <c r="E437" s="1" t="str">
        <f>"河南大学民生学院"</f>
        <v>河南大学民生学院</v>
      </c>
      <c r="F437" s="1" t="str">
        <f>"网络与新媒体"</f>
        <v>网络与新媒体</v>
      </c>
      <c r="G437" s="1" t="str">
        <f>"河南省内乡县七里坪乡"</f>
        <v>河南省内乡县七里坪乡</v>
      </c>
      <c r="H437" s="1" t="str">
        <f t="shared" si="207"/>
        <v>无</v>
      </c>
      <c r="I437" s="1" t="str">
        <f>"202009-202406 河南大学民生学院 传播学院 网络与新媒体专业 就读，全日制学历。
202406-至今 在家待业。
"</f>
        <v>202009-202406 河南大学民生学院 传播学院 网络与新媒体专业 就读，全日制学历。
202406-至今 在家待业。
</v>
      </c>
    </row>
    <row r="438" spans="1:9">
      <c r="A438" s="1" t="str">
        <f>"411327199808151157"</f>
        <v>411327199808151157</v>
      </c>
      <c r="B438" s="1" t="str">
        <f t="shared" ref="B438:B445" si="212">"群众"</f>
        <v>群众</v>
      </c>
      <c r="C438" s="1" t="str">
        <f t="shared" si="211"/>
        <v>本科</v>
      </c>
      <c r="D438" s="1" t="str">
        <f>"20210701"</f>
        <v>20210701</v>
      </c>
      <c r="E438" s="1" t="str">
        <f>"郑州工程技术学院"</f>
        <v>郑州工程技术学院</v>
      </c>
      <c r="F438" s="1" t="str">
        <f>"机械设计制造及其自动化"</f>
        <v>机械设计制造及其自动化</v>
      </c>
      <c r="G438" s="1" t="str">
        <f>"河南省南阳市内乡县城关镇菊潭大街"</f>
        <v>河南省南阳市内乡县城关镇菊潭大街</v>
      </c>
      <c r="H438" s="1" t="str">
        <f t="shared" si="207"/>
        <v>无</v>
      </c>
      <c r="I438" s="1" t="str">
        <f>"201709-202107在郑州工程技术学院机械设计制造及其自动化专业就读"</f>
        <v>201709-202107在郑州工程技术学院机械设计制造及其自动化专业就读</v>
      </c>
    </row>
    <row r="439" spans="1:9">
      <c r="A439" s="1" t="str">
        <f>"411327199304030028"</f>
        <v>411327199304030028</v>
      </c>
      <c r="B439" s="1" t="str">
        <f>"中共党员"</f>
        <v>中共党员</v>
      </c>
      <c r="C439" s="1" t="str">
        <f t="shared" si="211"/>
        <v>本科</v>
      </c>
      <c r="D439" s="1" t="str">
        <f>"20151230"</f>
        <v>20151230</v>
      </c>
      <c r="E439" s="1" t="str">
        <f>"河南财经政法大学"</f>
        <v>河南财经政法大学</v>
      </c>
      <c r="F439" s="1" t="str">
        <f>"会计"</f>
        <v>会计</v>
      </c>
      <c r="G439" s="1" t="str">
        <f>"内乡县集贸市场东第二个路口百货仓库院内"</f>
        <v>内乡县集贸市场东第二个路口百货仓库院内</v>
      </c>
      <c r="H439" s="1" t="str">
        <f t="shared" si="207"/>
        <v>无</v>
      </c>
      <c r="I439" s="1" t="str">
        <f>"201209—201507 河南省财政金融学院会计系 全日制专科
201309—201512 河南省财经政法大学自考本科管理系 非全日制
201601—至今 内乡县商业总公司工作
 "</f>
        <v>201209—201507 河南省财政金融学院会计系 全日制专科
201309—201512 河南省财经政法大学自考本科管理系 非全日制
201601—至今 内乡县商业总公司工作
 </v>
      </c>
    </row>
    <row r="440" spans="1:9">
      <c r="A440" s="1" t="str">
        <f>"410327199512135325"</f>
        <v>410327199512135325</v>
      </c>
      <c r="B440" s="1" t="str">
        <f t="shared" si="212"/>
        <v>群众</v>
      </c>
      <c r="C440" s="1" t="str">
        <f t="shared" si="211"/>
        <v>本科</v>
      </c>
      <c r="D440" s="1" t="str">
        <f>"2019-07-01"</f>
        <v>2019-07-01</v>
      </c>
      <c r="E440" s="1" t="str">
        <f>"中原工学院"</f>
        <v>中原工学院</v>
      </c>
      <c r="F440" s="1" t="str">
        <f>"工商管理"</f>
        <v>工商管理</v>
      </c>
      <c r="G440" s="1" t="str">
        <f>"河南省洛阳市宜阳县高村乡汪汴村"</f>
        <v>河南省洛阳市宜阳县高村乡汪汴村</v>
      </c>
      <c r="H440" s="1" t="str">
        <f t="shared" si="207"/>
        <v>无</v>
      </c>
      <c r="I440" s="1" t="str">
        <f>"1.201509-201907：中原工学院、工商管理专业、本科、全日制
2..201907-201910：康桥物业管培生
4.202004-202107：高途课堂辅导老师
5.202210-202302：乐乐课堂辅导老师
6.202303-202507：无工作单位"</f>
        <v>1.201509-201907：中原工学院、工商管理专业、本科、全日制
2..201907-201910：康桥物业管培生
4.202004-202107：高途课堂辅导老师
5.202210-202302：乐乐课堂辅导老师
6.202303-202507：无工作单位</v>
      </c>
    </row>
    <row r="441" spans="1:9">
      <c r="A441" s="1" t="str">
        <f>"411329199208070794"</f>
        <v>411329199208070794</v>
      </c>
      <c r="B441" s="1" t="str">
        <f>"中共党员"</f>
        <v>中共党员</v>
      </c>
      <c r="C441" s="1" t="str">
        <f t="shared" si="211"/>
        <v>本科</v>
      </c>
      <c r="D441" s="1" t="str">
        <f>"20250701"</f>
        <v>20250701</v>
      </c>
      <c r="E441" s="1" t="str">
        <f>"南阳理工学院"</f>
        <v>南阳理工学院</v>
      </c>
      <c r="F441" s="1" t="str">
        <f>"汉语言文学"</f>
        <v>汉语言文学</v>
      </c>
      <c r="G441" s="1" t="str">
        <f>"河南省社旗县唐庄乡辛庄村河清庄"</f>
        <v>河南省社旗县唐庄乡辛庄村河清庄</v>
      </c>
      <c r="H441" s="1" t="str">
        <f t="shared" si="207"/>
        <v>无</v>
      </c>
      <c r="I441" s="1" t="str">
        <f>"201909-202107 南阳职业学院 就读大专  全日制建设工程管理
202209-202507 南阳理工学院 就读本科  函授汉语言文学"</f>
        <v>201909-202107 南阳职业学院 就读大专  全日制建设工程管理
202209-202507 南阳理工学院 就读本科  函授汉语言文学</v>
      </c>
    </row>
    <row r="442" spans="1:9">
      <c r="A442" s="1" t="str">
        <f>"411327200303021125"</f>
        <v>411327200303021125</v>
      </c>
      <c r="B442" s="1" t="str">
        <f>"共青团员"</f>
        <v>共青团员</v>
      </c>
      <c r="C442" s="1" t="str">
        <f t="shared" si="211"/>
        <v>本科</v>
      </c>
      <c r="D442" s="1" t="str">
        <f>"20230701"</f>
        <v>20230701</v>
      </c>
      <c r="E442" s="1" t="str">
        <f>"信阳学院"</f>
        <v>信阳学院</v>
      </c>
      <c r="F442" s="1" t="str">
        <f>"汉语言文学"</f>
        <v>汉语言文学</v>
      </c>
      <c r="G442" s="1" t="str">
        <f>"河南省南阳市内乡县赤眉镇赤眉村街东西组"</f>
        <v>河南省南阳市内乡县赤眉镇赤眉村街东西组</v>
      </c>
      <c r="H442" s="1" t="str">
        <f t="shared" si="207"/>
        <v>无</v>
      </c>
      <c r="I442" s="1" t="str">
        <f>"201909-202307  信阳学院文学院汉语言文学专业就读
202307-202408  在家待业
202409-至今 内乡郦都学校上班
"</f>
        <v>201909-202307  信阳学院文学院汉语言文学专业就读
202307-202408  在家待业
202409-至今 内乡郦都学校上班
</v>
      </c>
    </row>
    <row r="443" spans="1:9">
      <c r="A443" s="1" t="str">
        <f>"411327200305054537"</f>
        <v>411327200305054537</v>
      </c>
      <c r="B443" s="1" t="str">
        <f t="shared" si="212"/>
        <v>群众</v>
      </c>
      <c r="C443" s="1" t="str">
        <f t="shared" si="211"/>
        <v>本科</v>
      </c>
      <c r="D443" s="1" t="str">
        <f>"20250620"</f>
        <v>20250620</v>
      </c>
      <c r="E443" s="1" t="str">
        <f>"郑州科技学院"</f>
        <v>郑州科技学院</v>
      </c>
      <c r="F443" s="1" t="str">
        <f>"通信工程"</f>
        <v>通信工程</v>
      </c>
      <c r="G443" s="1" t="str">
        <f>"河南省内乡县赵店乡莲花村后沟15号"</f>
        <v>河南省内乡县赵店乡莲花村后沟15号</v>
      </c>
      <c r="H443" s="1" t="str">
        <f>"信息通信网络运行管理员三级/高级工"</f>
        <v>信息通信网络运行管理员三级/高级工</v>
      </c>
      <c r="I443" s="1" t="str">
        <f>"202109-202506在郑州科技学院 电子与电气工程学院 通信工程专业就读，属于全日制学历"</f>
        <v>202109-202506在郑州科技学院 电子与电气工程学院 通信工程专业就读，属于全日制学历</v>
      </c>
    </row>
    <row r="444" ht="189" spans="1:9">
      <c r="A444" s="1" t="str">
        <f>"411327199608020013"</f>
        <v>411327199608020013</v>
      </c>
      <c r="B444" s="1" t="str">
        <f t="shared" si="212"/>
        <v>群众</v>
      </c>
      <c r="C444" s="1" t="str">
        <f t="shared" si="211"/>
        <v>本科</v>
      </c>
      <c r="D444" s="1" t="str">
        <f>"20210715"</f>
        <v>20210715</v>
      </c>
      <c r="E444" s="1" t="str">
        <f>"河南城建学院"</f>
        <v>河南城建学院</v>
      </c>
      <c r="F444" s="1" t="str">
        <f>"城市地下空间工程"</f>
        <v>城市地下空间工程</v>
      </c>
      <c r="G444" s="1" t="str">
        <f>"河南省南阳市内乡县城关镇清真寺南路13号"</f>
        <v>河南省南阳市内乡县城关镇清真寺南路13号</v>
      </c>
      <c r="H444" s="1" t="str">
        <f t="shared" ref="H444:H451" si="213">"无"</f>
        <v>无</v>
      </c>
      <c r="I444" s="3" t="s">
        <v>208</v>
      </c>
    </row>
    <row r="445" spans="1:9">
      <c r="A445" s="1" t="str">
        <f>"411303199705301828"</f>
        <v>411303199705301828</v>
      </c>
      <c r="B445" s="1" t="str">
        <f t="shared" si="212"/>
        <v>群众</v>
      </c>
      <c r="C445" s="1" t="str">
        <f t="shared" si="211"/>
        <v>本科</v>
      </c>
      <c r="D445" s="1" t="str">
        <f>"20190701"</f>
        <v>20190701</v>
      </c>
      <c r="E445" s="1" t="str">
        <f>"安阳工学院"</f>
        <v>安阳工学院</v>
      </c>
      <c r="F445" s="1" t="str">
        <f>"知识产权"</f>
        <v>知识产权</v>
      </c>
      <c r="G445" s="1" t="str">
        <f>"河南省南阳市卧龙区"</f>
        <v>河南省南阳市卧龙区</v>
      </c>
      <c r="H445" s="1" t="str">
        <f t="shared" si="213"/>
        <v>无</v>
      </c>
      <c r="I445" s="1" t="str">
        <f>"2015.9.1—2019.7.1 安阳工学院"</f>
        <v>2015.9.1—2019.7.1 安阳工学院</v>
      </c>
    </row>
    <row r="446" spans="1:9">
      <c r="A446" s="1" t="str">
        <f>"41132720021011391X"</f>
        <v>41132720021011391X</v>
      </c>
      <c r="B446" s="1" t="str">
        <f t="shared" ref="B446:B449" si="214">"共青团员"</f>
        <v>共青团员</v>
      </c>
      <c r="C446" s="1" t="str">
        <f t="shared" si="211"/>
        <v>本科</v>
      </c>
      <c r="D446" s="1" t="str">
        <f>"2025-07-01"</f>
        <v>2025-07-01</v>
      </c>
      <c r="E446" s="1" t="str">
        <f>"郑州经贸学院"</f>
        <v>郑州经贸学院</v>
      </c>
      <c r="F446" s="1" t="str">
        <f>"会计学"</f>
        <v>会计学</v>
      </c>
      <c r="G446" s="1" t="str">
        <f>"河南省南阳市内乡县梨园山庄"</f>
        <v>河南省南阳市内乡县梨园山庄</v>
      </c>
      <c r="H446" s="1" t="str">
        <f>"初级会计证"</f>
        <v>初级会计证</v>
      </c>
      <c r="I446" s="1" t="str">
        <f>"2021.09-2025.07郑州经贸学院会计学院会计学专业就读"</f>
        <v>2021.09-2025.07郑州经贸学院会计学院会计学专业就读</v>
      </c>
    </row>
    <row r="447" spans="1:9">
      <c r="A447" s="1" t="str">
        <f>"411123200006076537"</f>
        <v>411123200006076537</v>
      </c>
      <c r="B447" s="1" t="str">
        <f>"中共党员"</f>
        <v>中共党员</v>
      </c>
      <c r="C447" s="1" t="str">
        <f>"硕士研究生"</f>
        <v>硕士研究生</v>
      </c>
      <c r="D447" s="1" t="str">
        <f>"20250630"</f>
        <v>20250630</v>
      </c>
      <c r="E447" s="1" t="str">
        <f>"山东农业大学"</f>
        <v>山东农业大学</v>
      </c>
      <c r="F447" s="1" t="str">
        <f>"作物学"</f>
        <v>作物学</v>
      </c>
      <c r="G447" s="1" t="str">
        <f>"河南省漯河市召陵区瑞和苑"</f>
        <v>河南省漯河市召陵区瑞和苑</v>
      </c>
      <c r="H447" s="1" t="str">
        <f t="shared" si="213"/>
        <v>无</v>
      </c>
      <c r="I447" s="1" t="str">
        <f>"201809-202206 河南科技学院 河南科技学院 全日制学历 农学学士
202209-202506 山东农业大学 作物学 全日制学历 农学硕士"</f>
        <v>201809-202206 河南科技学院 河南科技学院 全日制学历 农学学士
202209-202506 山东农业大学 作物学 全日制学历 农学硕士</v>
      </c>
    </row>
    <row r="448" spans="1:9">
      <c r="A448" s="1" t="str">
        <f>"14052219970307002X"</f>
        <v>14052219970307002X</v>
      </c>
      <c r="B448" s="1" t="str">
        <f t="shared" si="214"/>
        <v>共青团员</v>
      </c>
      <c r="C448" s="1" t="str">
        <f>"硕士研究生"</f>
        <v>硕士研究生</v>
      </c>
      <c r="D448" s="1" t="str">
        <f>"20240618"</f>
        <v>20240618</v>
      </c>
      <c r="E448" s="1" t="str">
        <f>"太原科技大学"</f>
        <v>太原科技大学</v>
      </c>
      <c r="F448" s="1" t="str">
        <f>"社会工作"</f>
        <v>社会工作</v>
      </c>
      <c r="G448" s="1" t="str">
        <f>"山西省阳城县凤城镇西关社区工商局家属楼"</f>
        <v>山西省阳城县凤城镇西关社区工商局家属楼</v>
      </c>
      <c r="H448" s="1" t="str">
        <f t="shared" si="213"/>
        <v>无</v>
      </c>
      <c r="I448" s="1" t="str">
        <f>"201609-202007在山西传媒学院 新闻传播学院 网络与新媒体专业就读，全日制本科；202008-202208待业；202209-202406在太原科技大学 人文社科学院 社会工作专业就读，全日制硕士；202407至今待业。"</f>
        <v>201609-202007在山西传媒学院 新闻传播学院 网络与新媒体专业就读，全日制本科；202008-202208待业；202209-202406在太原科技大学 人文社科学院 社会工作专业就读，全日制硕士；202407至今待业。</v>
      </c>
    </row>
    <row r="449" spans="1:9">
      <c r="A449" s="1" t="str">
        <f>"411330200010270011"</f>
        <v>411330200010270011</v>
      </c>
      <c r="B449" s="1" t="str">
        <f t="shared" si="214"/>
        <v>共青团员</v>
      </c>
      <c r="C449" s="1" t="str">
        <f t="shared" ref="C449:C452" si="215">"本科"</f>
        <v>本科</v>
      </c>
      <c r="D449" s="1" t="str">
        <f>"20230607"</f>
        <v>20230607</v>
      </c>
      <c r="E449" s="1" t="str">
        <f>"河南城建学院"</f>
        <v>河南城建学院</v>
      </c>
      <c r="F449" s="1" t="str">
        <f>"环境科学"</f>
        <v>环境科学</v>
      </c>
      <c r="G449" s="1" t="str">
        <f>"河南省南阳市西峡县丹水镇袁店村"</f>
        <v>河南省南阳市西峡县丹水镇袁店村</v>
      </c>
      <c r="H449" s="1" t="str">
        <f t="shared" si="213"/>
        <v>无</v>
      </c>
      <c r="I449" s="1" t="str">
        <f>"201909-202306在河南城建学院市政与环境工程学院环境科学专业就读全日制本科学历；
202306-202505在河南省西峡县待业
202505至今在西峡县公安局看护大队任职警务辅助人员"</f>
        <v>201909-202306在河南城建学院市政与环境工程学院环境科学专业就读全日制本科学历；
202306-202505在河南省西峡县待业
202505至今在西峡县公安局看护大队任职警务辅助人员</v>
      </c>
    </row>
    <row r="450" spans="1:9">
      <c r="A450" s="1" t="str">
        <f>"411327200111153529"</f>
        <v>411327200111153529</v>
      </c>
      <c r="B450" s="1" t="str">
        <f t="shared" ref="B450:B453" si="216">"群众"</f>
        <v>群众</v>
      </c>
      <c r="C450" s="1" t="str">
        <f t="shared" si="215"/>
        <v>本科</v>
      </c>
      <c r="D450" s="1" t="str">
        <f>"20230607"</f>
        <v>20230607</v>
      </c>
      <c r="E450" s="1" t="str">
        <f>"河南师范大学"</f>
        <v>河南师范大学</v>
      </c>
      <c r="F450" s="1" t="str">
        <f>"电子信息工程"</f>
        <v>电子信息工程</v>
      </c>
      <c r="G450" s="1" t="str">
        <f>"河南省南阳市内乡县"</f>
        <v>河南省南阳市内乡县</v>
      </c>
      <c r="H450" s="1" t="str">
        <f t="shared" si="213"/>
        <v>无</v>
      </c>
      <c r="I450" s="1" t="str">
        <f>"201909-202306河南师范大学电子与电气工程学院电子信息工程专业就读，全日制学历"</f>
        <v>201909-202306河南师范大学电子与电气工程学院电子信息工程专业就读，全日制学历</v>
      </c>
    </row>
    <row r="451" spans="1:9">
      <c r="A451" s="1" t="str">
        <f>"36232919960524001X"</f>
        <v>36232919960524001X</v>
      </c>
      <c r="B451" s="1" t="str">
        <f t="shared" si="216"/>
        <v>群众</v>
      </c>
      <c r="C451" s="1" t="str">
        <f t="shared" si="215"/>
        <v>本科</v>
      </c>
      <c r="D451" s="1" t="str">
        <f>"2019-08-31"</f>
        <v>2019-08-31</v>
      </c>
      <c r="E451" s="1" t="str">
        <f>"郑州大学"</f>
        <v>郑州大学</v>
      </c>
      <c r="F451" s="1" t="str">
        <f>"材料科学与工程"</f>
        <v>材料科学与工程</v>
      </c>
      <c r="G451" s="1" t="str">
        <f>"江西省上饶市余干县老公安局宿舍"</f>
        <v>江西省上饶市余干县老公安局宿舍</v>
      </c>
      <c r="H451" s="1" t="str">
        <f t="shared" si="213"/>
        <v>无</v>
      </c>
      <c r="I451" s="1" t="str">
        <f>"201509-201908 郑州大学 材料科学与工程学院 材料科学与工程 全日制
201908-202507 江西省上饶市余干县待业"</f>
        <v>201509-201908 郑州大学 材料科学与工程学院 材料科学与工程 全日制
201908-202507 江西省上饶市余干县待业</v>
      </c>
    </row>
    <row r="452" spans="1:9">
      <c r="A452" s="1" t="str">
        <f>"411327200110162546"</f>
        <v>411327200110162546</v>
      </c>
      <c r="B452" s="1" t="str">
        <f t="shared" si="216"/>
        <v>群众</v>
      </c>
      <c r="C452" s="1" t="str">
        <f t="shared" si="215"/>
        <v>本科</v>
      </c>
      <c r="D452" s="1" t="str">
        <f>"2024-07-01"</f>
        <v>2024-07-01</v>
      </c>
      <c r="E452" s="1" t="str">
        <f>"郑州师范学院"</f>
        <v>郑州师范学院</v>
      </c>
      <c r="F452" s="1" t="str">
        <f>"管理科学"</f>
        <v>管理科学</v>
      </c>
      <c r="G452" s="1" t="str">
        <f>"河南省内乡县湍东镇北符营村屯南9号"</f>
        <v>河南省内乡县湍东镇北符营村屯南9号</v>
      </c>
      <c r="H452" s="1" t="str">
        <f>"教师资格证初中语文学科"</f>
        <v>教师资格证初中语文学科</v>
      </c>
      <c r="I452" s="1" t="str">
        <f>"2019.09-2022.06郑州师范学院 电子商务专业学生 大专
2022.09-2024.06郑州师范学院 经管院管理科学专业学生 本科
2024.09-2025.06 郑州市金水区纬五路第一小学大河校区 小学教师"</f>
        <v>2019.09-2022.06郑州师范学院 电子商务专业学生 大专
2022.09-2024.06郑州师范学院 经管院管理科学专业学生 本科
2024.09-2025.06 郑州市金水区纬五路第一小学大河校区 小学教师</v>
      </c>
    </row>
    <row r="453" spans="1:9">
      <c r="A453" s="1" t="str">
        <f>"411326200509290017"</f>
        <v>411326200509290017</v>
      </c>
      <c r="B453" s="1" t="str">
        <f t="shared" si="216"/>
        <v>群众</v>
      </c>
      <c r="C453" s="1" t="str">
        <f>"专科"</f>
        <v>专科</v>
      </c>
      <c r="D453" s="1" t="str">
        <f>"20250612"</f>
        <v>20250612</v>
      </c>
      <c r="E453" s="1" t="str">
        <f>"郑州工业应用技术学院"</f>
        <v>郑州工业应用技术学院</v>
      </c>
      <c r="F453" s="1" t="str">
        <f>"计算机网络技术"</f>
        <v>计算机网络技术</v>
      </c>
      <c r="G453" s="1" t="str">
        <f>"河南省南阳市南召县城关镇城北西区86号"</f>
        <v>河南省南阳市南召县城关镇城北西区86号</v>
      </c>
      <c r="H453" s="1" t="str">
        <f t="shared" ref="H453:H456" si="217">"无"</f>
        <v>无</v>
      </c>
      <c r="I453" s="1" t="str">
        <f>"202009-202506 郑州工业应用技术学院 信息工程学院 计算机网络技术专业 就读 全日制"</f>
        <v>202009-202506 郑州工业应用技术学院 信息工程学院 计算机网络技术专业 就读 全日制</v>
      </c>
    </row>
    <row r="454" spans="1:9">
      <c r="A454" s="1" t="str">
        <f>"411327200010301529"</f>
        <v>411327200010301529</v>
      </c>
      <c r="B454" s="1" t="str">
        <f t="shared" ref="B454:B458" si="218">"共青团员"</f>
        <v>共青团员</v>
      </c>
      <c r="C454" s="1" t="str">
        <f t="shared" ref="C454:C457" si="219">"本科"</f>
        <v>本科</v>
      </c>
      <c r="D454" s="1" t="str">
        <f>"2023.06.27"</f>
        <v>2023.06.27</v>
      </c>
      <c r="E454" s="1" t="str">
        <f>"宁夏理工学院"</f>
        <v>宁夏理工学院</v>
      </c>
      <c r="F454" s="1" t="str">
        <f t="shared" ref="F454:F459" si="220">"英语"</f>
        <v>英语</v>
      </c>
      <c r="G454" s="1" t="str">
        <f>"南阳市内乡县实验初中斜对面"</f>
        <v>南阳市内乡县实验初中斜对面</v>
      </c>
      <c r="H454" s="1" t="str">
        <f t="shared" si="217"/>
        <v>无</v>
      </c>
      <c r="I454" s="1" t="str">
        <f>"201909-202306 宁夏理工学院外国语学院英语专业就读 是全日制学历。"</f>
        <v>201909-202306 宁夏理工学院外国语学院英语专业就读 是全日制学历。</v>
      </c>
    </row>
    <row r="455" spans="1:9">
      <c r="A455" s="1" t="str">
        <f>"411327200202242914"</f>
        <v>411327200202242914</v>
      </c>
      <c r="B455" s="1" t="str">
        <f t="shared" si="218"/>
        <v>共青团员</v>
      </c>
      <c r="C455" s="1" t="str">
        <f t="shared" si="219"/>
        <v>本科</v>
      </c>
      <c r="D455" s="1" t="str">
        <f t="shared" ref="D455:D459" si="221">"2025-07-01"</f>
        <v>2025-07-01</v>
      </c>
      <c r="E455" s="1" t="str">
        <f>"郑州科技学院"</f>
        <v>郑州科技学院</v>
      </c>
      <c r="F455" s="1" t="str">
        <f>"财务管理"</f>
        <v>财务管理</v>
      </c>
      <c r="G455" s="1" t="str">
        <f>"河南省南阳市内乡县瓦亭镇春景村刘沟15号"</f>
        <v>河南省南阳市内乡县瓦亭镇春景村刘沟15号</v>
      </c>
      <c r="H455" s="1" t="str">
        <f>"职业技能等级证书三级"</f>
        <v>职业技能等级证书三级</v>
      </c>
      <c r="I455" s="1" t="str">
        <f>"202109-202506 本人刘圣坤在郑州科技学院财经学院财务管理专业全日制本科就读"</f>
        <v>202109-202506 本人刘圣坤在郑州科技学院财经学院财务管理专业全日制本科就读</v>
      </c>
    </row>
    <row r="456" spans="1:9">
      <c r="A456" s="1" t="str">
        <f>"411081199808059125"</f>
        <v>411081199808059125</v>
      </c>
      <c r="B456" s="1" t="str">
        <f t="shared" ref="B456:B459" si="222">"群众"</f>
        <v>群众</v>
      </c>
      <c r="C456" s="1" t="str">
        <f t="shared" si="219"/>
        <v>本科</v>
      </c>
      <c r="D456" s="1" t="str">
        <f>"2021-07-01"</f>
        <v>2021-07-01</v>
      </c>
      <c r="E456" s="1" t="str">
        <f>"郑州升达经贸管理学院"</f>
        <v>郑州升达经贸管理学院</v>
      </c>
      <c r="F456" s="1" t="str">
        <f>"视觉传达设计"</f>
        <v>视觉传达设计</v>
      </c>
      <c r="G456" s="1" t="str">
        <f>"河南省许昌市禹州市恒达美园小区"</f>
        <v>河南省许昌市禹州市恒达美园小区</v>
      </c>
      <c r="H456" s="1" t="str">
        <f t="shared" si="217"/>
        <v>无</v>
      </c>
      <c r="I456" s="1" t="str">
        <f>"2016年9月至2019年7月在河南工程学院服装系人物形象设计专业就读，全日制；2019年9月至2021年7月在郑州升达经贸管理学院艺术系视觉传达设计专业就读，全日制。"</f>
        <v>2016年9月至2019年7月在河南工程学院服装系人物形象设计专业就读，全日制；2019年9月至2021年7月在郑州升达经贸管理学院艺术系视觉传达设计专业就读，全日制。</v>
      </c>
    </row>
    <row r="457" spans="1:9">
      <c r="A457" s="1" t="str">
        <f>"411327200104203743"</f>
        <v>411327200104203743</v>
      </c>
      <c r="B457" s="1" t="str">
        <f t="shared" si="222"/>
        <v>群众</v>
      </c>
      <c r="C457" s="1" t="str">
        <f t="shared" si="219"/>
        <v>本科</v>
      </c>
      <c r="D457" s="1" t="str">
        <f t="shared" si="221"/>
        <v>2025-07-01</v>
      </c>
      <c r="E457" s="1" t="str">
        <f>"安阳学院"</f>
        <v>安阳学院</v>
      </c>
      <c r="F457" s="1" t="str">
        <f t="shared" si="220"/>
        <v>英语</v>
      </c>
      <c r="G457" s="1" t="str">
        <f>"河南省南阳市内乡县桃溪镇彭沟村土地岈组67号"</f>
        <v>河南省南阳市内乡县桃溪镇彭沟村土地岈组67号</v>
      </c>
      <c r="H457" s="1" t="str">
        <f>"英语四级  秘书三级  网络网信息审核员三级"</f>
        <v>英语四级  秘书三级  网络网信息审核员三级</v>
      </c>
      <c r="I457" s="1" t="str">
        <f>"202109-202506安阳学院外国语学院英语专业就读，全日制"</f>
        <v>202109-202506安阳学院外国语学院英语专业就读，全日制</v>
      </c>
    </row>
    <row r="458" spans="1:9">
      <c r="A458" s="1" t="str">
        <f>"411327199912131121"</f>
        <v>411327199912131121</v>
      </c>
      <c r="B458" s="1" t="str">
        <f t="shared" si="218"/>
        <v>共青团员</v>
      </c>
      <c r="C458" s="1" t="str">
        <f>"硕士研究生"</f>
        <v>硕士研究生</v>
      </c>
      <c r="D458" s="1" t="str">
        <f>"20240603"</f>
        <v>20240603</v>
      </c>
      <c r="E458" s="1" t="str">
        <f>"南阳师范学院"</f>
        <v>南阳师范学院</v>
      </c>
      <c r="F458" s="1" t="str">
        <f>"生物与医药"</f>
        <v>生物与医药</v>
      </c>
      <c r="G458" s="1" t="str">
        <f>"河南省南阳市内乡县赤眉镇赤眉村赤袁路1号附16号"</f>
        <v>河南省南阳市内乡县赤眉镇赤眉村赤袁路1号附16号</v>
      </c>
      <c r="H458" s="1" t="str">
        <f t="shared" ref="H458:H461" si="223">"无"</f>
        <v>无</v>
      </c>
      <c r="I458" s="1" t="str">
        <f>"201709-202107 南阳师范学院  生命科学与技术学院 生物工程专业就读 是全日制；202109-202406 南阳师范学院 生命科学与农业工程学院 生物与医药专业就读 是全日制；202407-至今 河南省南阳市内乡县待业"</f>
        <v>201709-202107 南阳师范学院  生命科学与技术学院 生物工程专业就读 是全日制；202109-202406 南阳师范学院 生命科学与农业工程学院 生物与医药专业就读 是全日制；202407-至今 河南省南阳市内乡县待业</v>
      </c>
    </row>
    <row r="459" spans="1:9">
      <c r="A459" s="1" t="str">
        <f>"41132720030212152X"</f>
        <v>41132720030212152X</v>
      </c>
      <c r="B459" s="1" t="str">
        <f t="shared" si="222"/>
        <v>群众</v>
      </c>
      <c r="C459" s="1" t="str">
        <f t="shared" ref="C459:C462" si="224">"本科"</f>
        <v>本科</v>
      </c>
      <c r="D459" s="1" t="str">
        <f t="shared" si="221"/>
        <v>2025-07-01</v>
      </c>
      <c r="E459" s="1" t="str">
        <f>"安徽工业大学"</f>
        <v>安徽工业大学</v>
      </c>
      <c r="F459" s="1" t="str">
        <f t="shared" si="220"/>
        <v>英语</v>
      </c>
      <c r="G459" s="1" t="str">
        <f>"河南省南阳市内乡县湍东镇清凉庙村安子沟组"</f>
        <v>河南省南阳市内乡县湍东镇清凉庙村安子沟组</v>
      </c>
      <c r="H459" s="1" t="str">
        <f t="shared" si="223"/>
        <v>无</v>
      </c>
      <c r="I459" s="1" t="str">
        <f>"202109-202506安徽工业大学 就读。"</f>
        <v>202109-202506安徽工业大学 就读。</v>
      </c>
    </row>
    <row r="460" spans="1:9">
      <c r="A460" s="1" t="str">
        <f>"410728200001299938"</f>
        <v>410728200001299938</v>
      </c>
      <c r="B460" s="1" t="str">
        <f t="shared" ref="B460:B465" si="225">"共青团员"</f>
        <v>共青团员</v>
      </c>
      <c r="C460" s="1" t="str">
        <f t="shared" si="224"/>
        <v>本科</v>
      </c>
      <c r="D460" s="1" t="str">
        <f>"20220701"</f>
        <v>20220701</v>
      </c>
      <c r="E460" s="1" t="str">
        <f>"信阳农林学院"</f>
        <v>信阳农林学院</v>
      </c>
      <c r="F460" s="1" t="str">
        <f>"林学"</f>
        <v>林学</v>
      </c>
      <c r="G460" s="1" t="str">
        <f>"河南省新乡市长垣市蒲西区桂苑"</f>
        <v>河南省新乡市长垣市蒲西区桂苑</v>
      </c>
      <c r="H460" s="1" t="str">
        <f t="shared" si="223"/>
        <v>无</v>
      </c>
      <c r="I460" s="1" t="str">
        <f>"201809-202207 信阳农林学院 林学院 林学专业 就读 全日制本科
202207-至今 待业"</f>
        <v>201809-202207 信阳农林学院 林学院 林学专业 就读 全日制本科
202207-至今 待业</v>
      </c>
    </row>
    <row r="461" spans="1:9">
      <c r="A461" s="1" t="str">
        <f>"411323199903203845"</f>
        <v>411323199903203845</v>
      </c>
      <c r="B461" s="1" t="str">
        <f>"中共党员"</f>
        <v>中共党员</v>
      </c>
      <c r="C461" s="1" t="str">
        <f t="shared" si="224"/>
        <v>本科</v>
      </c>
      <c r="D461" s="1" t="str">
        <f>"20210701"</f>
        <v>20210701</v>
      </c>
      <c r="E461" s="1" t="str">
        <f>"郑州升达经贸管理学院"</f>
        <v>郑州升达经贸管理学院</v>
      </c>
      <c r="F461" s="1" t="str">
        <f>"财务管理"</f>
        <v>财务管理</v>
      </c>
      <c r="G461" s="1" t="str">
        <f>"河南省南阳市淅川县冬青社区"</f>
        <v>河南省南阳市淅川县冬青社区</v>
      </c>
      <c r="H461" s="1" t="str">
        <f t="shared" si="223"/>
        <v>无</v>
      </c>
      <c r="I461" s="1" t="str">
        <f>"201609-201907 郑州升达经贸管理学院 会计学院会计专业就读 全日制学历；
201909-202107 郑州升达经贸管理学院 会计学院财务管理专业就读  全日制学历；
202108-至今 河南省南阳市待业"</f>
        <v>201609-201907 郑州升达经贸管理学院 会计学院会计专业就读 全日制学历；
201909-202107 郑州升达经贸管理学院 会计学院财务管理专业就读  全日制学历；
202108-至今 河南省南阳市待业</v>
      </c>
    </row>
    <row r="462" spans="1:9">
      <c r="A462" s="1" t="str">
        <f>"410621200104081552"</f>
        <v>410621200104081552</v>
      </c>
      <c r="B462" s="1" t="str">
        <f t="shared" si="225"/>
        <v>共青团员</v>
      </c>
      <c r="C462" s="1" t="str">
        <f t="shared" si="224"/>
        <v>本科</v>
      </c>
      <c r="D462" s="1" t="str">
        <f>"20240701"</f>
        <v>20240701</v>
      </c>
      <c r="E462" s="1" t="str">
        <f>"郑州商学院"</f>
        <v>郑州商学院</v>
      </c>
      <c r="F462" s="1" t="str">
        <f>"财务管理"</f>
        <v>财务管理</v>
      </c>
      <c r="G462" s="1" t="str">
        <f>"河南省鹤壁市浚县王庄镇"</f>
        <v>河南省鹤壁市浚县王庄镇</v>
      </c>
      <c r="H462" s="1" t="str">
        <f>"初级会计证书"</f>
        <v>初级会计证书</v>
      </c>
      <c r="I462" s="1" t="str">
        <f>"201909-202207 焦作大学就读会计专业
202209-202407 郑州商学院就读财务管理
202407-至今河南省浚县王庄镇待业"</f>
        <v>201909-202207 焦作大学就读会计专业
202209-202407 郑州商学院就读财务管理
202407-至今河南省浚县王庄镇待业</v>
      </c>
    </row>
    <row r="463" spans="1:9">
      <c r="A463" s="1" t="str">
        <f>"411327200009052967"</f>
        <v>411327200009052967</v>
      </c>
      <c r="B463" s="1" t="str">
        <f>"中共党员"</f>
        <v>中共党员</v>
      </c>
      <c r="C463" s="1" t="str">
        <f>"硕士研究生"</f>
        <v>硕士研究生</v>
      </c>
      <c r="D463" s="1" t="str">
        <f>"20230630"</f>
        <v>20230630</v>
      </c>
      <c r="E463" s="1" t="str">
        <f>"中南财经政法大学"</f>
        <v>中南财经政法大学</v>
      </c>
      <c r="F463" s="1" t="str">
        <f>"法律（法学）"</f>
        <v>法律（法学）</v>
      </c>
      <c r="G463" s="1" t="str">
        <f>"河南省内乡县瓦亭镇杨沟村"</f>
        <v>河南省内乡县瓦亭镇杨沟村</v>
      </c>
      <c r="H463" s="1" t="str">
        <f>"职业资格证书"</f>
        <v>职业资格证书</v>
      </c>
      <c r="I463" s="1" t="str">
        <f>"201709-202106 中南财经政法大学 就读 刑事司法学院 法学（刑事司法方向）全日制本科学历
202109-202306 中南财经政法大学 就读  法律硕士教育中心 法律（法学）全日制硕士研究生学历"</f>
        <v>201709-202106 中南财经政法大学 就读 刑事司法学院 法学（刑事司法方向）全日制本科学历
202109-202306 中南财经政法大学 就读  法律硕士教育中心 法律（法学）全日制硕士研究生学历</v>
      </c>
    </row>
    <row r="464" spans="1:9">
      <c r="A464" s="1" t="str">
        <f>"411102199805220171"</f>
        <v>411102199805220171</v>
      </c>
      <c r="B464" s="1" t="str">
        <f t="shared" ref="B464:B468" si="226">"群众"</f>
        <v>群众</v>
      </c>
      <c r="C464" s="1" t="str">
        <f t="shared" ref="C464:C469" si="227">"本科"</f>
        <v>本科</v>
      </c>
      <c r="D464" s="1" t="str">
        <f>"20210601"</f>
        <v>20210601</v>
      </c>
      <c r="E464" s="1" t="str">
        <f>"山东英才学院"</f>
        <v>山东英才学院</v>
      </c>
      <c r="F464" s="1" t="str">
        <f>"环境设计"</f>
        <v>环境设计</v>
      </c>
      <c r="G464" s="1" t="str">
        <f>"河南省漯河市源汇区阴阳赵乡阴西村4组333号"</f>
        <v>河南省漯河市源汇区阴阳赵乡阴西村4组333号</v>
      </c>
      <c r="H464" s="1" t="str">
        <f t="shared" ref="H464:H466" si="228">"无"</f>
        <v>无</v>
      </c>
      <c r="I464" s="1" t="str">
        <f>"201709-202106 在山东英才学院 艺术学院 环境设计专业就读，全日制学历；202106-202507在河南省漯河市源汇区阴阳赵乡阴西村4组333号待业"</f>
        <v>201709-202106 在山东英才学院 艺术学院 环境设计专业就读，全日制学历；202106-202507在河南省漯河市源汇区阴阳赵乡阴西村4组333号待业</v>
      </c>
    </row>
    <row r="465" spans="1:9">
      <c r="A465" s="1" t="str">
        <f>"411224200302129017"</f>
        <v>411224200302129017</v>
      </c>
      <c r="B465" s="1" t="str">
        <f t="shared" si="225"/>
        <v>共青团员</v>
      </c>
      <c r="C465" s="1" t="str">
        <f t="shared" si="227"/>
        <v>本科</v>
      </c>
      <c r="D465" s="1" t="str">
        <f>"20250611"</f>
        <v>20250611</v>
      </c>
      <c r="E465" s="1" t="str">
        <f>"安阳学院"</f>
        <v>安阳学院</v>
      </c>
      <c r="F465" s="1" t="str">
        <f>"汉语言文学"</f>
        <v>汉语言文学</v>
      </c>
      <c r="G465" s="1" t="str">
        <f>"河南省三门峡市卢氏县沙河乡"</f>
        <v>河南省三门峡市卢氏县沙河乡</v>
      </c>
      <c r="H465" s="1" t="str">
        <f t="shared" si="228"/>
        <v>无</v>
      </c>
      <c r="I465" s="1" t="str">
        <f>"202109——202506在安阳学院的文法学院全日制汉语言文学专业就读
202506——至今待业"</f>
        <v>202109——202506在安阳学院的文法学院全日制汉语言文学专业就读
202506——至今待业</v>
      </c>
    </row>
    <row r="466" spans="1:9">
      <c r="A466" s="1" t="str">
        <f>"411327199002100692"</f>
        <v>411327199002100692</v>
      </c>
      <c r="B466" s="1" t="str">
        <f t="shared" si="226"/>
        <v>群众</v>
      </c>
      <c r="C466" s="1" t="str">
        <f>"专科"</f>
        <v>专科</v>
      </c>
      <c r="D466" s="1" t="str">
        <f>"20120706"</f>
        <v>20120706</v>
      </c>
      <c r="E466" s="1" t="str">
        <f>"郑州大学"</f>
        <v>郑州大学</v>
      </c>
      <c r="F466" s="1" t="str">
        <f>"数控技术"</f>
        <v>数控技术</v>
      </c>
      <c r="G466" s="1" t="str">
        <f>"河南省内乡县菊香苑"</f>
        <v>河南省内乡县菊香苑</v>
      </c>
      <c r="H466" s="1" t="str">
        <f t="shared" si="228"/>
        <v>无</v>
      </c>
      <c r="I466" s="1" t="str">
        <f>"200909～201206在郑州大学佛罗里达国际学院数控技术专业就读，全日制专科学历。
201207～201508在郑州益能科技有限公司担任助理工程师
201509～至今，在内乡菊潭学校任教。"</f>
        <v>200909～201206在郑州大学佛罗里达国际学院数控技术专业就读，全日制专科学历。
201207～201508在郑州益能科技有限公司担任助理工程师
201509～至今，在内乡菊潭学校任教。</v>
      </c>
    </row>
    <row r="467" spans="1:9">
      <c r="A467" s="1" t="str">
        <f>"410102200012010240"</f>
        <v>410102200012010240</v>
      </c>
      <c r="B467" s="1" t="str">
        <f t="shared" ref="B467:B472" si="229">"共青团员"</f>
        <v>共青团员</v>
      </c>
      <c r="C467" s="1" t="str">
        <f t="shared" si="227"/>
        <v>本科</v>
      </c>
      <c r="D467" s="1" t="str">
        <f>"20190701"</f>
        <v>20190701</v>
      </c>
      <c r="E467" s="1" t="str">
        <f>"河南师范大学"</f>
        <v>河南师范大学</v>
      </c>
      <c r="F467" s="1" t="str">
        <f>"数学与应用数学（师范）"</f>
        <v>数学与应用数学（师范）</v>
      </c>
      <c r="G467" s="1" t="str">
        <f>"河南省郑州市"</f>
        <v>河南省郑州市</v>
      </c>
      <c r="H467" s="1" t="str">
        <f>"英语四级，计算机二级"</f>
        <v>英语四级，计算机二级</v>
      </c>
      <c r="I467" s="1" t="str">
        <f>"201909-202307河南师范大学就读全日制，202307-202507在郑州待业"</f>
        <v>201909-202307河南师范大学就读全日制，202307-202507在郑州待业</v>
      </c>
    </row>
    <row r="468" ht="148.5" spans="1:9">
      <c r="A468" s="1" t="str">
        <f>"411330199603285512"</f>
        <v>411330199603285512</v>
      </c>
      <c r="B468" s="1" t="str">
        <f t="shared" si="226"/>
        <v>群众</v>
      </c>
      <c r="C468" s="1" t="str">
        <f t="shared" si="227"/>
        <v>本科</v>
      </c>
      <c r="D468" s="1" t="str">
        <f>"20200701"</f>
        <v>20200701</v>
      </c>
      <c r="E468" s="1" t="str">
        <f>"华北水利水电大学"</f>
        <v>华北水利水电大学</v>
      </c>
      <c r="F468" s="1" t="str">
        <f>"劳动与社会保障"</f>
        <v>劳动与社会保障</v>
      </c>
      <c r="G468" s="1" t="str">
        <f>"河南省南阳市内乡县菊潭高中"</f>
        <v>河南省南阳市内乡县菊潭高中</v>
      </c>
      <c r="H468" s="1" t="str">
        <f>"三级企业人力资源管理师"</f>
        <v>三级企业人力资源管理师</v>
      </c>
      <c r="I468" s="3" t="s">
        <v>209</v>
      </c>
    </row>
    <row r="469" spans="1:9">
      <c r="A469" s="1" t="str">
        <f>"411327200302050311"</f>
        <v>411327200302050311</v>
      </c>
      <c r="B469" s="1" t="str">
        <f t="shared" si="229"/>
        <v>共青团员</v>
      </c>
      <c r="C469" s="1" t="str">
        <f t="shared" si="227"/>
        <v>本科</v>
      </c>
      <c r="D469" s="1" t="str">
        <f>"20250611"</f>
        <v>20250611</v>
      </c>
      <c r="E469" s="1" t="str">
        <f>"重庆工程学院"</f>
        <v>重庆工程学院</v>
      </c>
      <c r="F469" s="1" t="str">
        <f>"软件工程"</f>
        <v>软件工程</v>
      </c>
      <c r="G469" s="1" t="str">
        <f>"河南省南阳市内乡县金桂苑小区"</f>
        <v>河南省南阳市内乡县金桂苑小区</v>
      </c>
      <c r="H469" s="1" t="str">
        <f t="shared" ref="H469:H474" si="230">"无"</f>
        <v>无</v>
      </c>
      <c r="I469" s="1" t="str">
        <f>"202109-202506 重庆工程学院 就读；全日制本科学历；202506-至今于家待业"</f>
        <v>202109-202506 重庆工程学院 就读；全日制本科学历；202506-至今于家待业</v>
      </c>
    </row>
    <row r="470" spans="1:9">
      <c r="A470" s="1" t="str">
        <f>"411327199203040032"</f>
        <v>411327199203040032</v>
      </c>
      <c r="B470" s="1" t="str">
        <f t="shared" ref="B470:B473" si="231">"群众"</f>
        <v>群众</v>
      </c>
      <c r="C470" s="1" t="str">
        <f>"专科"</f>
        <v>专科</v>
      </c>
      <c r="D470" s="1" t="str">
        <f>"20160701"</f>
        <v>20160701</v>
      </c>
      <c r="E470" s="1" t="str">
        <f>"商丘工学院"</f>
        <v>商丘工学院</v>
      </c>
      <c r="F470" s="1" t="str">
        <f>"工程造价"</f>
        <v>工程造价</v>
      </c>
      <c r="G470" s="1" t="str">
        <f>"河南省内乡县城关镇"</f>
        <v>河南省内乡县城关镇</v>
      </c>
      <c r="H470" s="1" t="str">
        <f t="shared" si="230"/>
        <v>无</v>
      </c>
      <c r="I470" s="1" t="str">
        <f>"201209-201607 商丘工学院 工程造价 就读 全日制
201607-202104 待业
202104至今内乡县融媒体中心 政府购岗"</f>
        <v>201209-201607 商丘工学院 工程造价 就读 全日制
201607-202104 待业
202104至今内乡县融媒体中心 政府购岗</v>
      </c>
    </row>
    <row r="471" spans="1:9">
      <c r="A471" s="1" t="str">
        <f>"41132719970923001X"</f>
        <v>41132719970923001X</v>
      </c>
      <c r="B471" s="1" t="str">
        <f t="shared" si="231"/>
        <v>群众</v>
      </c>
      <c r="C471" s="1" t="str">
        <f t="shared" ref="C471:C473" si="232">"本科"</f>
        <v>本科</v>
      </c>
      <c r="D471" s="1" t="str">
        <f>"20210701"</f>
        <v>20210701</v>
      </c>
      <c r="E471" s="1" t="str">
        <f>"黄河科技学院"</f>
        <v>黄河科技学院</v>
      </c>
      <c r="F471" s="1" t="str">
        <f>"软件工程"</f>
        <v>软件工程</v>
      </c>
      <c r="G471" s="1" t="str">
        <f>"河南省南阳市内乡县明珠花园8号楼二单元202"</f>
        <v>河南省南阳市内乡县明珠花园8号楼二单元202</v>
      </c>
      <c r="H471" s="1" t="str">
        <f t="shared" si="230"/>
        <v>无</v>
      </c>
      <c r="I471" s="1" t="str">
        <f>"2016.9.1-2019.7.1 河南经贸职业学院 移动互联网应用技术 全日制
2019.9.1-2021.7.1 黄河科技学院 软件工程 全日制
2021.7.1-2022.11.1  在家待业
2022.11.1-2023.8.1 南阳翔丞人力资源服务有限公司 工作
2023.8.1-至今  在家待业"</f>
        <v>2016.9.1-2019.7.1 河南经贸职业学院 移动互联网应用技术 全日制
2019.9.1-2021.7.1 黄河科技学院 软件工程 全日制
2021.7.1-2022.11.1  在家待业
2022.11.1-2023.8.1 南阳翔丞人力资源服务有限公司 工作
2023.8.1-至今  在家待业</v>
      </c>
    </row>
    <row r="472" spans="1:9">
      <c r="A472" s="1" t="str">
        <f>"411327199912110064"</f>
        <v>411327199912110064</v>
      </c>
      <c r="B472" s="1" t="str">
        <f t="shared" si="229"/>
        <v>共青团员</v>
      </c>
      <c r="C472" s="1" t="str">
        <f t="shared" si="232"/>
        <v>本科</v>
      </c>
      <c r="D472" s="1" t="str">
        <f>"2022.07"</f>
        <v>2022.07</v>
      </c>
      <c r="E472" s="1" t="str">
        <f>"河南科技学院"</f>
        <v>河南科技学院</v>
      </c>
      <c r="F472" s="1" t="str">
        <f>"汉语言文学"</f>
        <v>汉语言文学</v>
      </c>
      <c r="G472" s="1" t="str">
        <f>"南阳市内乡县宏达北路16巷"</f>
        <v>南阳市内乡县宏达北路16巷</v>
      </c>
      <c r="H472" s="1" t="str">
        <f t="shared" si="230"/>
        <v>无</v>
      </c>
      <c r="I472" s="1" t="str">
        <f>"201809-2022.07河南科技学院 文法学院 汉语言文学专业 就读，全日制学历；
202207-202401待业；
202401至今西峡县人民政府白羽街道办事处工作人员。"</f>
        <v>201809-2022.07河南科技学院 文法学院 汉语言文学专业 就读，全日制学历；
202207-202401待业；
202401至今西峡县人民政府白羽街道办事处工作人员。</v>
      </c>
    </row>
    <row r="473" spans="1:9">
      <c r="A473" s="1" t="str">
        <f>"411381199805313016"</f>
        <v>411381199805313016</v>
      </c>
      <c r="B473" s="1" t="str">
        <f t="shared" si="231"/>
        <v>群众</v>
      </c>
      <c r="C473" s="1" t="str">
        <f t="shared" si="232"/>
        <v>本科</v>
      </c>
      <c r="D473" s="1" t="str">
        <f>"20200701"</f>
        <v>20200701</v>
      </c>
      <c r="E473" s="1" t="str">
        <f>"河南农业大学"</f>
        <v>河南农业大学</v>
      </c>
      <c r="F473" s="1" t="str">
        <f>"农学绍骙实验班"</f>
        <v>农学绍骙实验班</v>
      </c>
      <c r="G473" s="1" t="str">
        <f>"河南省邓州市"</f>
        <v>河南省邓州市</v>
      </c>
      <c r="H473" s="1" t="str">
        <f t="shared" si="230"/>
        <v>无</v>
      </c>
      <c r="I473" s="1" t="str">
        <f>"201609-202006  河南农业大学农学院  农学绍骙实验班"</f>
        <v>201609-202006  河南农业大学农学院  农学绍骙实验班</v>
      </c>
    </row>
    <row r="474" spans="1:9">
      <c r="A474" s="1" t="str">
        <f>"41132719991201112X"</f>
        <v>41132719991201112X</v>
      </c>
      <c r="B474" s="1" t="str">
        <f t="shared" ref="B474:B479" si="233">"共青团员"</f>
        <v>共青团员</v>
      </c>
      <c r="C474" s="1" t="str">
        <f>"硕士研究生"</f>
        <v>硕士研究生</v>
      </c>
      <c r="D474" s="1" t="str">
        <f>"20240619"</f>
        <v>20240619</v>
      </c>
      <c r="E474" s="1" t="str">
        <f>"首都师范大学"</f>
        <v>首都师范大学</v>
      </c>
      <c r="F474" s="1" t="str">
        <f>"地图学与地理信息系统"</f>
        <v>地图学与地理信息系统</v>
      </c>
      <c r="G474" s="1" t="str">
        <f>"河南省南阳市内乡县赤眉镇"</f>
        <v>河南省南阳市内乡县赤眉镇</v>
      </c>
      <c r="H474" s="1" t="str">
        <f t="shared" si="230"/>
        <v>无</v>
      </c>
      <c r="I474" s="1" t="str">
        <f>"2014年9月至2017年6月就读于河南省内乡县高级中学，是全日制学历。
2017年9月至2021年6月就读于重庆交通大学地理信息科学专业，是全日制学历。
2021年9月至2024年6月就读于首都师范大学地图学与地理信息系统专业，是全日制学历。
2024年6月至今，在家待业。"</f>
        <v>2014年9月至2017年6月就读于河南省内乡县高级中学，是全日制学历。
2017年9月至2021年6月就读于重庆交通大学地理信息科学专业，是全日制学历。
2021年9月至2024年6月就读于首都师范大学地图学与地理信息系统专业，是全日制学历。
2024年6月至今，在家待业。</v>
      </c>
    </row>
    <row r="475" spans="1:9">
      <c r="A475" s="1" t="str">
        <f>"411324199408080047"</f>
        <v>411324199408080047</v>
      </c>
      <c r="B475" s="1" t="str">
        <f>"中共党员"</f>
        <v>中共党员</v>
      </c>
      <c r="C475" s="1" t="str">
        <f t="shared" ref="C475:C478" si="234">"本科"</f>
        <v>本科</v>
      </c>
      <c r="D475" s="1" t="str">
        <f>"20240701"</f>
        <v>20240701</v>
      </c>
      <c r="E475" s="1" t="str">
        <f>"南阳师范学院"</f>
        <v>南阳师范学院</v>
      </c>
      <c r="F475" s="1" t="str">
        <f>"英语"</f>
        <v>英语</v>
      </c>
      <c r="G475" s="1" t="str">
        <f>"河南省镇平县涅阳街道"</f>
        <v>河南省镇平县涅阳街道</v>
      </c>
      <c r="H475" s="1" t="str">
        <f>"初级会计专业技术资格证；初级保密档案专业资格证。"</f>
        <v>初级会计专业技术资格证；初级保密档案专业资格证。</v>
      </c>
      <c r="I475" s="1" t="str">
        <f>"201209-201309 在河南教育学院外语系英语教育专业就读，全日制；
201309-201809 在中国人民解放军63919部队服役；
201809-201909 在镇平县待业；
201909-202107 在河南财政金融学院（原河南教育学院）外国语学院英语教育专业就读，全日制；
202107-202203  在镇平县待业；
202203-202407  在南阳师范学院英语专业就读，业余（非全日制）；
202403-至今 在镇平县涅阳街道办事处就职。"</f>
        <v>201209-201309 在河南教育学院外语系英语教育专业就读，全日制；
201309-201809 在中国人民解放军63919部队服役；
201809-201909 在镇平县待业；
201909-202107 在河南财政金融学院（原河南教育学院）外国语学院英语教育专业就读，全日制；
202107-202203  在镇平县待业；
202203-202407  在南阳师范学院英语专业就读，业余（非全日制）；
202403-至今 在镇平县涅阳街道办事处就职。</v>
      </c>
    </row>
    <row r="476" spans="1:9">
      <c r="A476" s="1" t="str">
        <f>"411330200301153149"</f>
        <v>411330200301153149</v>
      </c>
      <c r="B476" s="1" t="str">
        <f t="shared" si="233"/>
        <v>共青团员</v>
      </c>
      <c r="C476" s="1" t="str">
        <f t="shared" si="234"/>
        <v>本科</v>
      </c>
      <c r="D476" s="1" t="str">
        <f>"20250701"</f>
        <v>20250701</v>
      </c>
      <c r="E476" s="1" t="str">
        <f>"郑州师范学院"</f>
        <v>郑州师范学院</v>
      </c>
      <c r="F476" s="1" t="str">
        <f>"小学教育（小学语文方向）"</f>
        <v>小学教育（小学语文方向）</v>
      </c>
      <c r="G476" s="1" t="str">
        <f>"河南省郑州市中原区电厂路正商明钻"</f>
        <v>河南省郑州市中原区电厂路正商明钻</v>
      </c>
      <c r="H476" s="1" t="str">
        <f>"小学教师资格证--语文"</f>
        <v>小学教师资格证--语文</v>
      </c>
      <c r="I476" s="1" t="str">
        <f>"202109-202507 就读于郑州师范学院 初等教育学院 小学教育专业 
全日制学历"</f>
        <v>202109-202507 就读于郑州师范学院 初等教育学院 小学教育专业 
全日制学历</v>
      </c>
    </row>
    <row r="477" spans="1:9">
      <c r="A477" s="1" t="str">
        <f>"411323199303066314"</f>
        <v>411323199303066314</v>
      </c>
      <c r="B477" s="1" t="str">
        <f t="shared" ref="B477:B481" si="235">"群众"</f>
        <v>群众</v>
      </c>
      <c r="C477" s="1" t="str">
        <f t="shared" si="234"/>
        <v>本科</v>
      </c>
      <c r="D477" s="1" t="str">
        <f>"20200701"</f>
        <v>20200701</v>
      </c>
      <c r="E477" s="1" t="str">
        <f>"南阳师范学院"</f>
        <v>南阳师范学院</v>
      </c>
      <c r="F477" s="1" t="str">
        <f>"计算机科学与技术"</f>
        <v>计算机科学与技术</v>
      </c>
      <c r="G477" s="1" t="str">
        <f>"河南省南阳市内乡县梨苑山庄组35号"</f>
        <v>河南省南阳市内乡县梨苑山庄组35号</v>
      </c>
      <c r="H477" s="1" t="str">
        <f t="shared" ref="H477:H481" si="236">"无"</f>
        <v>无</v>
      </c>
      <c r="I477" s="1" t="str">
        <f>"200909-201207    江西城市职业学院 （全日制）
201803-202007    南阳师范学院（函授非全日制）"</f>
        <v>200909-201207    江西城市职业学院 （全日制）
201803-202007    南阳师范学院（函授非全日制）</v>
      </c>
    </row>
    <row r="478" spans="1:9">
      <c r="A478" s="1" t="str">
        <f>"410823200007280107"</f>
        <v>410823200007280107</v>
      </c>
      <c r="B478" s="1" t="str">
        <f t="shared" si="233"/>
        <v>共青团员</v>
      </c>
      <c r="C478" s="1" t="str">
        <f t="shared" si="234"/>
        <v>本科</v>
      </c>
      <c r="D478" s="1" t="str">
        <f>"20220701"</f>
        <v>20220701</v>
      </c>
      <c r="E478" s="1" t="str">
        <f>"郑州工商学院"</f>
        <v>郑州工商学院</v>
      </c>
      <c r="F478" s="1" t="str">
        <f>"工商管理"</f>
        <v>工商管理</v>
      </c>
      <c r="G478" s="1" t="str">
        <f>"河南省焦作市武陟县乔庙镇关王庙村"</f>
        <v>河南省焦作市武陟县乔庙镇关王庙村</v>
      </c>
      <c r="H478" s="1" t="str">
        <f t="shared" si="236"/>
        <v>无</v>
      </c>
      <c r="I478" s="1" t="str">
        <f>"201809-202007 河南经贸职业学院 会计（电算化）专业  全日制学历专科
202009-202207 郑州工商学院 工商管理专业 全日制学历本科
202207-至今 在河南省焦作市武陟县乔庙镇关王庙村待业"</f>
        <v>201809-202007 河南经贸职业学院 会计（电算化）专业  全日制学历专科
202009-202207 郑州工商学院 工商管理专业 全日制学历本科
202207-至今 在河南省焦作市武陟县乔庙镇关王庙村待业</v>
      </c>
    </row>
    <row r="479" spans="1:9">
      <c r="A479" s="1" t="str">
        <f>"411324200308170024"</f>
        <v>411324200308170024</v>
      </c>
      <c r="B479" s="1" t="str">
        <f t="shared" si="233"/>
        <v>共青团员</v>
      </c>
      <c r="C479" s="1" t="str">
        <f t="shared" ref="C479:C486" si="237">"专科"</f>
        <v>专科</v>
      </c>
      <c r="D479" s="1" t="str">
        <f>"20240701"</f>
        <v>20240701</v>
      </c>
      <c r="E479" s="1" t="str">
        <f>"河南医学高等专科学校"</f>
        <v>河南医学高等专科学校</v>
      </c>
      <c r="F479" s="1" t="str">
        <f>"医学检验技术"</f>
        <v>医学检验技术</v>
      </c>
      <c r="G479" s="1" t="str">
        <f>"河南省南阳市镇平县"</f>
        <v>河南省南阳市镇平县</v>
      </c>
      <c r="H479" s="1" t="str">
        <f t="shared" si="236"/>
        <v>无</v>
      </c>
      <c r="I479" s="1" t="str">
        <f>"202109-202407河南医学高等专科学校医学  检验技术专业
全日制"</f>
        <v>202109-202407河南医学高等专科学校医学  检验技术专业
全日制</v>
      </c>
    </row>
    <row r="480" spans="1:9">
      <c r="A480" s="1" t="str">
        <f>"411323200102103858"</f>
        <v>411323200102103858</v>
      </c>
      <c r="B480" s="1" t="str">
        <f t="shared" si="235"/>
        <v>群众</v>
      </c>
      <c r="C480" s="1" t="str">
        <f t="shared" si="237"/>
        <v>专科</v>
      </c>
      <c r="D480" s="1" t="str">
        <f>"20230309"</f>
        <v>20230309</v>
      </c>
      <c r="E480" s="1" t="str">
        <f>"河南交通职业技术学院"</f>
        <v>河南交通职业技术学院</v>
      </c>
      <c r="F480" s="1" t="str">
        <f>"建筑工程技术"</f>
        <v>建筑工程技术</v>
      </c>
      <c r="G480" s="1" t="str">
        <f>"淅川县金河镇"</f>
        <v>淅川县金河镇</v>
      </c>
      <c r="H480" s="1" t="str">
        <f t="shared" si="236"/>
        <v>无</v>
      </c>
      <c r="I480" s="1" t="str">
        <f>"201909-202303在河南交通职业技术学院就读 是全日制学历"</f>
        <v>201909-202303在河南交通职业技术学院就读 是全日制学历</v>
      </c>
    </row>
    <row r="481" spans="1:9">
      <c r="A481" s="1" t="str">
        <f>"412822200209025871"</f>
        <v>412822200209025871</v>
      </c>
      <c r="B481" s="1" t="str">
        <f t="shared" si="235"/>
        <v>群众</v>
      </c>
      <c r="C481" s="1" t="str">
        <f t="shared" ref="C481:C483" si="238">"本科"</f>
        <v>本科</v>
      </c>
      <c r="D481" s="1" t="str">
        <f>"20240701"</f>
        <v>20240701</v>
      </c>
      <c r="E481" s="1" t="str">
        <f>"华北水利水电大学"</f>
        <v>华北水利水电大学</v>
      </c>
      <c r="F481" s="1" t="str">
        <f>"土木工程"</f>
        <v>土木工程</v>
      </c>
      <c r="G481" s="1" t="str">
        <f>"河南省驻马店市泌阳县御景湾"</f>
        <v>河南省驻马店市泌阳县御景湾</v>
      </c>
      <c r="H481" s="1" t="str">
        <f t="shared" si="236"/>
        <v>无</v>
      </c>
      <c r="I481" s="1" t="str">
        <f>"202009-202407 华北水利水电大学乌拉尔学院土木工程专业就读 全日制学历
202407-至今 待业"</f>
        <v>202009-202407 华北水利水电大学乌拉尔学院土木工程专业就读 全日制学历
202407-至今 待业</v>
      </c>
    </row>
    <row r="482" spans="1:9">
      <c r="A482" s="1" t="str">
        <f>"41132719990204004X"</f>
        <v>41132719990204004X</v>
      </c>
      <c r="B482" s="1" t="str">
        <f t="shared" ref="B482:B487" si="239">"共青团员"</f>
        <v>共青团员</v>
      </c>
      <c r="C482" s="1" t="str">
        <f t="shared" si="238"/>
        <v>本科</v>
      </c>
      <c r="D482" s="1" t="str">
        <f>"20250701"</f>
        <v>20250701</v>
      </c>
      <c r="E482" s="1" t="str">
        <f>"平顶山学院"</f>
        <v>平顶山学院</v>
      </c>
      <c r="F482" s="1" t="str">
        <f>"汉语言文学"</f>
        <v>汉语言文学</v>
      </c>
      <c r="G482" s="1" t="str">
        <f>"河南省南阳市内乡县城关镇范蠡大街回族饭店院内"</f>
        <v>河南省南阳市内乡县城关镇范蠡大街回族饭店院内</v>
      </c>
      <c r="H482" s="1" t="str">
        <f>"小学教师资格证"</f>
        <v>小学教师资格证</v>
      </c>
      <c r="I482" s="1" t="str">
        <f>"201709-202007 三门峡职业技术学院师范学院语文专业全日制 就读
202008-202302 在河南省南阳市内乡县待业
202303-202507 平顶山学院汉语言文学专业非全日制 就读"</f>
        <v>201709-202007 三门峡职业技术学院师范学院语文专业全日制 就读
202008-202302 在河南省南阳市内乡县待业
202303-202507 平顶山学院汉语言文学专业非全日制 就读</v>
      </c>
    </row>
    <row r="483" spans="1:9">
      <c r="A483" s="1" t="str">
        <f>"411324200110142415"</f>
        <v>411324200110142415</v>
      </c>
      <c r="B483" s="1" t="str">
        <f t="shared" si="239"/>
        <v>共青团员</v>
      </c>
      <c r="C483" s="1" t="str">
        <f t="shared" si="238"/>
        <v>本科</v>
      </c>
      <c r="D483" s="1" t="str">
        <f>"2024.06"</f>
        <v>2024.06</v>
      </c>
      <c r="E483" s="1" t="str">
        <f>"商丘学院"</f>
        <v>商丘学院</v>
      </c>
      <c r="F483" s="1" t="str">
        <f>"机械设计制造及其自动化"</f>
        <v>机械设计制造及其自动化</v>
      </c>
      <c r="G483" s="1" t="str">
        <f>"河南省镇平县高丘镇先师庙村山头王219号"</f>
        <v>河南省镇平县高丘镇先师庙村山头王219号</v>
      </c>
      <c r="H483" s="1" t="str">
        <f>"职业技能等级证书  车工  三级"</f>
        <v>职业技能等级证书  车工  三级</v>
      </c>
      <c r="I483" s="1" t="str">
        <f>"202009-202406 商丘学院  机械与电气信息工程系 机械设计制造及其自动化 就读 全日制本科。
202406-202503 芜湖安瑞光电有限公司 质检员。
202503-202507 在家 待业。
"</f>
        <v>202009-202406 商丘学院  机械与电气信息工程系 机械设计制造及其自动化 就读 全日制本科。
202406-202503 芜湖安瑞光电有限公司 质检员。
202503-202507 在家 待业。
</v>
      </c>
    </row>
    <row r="484" spans="1:9">
      <c r="A484" s="1" t="str">
        <f>"411327200310112543"</f>
        <v>411327200310112543</v>
      </c>
      <c r="B484" s="1" t="str">
        <f t="shared" ref="B484:B490" si="240">"群众"</f>
        <v>群众</v>
      </c>
      <c r="C484" s="1" t="str">
        <f t="shared" si="237"/>
        <v>专科</v>
      </c>
      <c r="D484" s="1" t="str">
        <f>"20240601"</f>
        <v>20240601</v>
      </c>
      <c r="E484" s="1" t="str">
        <f>"信阳职业技术学院"</f>
        <v>信阳职业技术学院</v>
      </c>
      <c r="F484" s="1" t="str">
        <f>"医学检验技术"</f>
        <v>医学检验技术</v>
      </c>
      <c r="G484" s="1" t="str">
        <f>"河南省南阳市内乡县王店镇王湾村东南66号"</f>
        <v>河南省南阳市内乡县王店镇王湾村东南66号</v>
      </c>
      <c r="H484" s="1" t="str">
        <f t="shared" ref="H484:H495" si="241">"无"</f>
        <v>无</v>
      </c>
      <c r="I484" s="1" t="str">
        <f>"202109-202406信阳职业技术学院就读。属于全日制大专。"</f>
        <v>202109-202406信阳职业技术学院就读。属于全日制大专。</v>
      </c>
    </row>
    <row r="485" spans="1:9">
      <c r="A485" s="1" t="str">
        <f>"411327199106100048"</f>
        <v>411327199106100048</v>
      </c>
      <c r="B485" s="1" t="str">
        <f t="shared" si="240"/>
        <v>群众</v>
      </c>
      <c r="C485" s="1" t="str">
        <f t="shared" si="237"/>
        <v>专科</v>
      </c>
      <c r="D485" s="1" t="str">
        <f>"20130701"</f>
        <v>20130701</v>
      </c>
      <c r="E485" s="1" t="str">
        <f>"河南经贸职业技术学院"</f>
        <v>河南经贸职业技术学院</v>
      </c>
      <c r="F485" s="1" t="str">
        <f>"电子商务"</f>
        <v>电子商务</v>
      </c>
      <c r="G485" s="1" t="str">
        <f>"内乡县城镇五小西"</f>
        <v>内乡县城镇五小西</v>
      </c>
      <c r="H485" s="1" t="str">
        <f t="shared" si="241"/>
        <v>无</v>
      </c>
      <c r="I485" s="1" t="str">
        <f>"201009-201307 河南经贸职业学院就读
201307-至 今     牧原股份"</f>
        <v>201009-201307 河南经贸职业学院就读
201307-至 今     牧原股份</v>
      </c>
    </row>
    <row r="486" spans="1:9">
      <c r="A486" s="1" t="str">
        <f>"411303200404180044"</f>
        <v>411303200404180044</v>
      </c>
      <c r="B486" s="1" t="str">
        <f t="shared" si="239"/>
        <v>共青团员</v>
      </c>
      <c r="C486" s="1" t="str">
        <f t="shared" si="237"/>
        <v>专科</v>
      </c>
      <c r="D486" s="1" t="str">
        <f>"20250607"</f>
        <v>20250607</v>
      </c>
      <c r="E486" s="1" t="str">
        <f>"河南轻工职业学院"</f>
        <v>河南轻工职业学院</v>
      </c>
      <c r="F486" s="1" t="str">
        <f>"艺术设计"</f>
        <v>艺术设计</v>
      </c>
      <c r="G486" s="1" t="str">
        <f>"河南省南阳市卧龙区八一路与文化路交叉口"</f>
        <v>河南省南阳市卧龙区八一路与文化路交叉口</v>
      </c>
      <c r="H486" s="1" t="str">
        <f>"室内设计证书"</f>
        <v>室内设计证书</v>
      </c>
      <c r="I486" s="1" t="str">
        <f>"202209-202506河南轻工职业学院就读，环境设计系艺术设计专业，是全日制大专"</f>
        <v>202209-202506河南轻工职业学院就读，环境设计系艺术设计专业，是全日制大专</v>
      </c>
    </row>
    <row r="487" spans="1:9">
      <c r="A487" s="1" t="str">
        <f>"411327200307154523"</f>
        <v>411327200307154523</v>
      </c>
      <c r="B487" s="1" t="str">
        <f t="shared" si="239"/>
        <v>共青团员</v>
      </c>
      <c r="C487" s="1" t="str">
        <f t="shared" ref="C487:C491" si="242">"本科"</f>
        <v>本科</v>
      </c>
      <c r="D487" s="1" t="str">
        <f>"20250701"</f>
        <v>20250701</v>
      </c>
      <c r="E487" s="1" t="str">
        <f>"信阳师范大学"</f>
        <v>信阳师范大学</v>
      </c>
      <c r="F487" s="1" t="str">
        <f>"心理学"</f>
        <v>心理学</v>
      </c>
      <c r="G487" s="1" t="str">
        <f>"河南省南阳市内乡县赵店乡张庄村时竹组76号"</f>
        <v>河南省南阳市内乡县赵店乡张庄村时竹组76号</v>
      </c>
      <c r="H487" s="1" t="str">
        <f t="shared" si="241"/>
        <v>无</v>
      </c>
      <c r="I487" s="1" t="str">
        <f>"202109-20250701 信阳师范大学就读
教育科学学院心理学 全日制学历"</f>
        <v>202109-20250701 信阳师范大学就读
教育科学学院心理学 全日制学历</v>
      </c>
    </row>
    <row r="488" spans="1:9">
      <c r="A488" s="1" t="str">
        <f>"411326199408010025"</f>
        <v>411326199408010025</v>
      </c>
      <c r="B488" s="1" t="str">
        <f>"中共党员"</f>
        <v>中共党员</v>
      </c>
      <c r="C488" s="1" t="str">
        <f>"硕士研究生"</f>
        <v>硕士研究生</v>
      </c>
      <c r="D488" s="1" t="str">
        <f>"20210630"</f>
        <v>20210630</v>
      </c>
      <c r="E488" s="1" t="str">
        <f>"三峡大学"</f>
        <v>三峡大学</v>
      </c>
      <c r="F488" s="1" t="str">
        <f>"生物学"</f>
        <v>生物学</v>
      </c>
      <c r="G488" s="1" t="str">
        <f>"河南省南召县城关镇北外村5组5号"</f>
        <v>河南省南召县城关镇北外村5组5号</v>
      </c>
      <c r="H488" s="1" t="str">
        <f t="shared" si="241"/>
        <v>无</v>
      </c>
      <c r="I488" s="1" t="str">
        <f>"201309-201707 周口师范学院 生命科学运动学学院 生物工程专业就读，全日制本科学历；201707-201808 三峡大学实习；201809-202107 三峡大学 生物制药学院 生物学专业就读，全日制硕士研究生学历；202107-202411 上海睿智化学研究有限公司 工作， 生物药研发部门 副研究员；202411-至今，在南召县待业"</f>
        <v>201309-201707 周口师范学院 生命科学运动学学院 生物工程专业就读，全日制本科学历；201707-201808 三峡大学实习；201809-202107 三峡大学 生物制药学院 生物学专业就读，全日制硕士研究生学历；202107-202411 上海睿智化学研究有限公司 工作， 生物药研发部门 副研究员；202411-至今，在南召县待业</v>
      </c>
    </row>
    <row r="489" spans="1:9">
      <c r="A489" s="1" t="str">
        <f>"41132719900401064X"</f>
        <v>41132719900401064X</v>
      </c>
      <c r="B489" s="1" t="str">
        <f t="shared" si="240"/>
        <v>群众</v>
      </c>
      <c r="C489" s="1" t="str">
        <f>"专科"</f>
        <v>专科</v>
      </c>
      <c r="D489" s="1" t="str">
        <f>"20130701"</f>
        <v>20130701</v>
      </c>
      <c r="E489" s="1" t="str">
        <f>"许昌职业技术院校"</f>
        <v>许昌职业技术院校</v>
      </c>
      <c r="F489" s="1" t="str">
        <f>"食品加工技术"</f>
        <v>食品加工技术</v>
      </c>
      <c r="G489" s="1" t="str">
        <f>"内乡县湍东镇北符营村十东13号"</f>
        <v>内乡县湍东镇北符营村十东13号</v>
      </c>
      <c r="H489" s="1" t="str">
        <f t="shared" si="241"/>
        <v>无</v>
      </c>
      <c r="I489" s="1" t="str">
        <f>"201009-201307 许昌职业技术学院就读
201307-201510 豫港华翔汽车有限公司
201510-201810 待业
201811-至今  内乡县畜牧局
"</f>
        <v>201009-201307 许昌职业技术学院就读
201307-201510 豫港华翔汽车有限公司
201510-201810 待业
201811-至今  内乡县畜牧局
</v>
      </c>
    </row>
    <row r="490" spans="1:9">
      <c r="A490" s="1" t="str">
        <f>"411327200205013922"</f>
        <v>411327200205013922</v>
      </c>
      <c r="B490" s="1" t="str">
        <f t="shared" si="240"/>
        <v>群众</v>
      </c>
      <c r="C490" s="1" t="str">
        <f t="shared" si="242"/>
        <v>本科</v>
      </c>
      <c r="D490" s="1" t="str">
        <f>"20250630"</f>
        <v>20250630</v>
      </c>
      <c r="E490" s="1" t="str">
        <f>"郑州大学"</f>
        <v>郑州大学</v>
      </c>
      <c r="F490" s="1" t="str">
        <f>"旅游管理（体育旅游）"</f>
        <v>旅游管理（体育旅游）</v>
      </c>
      <c r="G490" s="1" t="str">
        <f>"河南省内乡县湍东镇"</f>
        <v>河南省内乡县湍东镇</v>
      </c>
      <c r="H490" s="1" t="str">
        <f t="shared" si="241"/>
        <v>无</v>
      </c>
      <c r="I490" s="1" t="str">
        <f>"202109-202506 郑州大学体育学院旅游管理（体育旅游）专业就读，全日制学历。"</f>
        <v>202109-202506 郑州大学体育学院旅游管理（体育旅游）专业就读，全日制学历。</v>
      </c>
    </row>
    <row r="491" spans="1:9">
      <c r="A491" s="1" t="str">
        <f>"412827200007090044"</f>
        <v>412827200007090044</v>
      </c>
      <c r="B491" s="1" t="str">
        <f t="shared" ref="B491:B495" si="243">"共青团员"</f>
        <v>共青团员</v>
      </c>
      <c r="C491" s="1" t="str">
        <f t="shared" si="242"/>
        <v>本科</v>
      </c>
      <c r="D491" s="1" t="str">
        <f>"20220701"</f>
        <v>20220701</v>
      </c>
      <c r="E491" s="1" t="str">
        <f>"河南师范大学新联学院"</f>
        <v>河南师范大学新联学院</v>
      </c>
      <c r="F491" s="1" t="str">
        <f>"小学教育"</f>
        <v>小学教育</v>
      </c>
      <c r="G491" s="1" t="str">
        <f>"河南省驻马店市平舆县清源水业家属院"</f>
        <v>河南省驻马店市平舆县清源水业家属院</v>
      </c>
      <c r="H491" s="1" t="str">
        <f t="shared" si="241"/>
        <v>无</v>
      </c>
      <c r="I491" s="1" t="str">
        <f>"201809-202207河南师范大学新联学院就读  教育学院小学教育专业   全日制
202209-202501古槐二小实习代课"</f>
        <v>201809-202207河南师范大学新联学院就读  教育学院小学教育专业   全日制
202209-202501古槐二小实习代课</v>
      </c>
    </row>
    <row r="492" spans="1:9">
      <c r="A492" s="1" t="str">
        <f>"411325200405050020"</f>
        <v>411325200405050020</v>
      </c>
      <c r="B492" s="1" t="str">
        <f>"群众"</f>
        <v>群众</v>
      </c>
      <c r="C492" s="1" t="str">
        <f>"专科"</f>
        <v>专科</v>
      </c>
      <c r="D492" s="1" t="str">
        <f>"20230625"</f>
        <v>20230625</v>
      </c>
      <c r="E492" s="1" t="str">
        <f>"西安科技大学"</f>
        <v>西安科技大学</v>
      </c>
      <c r="F492" s="1" t="str">
        <f>"城市轨道交通运营管理"</f>
        <v>城市轨道交通运营管理</v>
      </c>
      <c r="G492" s="1" t="str">
        <f>"泰和仁居"</f>
        <v>泰和仁居</v>
      </c>
      <c r="H492" s="1" t="str">
        <f t="shared" si="241"/>
        <v>无</v>
      </c>
      <c r="I492" s="1" t="str">
        <f>"202103-202306，毕业于西安科技大学
202402-202505，在内乡县水旱灾害防御及农村供水综合服务中心工作，  "</f>
        <v>202103-202306，毕业于西安科技大学
202402-202505，在内乡县水旱灾害防御及农村供水综合服务中心工作，  </v>
      </c>
    </row>
    <row r="493" spans="1:9">
      <c r="A493" s="1" t="str">
        <f>"410223199810223517"</f>
        <v>410223199810223517</v>
      </c>
      <c r="B493" s="1" t="str">
        <f t="shared" si="243"/>
        <v>共青团员</v>
      </c>
      <c r="C493" s="1" t="str">
        <f t="shared" ref="C493:C497" si="244">"本科"</f>
        <v>本科</v>
      </c>
      <c r="D493" s="1" t="str">
        <f>"20220701"</f>
        <v>20220701</v>
      </c>
      <c r="E493" s="1" t="str">
        <f>"郑州工商学院"</f>
        <v>郑州工商学院</v>
      </c>
      <c r="F493" s="1" t="str">
        <f>"工商管理"</f>
        <v>工商管理</v>
      </c>
      <c r="G493" s="1" t="str">
        <f>"河南省郑州市管城区紫荆山南路街道电建"</f>
        <v>河南省郑州市管城区紫荆山南路街道电建</v>
      </c>
      <c r="H493" s="1" t="str">
        <f t="shared" si="241"/>
        <v>无</v>
      </c>
      <c r="I493" s="1" t="str">
        <f>"201709-202007河南工业大学中英国际学院会计专业就读 全日制专科
202009-202207郑州工商学院商学院工商管理专业就读 全日制本科
202208-202304河南腾新建筑劳务有限公司会计助理
202304-202501郑州市二七区人民法院执行局书记员（劳务派遣）
202502-至今 待业"</f>
        <v>201709-202007河南工业大学中英国际学院会计专业就读 全日制专科
202009-202207郑州工商学院商学院工商管理专业就读 全日制本科
202208-202304河南腾新建筑劳务有限公司会计助理
202304-202501郑州市二七区人民法院执行局书记员（劳务派遣）
202502-至今 待业</v>
      </c>
    </row>
    <row r="494" spans="1:9">
      <c r="A494" s="1" t="str">
        <f>"411323199810061163"</f>
        <v>411323199810061163</v>
      </c>
      <c r="B494" s="1" t="str">
        <f>"中共党员"</f>
        <v>中共党员</v>
      </c>
      <c r="C494" s="1" t="str">
        <f>"硕士研究生"</f>
        <v>硕士研究生</v>
      </c>
      <c r="D494" s="1" t="str">
        <f>"20250630"</f>
        <v>20250630</v>
      </c>
      <c r="E494" s="1" t="str">
        <f>"江西师范大学"</f>
        <v>江西师范大学</v>
      </c>
      <c r="F494" s="1" t="str">
        <f>"应用经济学"</f>
        <v>应用经济学</v>
      </c>
      <c r="G494" s="1" t="str">
        <f>"河南省南阳市淅川县毛堂乡贾营村"</f>
        <v>河南省南阳市淅川县毛堂乡贾营村</v>
      </c>
      <c r="H494" s="1" t="str">
        <f t="shared" si="241"/>
        <v>无</v>
      </c>
      <c r="I494" s="1" t="str">
        <f>"201809-202206河南工业大学理学院应用统计学就读
202209-202506江西师范大学经济与管理学院应用经济学就读"</f>
        <v>201809-202206河南工业大学理学院应用统计学就读
202209-202506江西师范大学经济与管理学院应用经济学就读</v>
      </c>
    </row>
    <row r="495" spans="1:9">
      <c r="A495" s="1" t="str">
        <f>"411381200204083011"</f>
        <v>411381200204083011</v>
      </c>
      <c r="B495" s="1" t="str">
        <f t="shared" si="243"/>
        <v>共青团员</v>
      </c>
      <c r="C495" s="1" t="str">
        <f>"专科"</f>
        <v>专科</v>
      </c>
      <c r="D495" s="1" t="str">
        <f>"20250613"</f>
        <v>20250613</v>
      </c>
      <c r="E495" s="1" t="str">
        <f>"河南医学高等专科学校"</f>
        <v>河南医学高等专科学校</v>
      </c>
      <c r="F495" s="1" t="str">
        <f>"康复治疗技术"</f>
        <v>康复治疗技术</v>
      </c>
      <c r="G495" s="1" t="str">
        <f>"邓州市"</f>
        <v>邓州市</v>
      </c>
      <c r="H495" s="1" t="str">
        <f t="shared" si="241"/>
        <v>无</v>
      </c>
      <c r="I495" s="1" t="str">
        <f>"202209-202506 河南医学高等专科学校康养学院康复治疗技术专业 就读。是全日制学历"</f>
        <v>202209-202506 河南医学高等专科学校康养学院康复治疗技术专业 就读。是全日制学历</v>
      </c>
    </row>
    <row r="496" spans="1:9">
      <c r="A496" s="1" t="str">
        <f>"411302199608145716"</f>
        <v>411302199608145716</v>
      </c>
      <c r="B496" s="1" t="str">
        <f t="shared" ref="B496:B500" si="245">"群众"</f>
        <v>群众</v>
      </c>
      <c r="C496" s="1" t="str">
        <f t="shared" si="244"/>
        <v>本科</v>
      </c>
      <c r="D496" s="1" t="str">
        <f>"202006"</f>
        <v>202006</v>
      </c>
      <c r="E496" s="1" t="str">
        <f>"长春工业大学人文信息学院"</f>
        <v>长春工业大学人文信息学院</v>
      </c>
      <c r="F496" s="1" t="str">
        <f>"会计学"</f>
        <v>会计学</v>
      </c>
      <c r="G496" s="1" t="str">
        <f>"河南省南阳市宛城区独山大道中段防疫站家属院"</f>
        <v>河南省南阳市宛城区独山大道中段防疫站家属院</v>
      </c>
      <c r="H496" s="1" t="str">
        <f>"会计专业技术资格"</f>
        <v>会计专业技术资格</v>
      </c>
      <c r="I496" s="1" t="str">
        <f>"201609-202006长春工业大学人文信息学院 会计学专业就读，全日制
202006-202109在南阳市待业
202109-202306新疆农业大学 农村发展专业 就读，全日制
202306-202405在南阳待业
202405-至今 山东中建西部建设（青岛）有限公司"</f>
        <v>201609-202006长春工业大学人文信息学院 会计学专业就读，全日制
202006-202109在南阳市待业
202109-202306新疆农业大学 农村发展专业 就读，全日制
202306-202405在南阳待业
202405-至今 山东中建西部建设（青岛）有限公司</v>
      </c>
    </row>
    <row r="497" spans="1:9">
      <c r="A497" s="1" t="str">
        <f>"411330199811224511"</f>
        <v>411330199811224511</v>
      </c>
      <c r="B497" s="1" t="str">
        <f t="shared" ref="B497:B503" si="246">"共青团员"</f>
        <v>共青团员</v>
      </c>
      <c r="C497" s="1" t="str">
        <f t="shared" si="244"/>
        <v>本科</v>
      </c>
      <c r="D497" s="1" t="str">
        <f>"2021-06-28"</f>
        <v>2021-06-28</v>
      </c>
      <c r="E497" s="1" t="str">
        <f>"四川旅游学院"</f>
        <v>四川旅游学院</v>
      </c>
      <c r="F497" s="1" t="str">
        <f>"休闲体育"</f>
        <v>休闲体育</v>
      </c>
      <c r="G497" s="1" t="str">
        <f>"河南省南阳市西峡县米坪镇河西村钟寺组412号"</f>
        <v>河南省南阳市西峡县米坪镇河西村钟寺组412号</v>
      </c>
      <c r="H497" s="1" t="str">
        <f t="shared" ref="H497:H506" si="247">"无"</f>
        <v>无</v>
      </c>
      <c r="I497" s="1" t="str">
        <f>"201709-202106 四川旅游学院运动与休闲学院就读全日制本科
202106-202304 西峡待业
202304至今 西峡县卫生健康委员会"</f>
        <v>201709-202106 四川旅游学院运动与休闲学院就读全日制本科
202106-202304 西峡待业
202304至今 西峡县卫生健康委员会</v>
      </c>
    </row>
    <row r="498" spans="1:9">
      <c r="A498" s="1" t="str">
        <f>"411330199602152929"</f>
        <v>411330199602152929</v>
      </c>
      <c r="B498" s="1" t="str">
        <f t="shared" si="245"/>
        <v>群众</v>
      </c>
      <c r="C498" s="1" t="str">
        <f>"专科"</f>
        <v>专科</v>
      </c>
      <c r="D498" s="1" t="str">
        <f>"20190701"</f>
        <v>20190701</v>
      </c>
      <c r="E498" s="1" t="str">
        <f>"河南工业职业技术学院"</f>
        <v>河南工业职业技术学院</v>
      </c>
      <c r="F498" s="1" t="str">
        <f>"市场营销"</f>
        <v>市场营销</v>
      </c>
      <c r="G498" s="1" t="str">
        <f>"河南新乡"</f>
        <v>河南新乡</v>
      </c>
      <c r="H498" s="1" t="str">
        <f t="shared" si="247"/>
        <v>无</v>
      </c>
      <c r="I498" s="1" t="str">
        <f>"201409-201603河南南阳内乡师范学校就读
201707-201907河南工业职业技术学院，成人大专
202008-202107待业
202107-202210人寿保险公司
202210-202503河南鸿仟里信息技术公司
202503-202507河南聚硕农牧设备有限公司"</f>
        <v>201409-201603河南南阳内乡师范学校就读
201707-201907河南工业职业技术学院，成人大专
202008-202107待业
202107-202210人寿保险公司
202210-202503河南鸿仟里信息技术公司
202503-202507河南聚硕农牧设备有限公司</v>
      </c>
    </row>
    <row r="499" spans="1:9">
      <c r="A499" s="1" t="str">
        <f>"411327199305082049"</f>
        <v>411327199305082049</v>
      </c>
      <c r="B499" s="1" t="str">
        <f t="shared" si="245"/>
        <v>群众</v>
      </c>
      <c r="C499" s="1" t="str">
        <f t="shared" ref="C499:C502" si="248">"本科"</f>
        <v>本科</v>
      </c>
      <c r="D499" s="1" t="str">
        <f>"20160701"</f>
        <v>20160701</v>
      </c>
      <c r="E499" s="1" t="str">
        <f>"华北水利水电大学"</f>
        <v>华北水利水电大学</v>
      </c>
      <c r="F499" s="1" t="str">
        <f>"对外汉语（英语地区方向）"</f>
        <v>对外汉语（英语地区方向）</v>
      </c>
      <c r="G499" s="1" t="str">
        <f>"河南省南阳市内乡县师岗镇"</f>
        <v>河南省南阳市内乡县师岗镇</v>
      </c>
      <c r="H499" s="1" t="str">
        <f t="shared" si="247"/>
        <v>无</v>
      </c>
      <c r="I499" s="1" t="str">
        <f>"201209-201607华北水利水电大学 对外汉语专业就读
201607-201709待业
201709至今桃溪小学
"</f>
        <v>201209-201607华北水利水电大学 对外汉语专业就读
201607-201709待业
201709至今桃溪小学
</v>
      </c>
    </row>
    <row r="500" spans="1:9">
      <c r="A500" s="1" t="str">
        <f>"412822200302064488"</f>
        <v>412822200302064488</v>
      </c>
      <c r="B500" s="1" t="str">
        <f t="shared" si="245"/>
        <v>群众</v>
      </c>
      <c r="C500" s="1" t="str">
        <f t="shared" si="248"/>
        <v>本科</v>
      </c>
      <c r="D500" s="1" t="str">
        <f>"2024-07-01"</f>
        <v>2024-07-01</v>
      </c>
      <c r="E500" s="1" t="str">
        <f>"河南牧业经济学院"</f>
        <v>河南牧业经济学院</v>
      </c>
      <c r="F500" s="1" t="str">
        <f>"能源与动力工程"</f>
        <v>能源与动力工程</v>
      </c>
      <c r="G500" s="1" t="str">
        <f>"河南省驻马店市泌阳县高邑乡"</f>
        <v>河南省驻马店市泌阳县高邑乡</v>
      </c>
      <c r="H500" s="1" t="str">
        <f t="shared" si="247"/>
        <v>无</v>
      </c>
      <c r="I500" s="1" t="str">
        <f>"202009-202407 河南牧业经济学校 能源与智能工程学院能源与动力专业就读 全日制"</f>
        <v>202009-202407 河南牧业经济学校 能源与智能工程学院能源与动力专业就读 全日制</v>
      </c>
    </row>
    <row r="501" spans="1:9">
      <c r="A501" s="1" t="str">
        <f>"500101200401038875"</f>
        <v>500101200401038875</v>
      </c>
      <c r="B501" s="1" t="str">
        <f t="shared" si="246"/>
        <v>共青团员</v>
      </c>
      <c r="C501" s="1" t="str">
        <f t="shared" si="248"/>
        <v>本科</v>
      </c>
      <c r="D501" s="1" t="str">
        <f>"20250620"</f>
        <v>20250620</v>
      </c>
      <c r="E501" s="1" t="str">
        <f>"郑州航空工业管理学院"</f>
        <v>郑州航空工业管理学院</v>
      </c>
      <c r="F501" s="1" t="str">
        <f>"人力资源管理"</f>
        <v>人力资源管理</v>
      </c>
      <c r="G501" s="1" t="str">
        <f>"重庆市万州区百安花园25栋601"</f>
        <v>重庆市万州区百安花园25栋601</v>
      </c>
      <c r="H501" s="1" t="str">
        <f t="shared" si="247"/>
        <v>无</v>
      </c>
      <c r="I501" s="1" t="str">
        <f>"202109-202506 郑州航空工业管理学院 商学院 人力资源管理专业 全日制 就读
202506-             家中待业"</f>
        <v>202109-202506 郑州航空工业管理学院 商学院 人力资源管理专业 全日制 就读
202506-             家中待业</v>
      </c>
    </row>
    <row r="502" spans="1:9">
      <c r="A502" s="1" t="str">
        <f>"411324200103090047"</f>
        <v>411324200103090047</v>
      </c>
      <c r="B502" s="1" t="str">
        <f t="shared" si="246"/>
        <v>共青团员</v>
      </c>
      <c r="C502" s="1" t="str">
        <f t="shared" si="248"/>
        <v>本科</v>
      </c>
      <c r="D502" s="1" t="str">
        <f>"2025-06-07"</f>
        <v>2025-06-07</v>
      </c>
      <c r="E502" s="1" t="str">
        <f>"河南开封科技传媒学院"</f>
        <v>河南开封科技传媒学院</v>
      </c>
      <c r="F502" s="1" t="str">
        <f>"动画"</f>
        <v>动画</v>
      </c>
      <c r="G502" s="1" t="str">
        <f>"河南省南阳市镇平县城关镇北大街52组27号"</f>
        <v>河南省南阳市镇平县城关镇北大街52组27号</v>
      </c>
      <c r="H502" s="1" t="str">
        <f t="shared" si="247"/>
        <v>无</v>
      </c>
      <c r="I502" s="1" t="str">
        <f>"202009-202306许昌学院艺术学院艺术设计专业专科就读。202309-202506河南开封科技传媒学院艺术学院动画专业本科就读，是全日制学历。"</f>
        <v>202009-202306许昌学院艺术学院艺术设计专业专科就读。202309-202506河南开封科技传媒学院艺术学院动画专业本科就读，是全日制学历。</v>
      </c>
    </row>
    <row r="503" spans="1:9">
      <c r="A503" s="1" t="str">
        <f>"410782200301091563"</f>
        <v>410782200301091563</v>
      </c>
      <c r="B503" s="1" t="str">
        <f t="shared" si="246"/>
        <v>共青团员</v>
      </c>
      <c r="C503" s="1" t="str">
        <f>"专科"</f>
        <v>专科</v>
      </c>
      <c r="D503" s="1" t="str">
        <f>"20240701"</f>
        <v>20240701</v>
      </c>
      <c r="E503" s="1" t="str">
        <f>"焦作大学"</f>
        <v>焦作大学</v>
      </c>
      <c r="F503" s="1" t="str">
        <f>"法律事务"</f>
        <v>法律事务</v>
      </c>
      <c r="G503" s="1" t="str">
        <f>"河南省辉县市"</f>
        <v>河南省辉县市</v>
      </c>
      <c r="H503" s="1" t="str">
        <f t="shared" si="247"/>
        <v>无</v>
      </c>
      <c r="I503" s="1" t="str">
        <f>"202109-202407焦作大学法律事务专业就读 非全日制"</f>
        <v>202109-202407焦作大学法律事务专业就读 非全日制</v>
      </c>
    </row>
    <row r="504" spans="1:9">
      <c r="A504" s="1" t="str">
        <f>"411327200001260614"</f>
        <v>411327200001260614</v>
      </c>
      <c r="B504" s="1" t="str">
        <f t="shared" ref="B504:B507" si="249">"群众"</f>
        <v>群众</v>
      </c>
      <c r="C504" s="1" t="str">
        <f t="shared" ref="C504:C510" si="250">"本科"</f>
        <v>本科</v>
      </c>
      <c r="D504" s="1" t="str">
        <f>"20210701"</f>
        <v>20210701</v>
      </c>
      <c r="E504" s="1" t="str">
        <f>"郑州大学（西亚斯国际学院）"</f>
        <v>郑州大学（西亚斯国际学院）</v>
      </c>
      <c r="F504" s="1" t="str">
        <f>"计算机科学与技术"</f>
        <v>计算机科学与技术</v>
      </c>
      <c r="G504" s="1" t="str">
        <f>"河南省南阳市内乡县马山口镇"</f>
        <v>河南省南阳市内乡县马山口镇</v>
      </c>
      <c r="H504" s="1" t="str">
        <f t="shared" si="247"/>
        <v>无</v>
      </c>
      <c r="I504" s="1" t="str">
        <f>"201709-202107 郑州大学西亚斯学院计算机科学与技术专业就读，全日制学历
202107至今待业"</f>
        <v>201709-202107 郑州大学西亚斯学院计算机科学与技术专业就读，全日制学历
202107至今待业</v>
      </c>
    </row>
    <row r="505" spans="1:9">
      <c r="A505" s="1" t="str">
        <f>"41132520020311206X"</f>
        <v>41132520020311206X</v>
      </c>
      <c r="B505" s="1" t="str">
        <f t="shared" si="249"/>
        <v>群众</v>
      </c>
      <c r="C505" s="1" t="str">
        <f t="shared" si="250"/>
        <v>本科</v>
      </c>
      <c r="D505" s="1" t="str">
        <f>"2025-07-01"</f>
        <v>2025-07-01</v>
      </c>
      <c r="E505" s="1" t="str">
        <f>"安阳工学院"</f>
        <v>安阳工学院</v>
      </c>
      <c r="F505" s="1" t="str">
        <f>"城乡规划"</f>
        <v>城乡规划</v>
      </c>
      <c r="G505" s="1" t="str">
        <f>"河南省南阳市"</f>
        <v>河南省南阳市</v>
      </c>
      <c r="H505" s="1" t="str">
        <f t="shared" si="247"/>
        <v>无</v>
      </c>
      <c r="I505" s="1" t="str">
        <f>"202009-202506在安阳工学院土建与交通工程学院城乡规划就读，是全日制学历"</f>
        <v>202009-202506在安阳工学院土建与交通工程学院城乡规划就读，是全日制学历</v>
      </c>
    </row>
    <row r="506" spans="1:9">
      <c r="A506" s="1" t="str">
        <f>"411327199811154586"</f>
        <v>411327199811154586</v>
      </c>
      <c r="B506" s="1" t="str">
        <f>"共青团员"</f>
        <v>共青团员</v>
      </c>
      <c r="C506" s="1" t="str">
        <f>"硕士研究生"</f>
        <v>硕士研究生</v>
      </c>
      <c r="D506" s="1" t="str">
        <f>"20240620"</f>
        <v>20240620</v>
      </c>
      <c r="E506" s="1" t="str">
        <f>"华中农业大学"</f>
        <v>华中农业大学</v>
      </c>
      <c r="F506" s="1" t="str">
        <f>"农艺与种业"</f>
        <v>农艺与种业</v>
      </c>
      <c r="G506" s="1" t="str">
        <f>"河南省南阳市内乡县赵店乡花洼村"</f>
        <v>河南省南阳市内乡县赵店乡花洼村</v>
      </c>
      <c r="H506" s="1" t="str">
        <f t="shared" si="247"/>
        <v>无</v>
      </c>
      <c r="I506" s="1" t="str">
        <f>"201709-202106 河南农业大学  农学院  农学（农产品标准化与质量检测）全日制本科 就读；
202109-202406 华中农业大学  植物科学技术学院  农艺与种业  全日制硕士 就读；
202407-至今 在家待业。"</f>
        <v>201709-202106 河南农业大学  农学院  农学（农产品标准化与质量检测）全日制本科 就读；
202109-202406 华中农业大学  植物科学技术学院  农艺与种业  全日制硕士 就读；
202407-至今 在家待业。</v>
      </c>
    </row>
    <row r="507" spans="1:9">
      <c r="A507" s="1" t="str">
        <f>"412821200203154430"</f>
        <v>412821200203154430</v>
      </c>
      <c r="B507" s="1" t="str">
        <f t="shared" si="249"/>
        <v>群众</v>
      </c>
      <c r="C507" s="1" t="str">
        <f t="shared" si="250"/>
        <v>本科</v>
      </c>
      <c r="D507" s="1" t="str">
        <f>"20240625"</f>
        <v>20240625</v>
      </c>
      <c r="E507" s="1" t="str">
        <f>"郑州西亚斯学院"</f>
        <v>郑州西亚斯学院</v>
      </c>
      <c r="F507" s="1" t="str">
        <f>"会计学"</f>
        <v>会计学</v>
      </c>
      <c r="G507" s="1" t="str">
        <f>"河南省驻马店市置地天中第一城"</f>
        <v>河南省驻马店市置地天中第一城</v>
      </c>
      <c r="H507" s="1" t="str">
        <f>"初级会计证书"</f>
        <v>初级会计证书</v>
      </c>
      <c r="I507" s="1" t="str">
        <f>"202009-202406  郑州西亚斯学院会计专业就读，全日制学历"</f>
        <v>202009-202406  郑州西亚斯学院会计专业就读，全日制学历</v>
      </c>
    </row>
    <row r="508" spans="1:9">
      <c r="A508" s="1" t="str">
        <f>"411327200308101538"</f>
        <v>411327200308101538</v>
      </c>
      <c r="B508" s="1" t="str">
        <f>"共青团员"</f>
        <v>共青团员</v>
      </c>
      <c r="C508" s="1" t="str">
        <f t="shared" si="250"/>
        <v>本科</v>
      </c>
      <c r="D508" s="1" t="str">
        <f>"20240606"</f>
        <v>20240606</v>
      </c>
      <c r="E508" s="1" t="str">
        <f>"河南大学民生学院"</f>
        <v>河南大学民生学院</v>
      </c>
      <c r="F508" s="1" t="str">
        <f>"人文地理与城乡规划"</f>
        <v>人文地理与城乡规划</v>
      </c>
      <c r="G508" s="1" t="str">
        <f>"河南省南阳市内乡县"</f>
        <v>河南省南阳市内乡县</v>
      </c>
      <c r="H508" s="1" t="str">
        <f>"室内装饰设计师"</f>
        <v>室内装饰设计师</v>
      </c>
      <c r="I508" s="1" t="str">
        <f>"202009-202406河南大学民生学院就读"</f>
        <v>202009-202406河南大学民生学院就读</v>
      </c>
    </row>
    <row r="509" spans="1:9">
      <c r="A509" s="1" t="str">
        <f>"412801200103310840"</f>
        <v>412801200103310840</v>
      </c>
      <c r="B509" s="1" t="str">
        <f>"中共党员"</f>
        <v>中共党员</v>
      </c>
      <c r="C509" s="1" t="str">
        <f t="shared" si="250"/>
        <v>本科</v>
      </c>
      <c r="D509" s="1" t="str">
        <f>"20240701"</f>
        <v>20240701</v>
      </c>
      <c r="E509" s="1" t="str">
        <f>"中原工学院"</f>
        <v>中原工学院</v>
      </c>
      <c r="F509" s="1" t="str">
        <f>"广播电视编导"</f>
        <v>广播电视编导</v>
      </c>
      <c r="G509" s="1" t="str">
        <f>"河南省驻马店市驿城区鹏宇天下城七号楼二单元604"</f>
        <v>河南省驻马店市驿城区鹏宇天下城七号楼二单元604</v>
      </c>
      <c r="H509" s="1" t="str">
        <f t="shared" ref="H509:H514" si="251">"无"</f>
        <v>无</v>
      </c>
      <c r="I509" s="1" t="str">
        <f>"202009-202407 中原工学院新闻与传播学院广播电视编导专业就读，全日制
202407-202507 河南省驻马店市驿城区待业"</f>
        <v>202009-202407 中原工学院新闻与传播学院广播电视编导专业就读，全日制
202407-202507 河南省驻马店市驿城区待业</v>
      </c>
    </row>
    <row r="510" spans="1:9">
      <c r="A510" s="1" t="str">
        <f>"41132720020605454X"</f>
        <v>41132720020605454X</v>
      </c>
      <c r="B510" s="1" t="str">
        <f t="shared" ref="B510:B513" si="252">"群众"</f>
        <v>群众</v>
      </c>
      <c r="C510" s="1" t="str">
        <f t="shared" si="250"/>
        <v>本科</v>
      </c>
      <c r="D510" s="1" t="str">
        <f>"20240606"</f>
        <v>20240606</v>
      </c>
      <c r="E510" s="1" t="str">
        <f>"河南大学"</f>
        <v>河南大学</v>
      </c>
      <c r="F510" s="1" t="str">
        <f>"会计学"</f>
        <v>会计学</v>
      </c>
      <c r="G510" s="1" t="str">
        <f>"河南省南阳市内乡县赵店乡长岭村"</f>
        <v>河南省南阳市内乡县赵店乡长岭村</v>
      </c>
      <c r="H510" s="1" t="str">
        <f>"初级会计证书"</f>
        <v>初级会计证书</v>
      </c>
      <c r="I510" s="1" t="str">
        <f>"202009—202406河南大学商学院会计学专业就读，全日制
202406—202507河南省南阳市内乡县待业"</f>
        <v>202009—202406河南大学商学院会计学专业就读，全日制
202406—202507河南省南阳市内乡县待业</v>
      </c>
    </row>
    <row r="511" spans="1:9">
      <c r="A511" s="1" t="str">
        <f>"411323200309243428"</f>
        <v>411323200309243428</v>
      </c>
      <c r="B511" s="1" t="str">
        <f t="shared" si="252"/>
        <v>群众</v>
      </c>
      <c r="C511" s="1" t="str">
        <f t="shared" ref="C511:C513" si="253">"专科"</f>
        <v>专科</v>
      </c>
      <c r="D511" s="1" t="str">
        <f>"20250622"</f>
        <v>20250622</v>
      </c>
      <c r="E511" s="1" t="str">
        <f>"安阳幼儿师范高等专科学校"</f>
        <v>安阳幼儿师范高等专科学校</v>
      </c>
      <c r="F511" s="1" t="str">
        <f>"小学语文教育"</f>
        <v>小学语文教育</v>
      </c>
      <c r="G511" s="1" t="str">
        <f>"河南省南阳市卧龙区蒲山镇刘家埂"</f>
        <v>河南省南阳市卧龙区蒲山镇刘家埂</v>
      </c>
      <c r="H511" s="1" t="str">
        <f>"普通话证书二级甲等 小学语文教师资格证"</f>
        <v>普通话证书二级甲等 小学语文教师资格证</v>
      </c>
      <c r="I511" s="1" t="str">
        <f>"202209-202506安阳幼儿师范高等专科学校 语言文化学院小学语文教育专业 全日制就读"</f>
        <v>202209-202506安阳幼儿师范高等专科学校 语言文化学院小学语文教育专业 全日制就读</v>
      </c>
    </row>
    <row r="512" spans="1:9">
      <c r="A512" s="1" t="str">
        <f>"411381200111264833"</f>
        <v>411381200111264833</v>
      </c>
      <c r="B512" s="1" t="str">
        <f>"共青团员"</f>
        <v>共青团员</v>
      </c>
      <c r="C512" s="1" t="str">
        <f t="shared" si="253"/>
        <v>专科</v>
      </c>
      <c r="D512" s="1" t="str">
        <f>"20230701"</f>
        <v>20230701</v>
      </c>
      <c r="E512" s="1" t="str">
        <f>"洛阳理工学院"</f>
        <v>洛阳理工学院</v>
      </c>
      <c r="F512" s="1" t="str">
        <f>"工业机器人技术"</f>
        <v>工业机器人技术</v>
      </c>
      <c r="G512" s="1" t="str">
        <f>"河南省邓州市"</f>
        <v>河南省邓州市</v>
      </c>
      <c r="H512" s="1" t="str">
        <f t="shared" si="251"/>
        <v>无</v>
      </c>
      <c r="I512" s="1" t="str">
        <f>"202007-202307洛阳理工学院 智能制造学院工业机器人技术专业全日制
202307-至今待业"</f>
        <v>202007-202307洛阳理工学院 智能制造学院工业机器人技术专业全日制
202307-至今待业</v>
      </c>
    </row>
    <row r="513" spans="1:9">
      <c r="A513" s="1" t="str">
        <f>"411325199605064237"</f>
        <v>411325199605064237</v>
      </c>
      <c r="B513" s="1" t="str">
        <f t="shared" si="252"/>
        <v>群众</v>
      </c>
      <c r="C513" s="1" t="str">
        <f t="shared" si="253"/>
        <v>专科</v>
      </c>
      <c r="D513" s="1" t="str">
        <f>"20250701"</f>
        <v>20250701</v>
      </c>
      <c r="E513" s="1" t="str">
        <f>"漯河职业技术学院"</f>
        <v>漯河职业技术学院</v>
      </c>
      <c r="F513" s="1" t="str">
        <f>"计算机应用技术"</f>
        <v>计算机应用技术</v>
      </c>
      <c r="G513" s="1" t="str">
        <f>"南阳市内乡县湍东镇罗岗村新房子组1号"</f>
        <v>南阳市内乡县湍东镇罗岗村新房子组1号</v>
      </c>
      <c r="H513" s="1" t="str">
        <f t="shared" si="251"/>
        <v>无</v>
      </c>
      <c r="I513" s="1" t="str">
        <f>"2023 年 05 月 - 2025 年 07 月 漯河职业技术学院 计算机应用技术专业 就读，非全日制（成人高等教育专科）学历"</f>
        <v>2023 年 05 月 - 2025 年 07 月 漯河职业技术学院 计算机应用技术专业 就读，非全日制（成人高等教育专科）学历</v>
      </c>
    </row>
    <row r="514" ht="121.5" spans="1:9">
      <c r="A514" s="1" t="str">
        <f>"410106199306231516"</f>
        <v>410106199306231516</v>
      </c>
      <c r="B514" s="1" t="str">
        <f>"中共党员"</f>
        <v>中共党员</v>
      </c>
      <c r="C514" s="1" t="str">
        <f t="shared" ref="C514:C518" si="254">"本科"</f>
        <v>本科</v>
      </c>
      <c r="D514" s="1" t="str">
        <f>"2021-06-17"</f>
        <v>2021-06-17</v>
      </c>
      <c r="E514" s="1" t="str">
        <f>"河南科技大学"</f>
        <v>河南科技大学</v>
      </c>
      <c r="F514" s="1" t="str">
        <f>"园林"</f>
        <v>园林</v>
      </c>
      <c r="G514" s="1" t="str">
        <f>"河南省郑州市上街区十四小区11号楼"</f>
        <v>河南省郑州市上街区十四小区11号楼</v>
      </c>
      <c r="H514" s="1" t="str">
        <f t="shared" si="251"/>
        <v>无</v>
      </c>
      <c r="I514" s="3" t="s">
        <v>210</v>
      </c>
    </row>
    <row r="515" spans="1:9">
      <c r="A515" s="1" t="str">
        <f>"411327200203200011"</f>
        <v>411327200203200011</v>
      </c>
      <c r="B515" s="1" t="str">
        <f t="shared" ref="B515:B519" si="255">"群众"</f>
        <v>群众</v>
      </c>
      <c r="C515" s="1" t="str">
        <f t="shared" si="254"/>
        <v>本科</v>
      </c>
      <c r="D515" s="1" t="str">
        <f>"20240607"</f>
        <v>20240607</v>
      </c>
      <c r="E515" s="1" t="str">
        <f>"郑州西亚斯学院"</f>
        <v>郑州西亚斯学院</v>
      </c>
      <c r="F515" s="1" t="str">
        <f>"护理学"</f>
        <v>护理学</v>
      </c>
      <c r="G515" s="1" t="str">
        <f>"河南省南阳市内乡县南关党校对面"</f>
        <v>河南省南阳市内乡县南关党校对面</v>
      </c>
      <c r="H515" s="1" t="str">
        <f>"护士资格证"</f>
        <v>护士资格证</v>
      </c>
      <c r="I515" s="1" t="str">
        <f>"202009-202406 郑州西亚斯学院 就读
"</f>
        <v>202009-202406 郑州西亚斯学院 就读
</v>
      </c>
    </row>
    <row r="516" spans="1:9">
      <c r="A516" s="1" t="str">
        <f>"41132719961029251X"</f>
        <v>41132719961029251X</v>
      </c>
      <c r="B516" s="1" t="str">
        <f t="shared" si="255"/>
        <v>群众</v>
      </c>
      <c r="C516" s="1" t="str">
        <f t="shared" si="254"/>
        <v>本科</v>
      </c>
      <c r="D516" s="1" t="str">
        <f>"20190701"</f>
        <v>20190701</v>
      </c>
      <c r="E516" s="1" t="str">
        <f>"洛阳师范学院"</f>
        <v>洛阳师范学院</v>
      </c>
      <c r="F516" s="1" t="str">
        <f>"视觉传达设计"</f>
        <v>视觉传达设计</v>
      </c>
      <c r="G516" s="1" t="str">
        <f>"内乡县城关镇书院路33号"</f>
        <v>内乡县城关镇书院路33号</v>
      </c>
      <c r="H516" s="1" t="str">
        <f t="shared" ref="H516:H519" si="256">"无"</f>
        <v>无</v>
      </c>
      <c r="I516" s="1" t="str">
        <f>"201409-201907  洛阳师范学院  就读"</f>
        <v>201409-201907  洛阳师范学院  就读</v>
      </c>
    </row>
    <row r="517" spans="1:9">
      <c r="A517" s="1" t="str">
        <f>"411327200001243910"</f>
        <v>411327200001243910</v>
      </c>
      <c r="B517" s="1" t="str">
        <f t="shared" si="255"/>
        <v>群众</v>
      </c>
      <c r="C517" s="1" t="str">
        <f t="shared" si="254"/>
        <v>本科</v>
      </c>
      <c r="D517" s="1" t="str">
        <f t="shared" ref="D517:D521" si="257">"20220701"</f>
        <v>20220701</v>
      </c>
      <c r="E517" s="1" t="str">
        <f>"中原工学院信息商务学院"</f>
        <v>中原工学院信息商务学院</v>
      </c>
      <c r="F517" s="1" t="str">
        <f>"审计学"</f>
        <v>审计学</v>
      </c>
      <c r="G517" s="1" t="str">
        <f>"河南省南阳市内乡县乍岖镇庙湾村"</f>
        <v>河南省南阳市内乡县乍岖镇庙湾村</v>
      </c>
      <c r="H517" s="1" t="str">
        <f t="shared" si="256"/>
        <v>无</v>
      </c>
      <c r="I517" s="1" t="str">
        <f>"201809-202207 中原工学院信息商务学院会计系审计学就读
"</f>
        <v>201809-202207 中原工学院信息商务学院会计系审计学就读
</v>
      </c>
    </row>
    <row r="518" spans="1:9">
      <c r="A518" s="1" t="str">
        <f>"411327199511020025"</f>
        <v>411327199511020025</v>
      </c>
      <c r="B518" s="1" t="str">
        <f t="shared" si="255"/>
        <v>群众</v>
      </c>
      <c r="C518" s="1" t="str">
        <f t="shared" si="254"/>
        <v>本科</v>
      </c>
      <c r="D518" s="1" t="str">
        <f>"20180701"</f>
        <v>20180701</v>
      </c>
      <c r="E518" s="1" t="str">
        <f>"商丘学院"</f>
        <v>商丘学院</v>
      </c>
      <c r="F518" s="1" t="str">
        <f>"财务管理"</f>
        <v>财务管理</v>
      </c>
      <c r="G518" s="1" t="str">
        <f>"内乡县西城花苑12号楼"</f>
        <v>内乡县西城花苑12号楼</v>
      </c>
      <c r="H518" s="1" t="str">
        <f>"初级会计专业技术资格证书"</f>
        <v>初级会计专业技术资格证书</v>
      </c>
      <c r="I518" s="1" t="str">
        <f>"201309-201607 华北水利水电大学会计电算化专业就读，是全日制学历
201607-201609 内乡待业
201609-201807 商丘学院财务管理专业就读，是全日制学历
201807-201911 内乡家中待业
201911-202205 卧龙区司法局工作
202205-202311 瓦亭镇政府工作
202311-至今   内乡家中待业
"</f>
        <v>201309-201607 华北水利水电大学会计电算化专业就读，是全日制学历
201607-201609 内乡待业
201609-201807 商丘学院财务管理专业就读，是全日制学历
201807-201911 内乡家中待业
201911-202205 卧龙区司法局工作
202205-202311 瓦亭镇政府工作
202311-至今   内乡家中待业
</v>
      </c>
    </row>
    <row r="519" spans="1:9">
      <c r="A519" s="1" t="str">
        <f>"411327199002202525"</f>
        <v>411327199002202525</v>
      </c>
      <c r="B519" s="1" t="str">
        <f t="shared" si="255"/>
        <v>群众</v>
      </c>
      <c r="C519" s="1" t="str">
        <f>"专科"</f>
        <v>专科</v>
      </c>
      <c r="D519" s="1" t="str">
        <f>"20110701"</f>
        <v>20110701</v>
      </c>
      <c r="E519" s="1" t="str">
        <f>"中州大学"</f>
        <v>中州大学</v>
      </c>
      <c r="F519" s="1" t="str">
        <f>"物流管理"</f>
        <v>物流管理</v>
      </c>
      <c r="G519" s="1" t="str">
        <f>"河南省内乡县余关乡余关村下岳沟北头1号"</f>
        <v>河南省内乡县余关乡余关村下岳沟北头1号</v>
      </c>
      <c r="H519" s="1" t="str">
        <f t="shared" si="256"/>
        <v>无</v>
      </c>
      <c r="I519" s="1" t="str">
        <f>"200509-200807内乡第三高中 就读 全日制
200804-201106中州大学就读 全日制
201107-201206永杰物流有限公司
201209-201406 艾利丹尼森有限公司
201409-201501 丹马士国际物流有限公司	
201504-202009 历高佳城科技有限公司 
202009-至今 待业"</f>
        <v>200509-200807内乡第三高中 就读 全日制
200804-201106中州大学就读 全日制
201107-201206永杰物流有限公司
201209-201406 艾利丹尼森有限公司
201409-201501 丹马士国际物流有限公司	
201504-202009 历高佳城科技有限公司 
202009-至今 待业</v>
      </c>
    </row>
    <row r="520" spans="1:9">
      <c r="A520" s="1" t="str">
        <f>"411327199901180323"</f>
        <v>411327199901180323</v>
      </c>
      <c r="B520" s="1" t="str">
        <f t="shared" ref="B520:B524" si="258">"共青团员"</f>
        <v>共青团员</v>
      </c>
      <c r="C520" s="1" t="str">
        <f t="shared" ref="C520:C530" si="259">"本科"</f>
        <v>本科</v>
      </c>
      <c r="D520" s="1" t="str">
        <f t="shared" si="257"/>
        <v>20220701</v>
      </c>
      <c r="E520" s="1" t="str">
        <f>"河南财政金融学院"</f>
        <v>河南财政金融学院</v>
      </c>
      <c r="F520" s="1" t="str">
        <f>"会计学"</f>
        <v>会计学</v>
      </c>
      <c r="G520" s="1" t="str">
        <f>"河南省南阳市内乡县"</f>
        <v>河南省南阳市内乡县</v>
      </c>
      <c r="H520" s="1" t="str">
        <f>"初级会计证书"</f>
        <v>初级会计证书</v>
      </c>
      <c r="I520" s="1" t="str">
        <f>"201809-202207 河南财政金融学院就读
202207-202303 河南省南阳市内乡县待业
202303-202310 镇平牧原农牧有限公司就业
202310-202403 伏牛山生物科技有限公司就业
202403-202412 北控城市环境服务集团有限公司就业
202501-202507 南阳市美保环保设备有限公司就业
"</f>
        <v>201809-202207 河南财政金融学院就读
202207-202303 河南省南阳市内乡县待业
202303-202310 镇平牧原农牧有限公司就业
202310-202403 伏牛山生物科技有限公司就业
202403-202412 北控城市环境服务集团有限公司就业
202501-202507 南阳市美保环保设备有限公司就业
</v>
      </c>
    </row>
    <row r="521" spans="1:9">
      <c r="A521" s="1" t="str">
        <f>"411327200112192036"</f>
        <v>411327200112192036</v>
      </c>
      <c r="B521" s="1" t="str">
        <f>"中共预备党员"</f>
        <v>中共预备党员</v>
      </c>
      <c r="C521" s="1" t="str">
        <f t="shared" si="259"/>
        <v>本科</v>
      </c>
      <c r="D521" s="1" t="str">
        <f t="shared" si="257"/>
        <v>20220701</v>
      </c>
      <c r="E521" s="1" t="str">
        <f>"许昌学院"</f>
        <v>许昌学院</v>
      </c>
      <c r="F521" s="1" t="str">
        <f>"学前教育"</f>
        <v>学前教育</v>
      </c>
      <c r="G521" s="1" t="str">
        <f>"河南省南阳市内乡县师岗镇张集村"</f>
        <v>河南省南阳市内乡县师岗镇张集村</v>
      </c>
      <c r="H521" s="1" t="str">
        <f>"民用无人机驾驶航空操控员执照"</f>
        <v>民用无人机驾驶航空操控员执照</v>
      </c>
      <c r="I521" s="1" t="str">
        <f>"201809-202207  许昌学院  就读于国际教育学院学前教育专业 为全日制学历
202303-202503  服役于中国人民解放军69361部队  曾担任过文书职位"</f>
        <v>201809-202207  许昌学院  就读于国际教育学院学前教育专业 为全日制学历
202303-202503  服役于中国人民解放军69361部队  曾担任过文书职位</v>
      </c>
    </row>
    <row r="522" spans="1:9">
      <c r="A522" s="1" t="str">
        <f>"41132719991120013X"</f>
        <v>41132719991120013X</v>
      </c>
      <c r="B522" s="1" t="str">
        <f>"群众"</f>
        <v>群众</v>
      </c>
      <c r="C522" s="1" t="str">
        <f>"专科"</f>
        <v>专科</v>
      </c>
      <c r="D522" s="1" t="str">
        <f>"20200701"</f>
        <v>20200701</v>
      </c>
      <c r="E522" s="1" t="str">
        <f>"河南轻工职业学院"</f>
        <v>河南轻工职业学院</v>
      </c>
      <c r="F522" s="1" t="str">
        <f>"视觉传播设计与制作（平面设计方向）"</f>
        <v>视觉传播设计与制作（平面设计方向）</v>
      </c>
      <c r="G522" s="1" t="str">
        <f>"河南省南阳市内乡县新都花苑小区"</f>
        <v>河南省南阳市内乡县新都花苑小区</v>
      </c>
      <c r="H522" s="1" t="str">
        <f t="shared" ref="H522:H524" si="260">"无"</f>
        <v>无</v>
      </c>
      <c r="I522" s="1" t="str">
        <f>"201709-202007 河南轻工职业学院就读 2017年9月-2020年7月在河南轻工职业学院视传系 视觉传播设计与制作（平面设计方向）就读，是全日制学历，2020年-今日待业"</f>
        <v>201709-202007 河南轻工职业学院就读 2017年9月-2020年7月在河南轻工职业学院视传系 视觉传播设计与制作（平面设计方向）就读，是全日制学历，2020年-今日待业</v>
      </c>
    </row>
    <row r="523" spans="1:9">
      <c r="A523" s="1" t="str">
        <f>"411282199709013145"</f>
        <v>411282199709013145</v>
      </c>
      <c r="B523" s="1" t="str">
        <f t="shared" si="258"/>
        <v>共青团员</v>
      </c>
      <c r="C523" s="1" t="str">
        <f t="shared" si="259"/>
        <v>本科</v>
      </c>
      <c r="D523" s="1" t="str">
        <f>"20200701"</f>
        <v>20200701</v>
      </c>
      <c r="E523" s="1" t="str">
        <f>"信阳学院"</f>
        <v>信阳学院</v>
      </c>
      <c r="F523" s="1" t="str">
        <f>"财务管理"</f>
        <v>财务管理</v>
      </c>
      <c r="G523" s="1" t="str">
        <f>"河南省三门峡市灵宝市焦村镇水泉源村3组"</f>
        <v>河南省三门峡市灵宝市焦村镇水泉源村3组</v>
      </c>
      <c r="H523" s="1" t="str">
        <f t="shared" si="260"/>
        <v>无</v>
      </c>
      <c r="I523" s="1" t="str">
        <f>"201609-202007   信阳学院  就业；
202007-202507   河南省灵宝市   待业。
"</f>
        <v>201609-202007   信阳学院  就业；
202007-202507   河南省灵宝市   待业。
</v>
      </c>
    </row>
    <row r="524" spans="1:9">
      <c r="A524" s="1" t="str">
        <f>"411327200108100012"</f>
        <v>411327200108100012</v>
      </c>
      <c r="B524" s="1" t="str">
        <f t="shared" si="258"/>
        <v>共青团员</v>
      </c>
      <c r="C524" s="1" t="str">
        <f t="shared" si="259"/>
        <v>本科</v>
      </c>
      <c r="D524" s="1" t="str">
        <f>"20230701"</f>
        <v>20230701</v>
      </c>
      <c r="E524" s="1" t="str">
        <f>"河南科技学院"</f>
        <v>河南科技学院</v>
      </c>
      <c r="F524" s="1" t="str">
        <f>"农业资源与环境"</f>
        <v>农业资源与环境</v>
      </c>
      <c r="G524" s="1" t="str">
        <f>"河南省南阳市内乡县城关镇清真寺村清真寺南路16号"</f>
        <v>河南省南阳市内乡县城关镇清真寺村清真寺南路16号</v>
      </c>
      <c r="H524" s="1" t="str">
        <f t="shared" si="260"/>
        <v>无</v>
      </c>
      <c r="I524" s="1" t="str">
        <f>"201909-202306河南科技学院就读"</f>
        <v>201909-202306河南科技学院就读</v>
      </c>
    </row>
    <row r="525" spans="1:9">
      <c r="A525" s="1" t="str">
        <f>"411327200206064537"</f>
        <v>411327200206064537</v>
      </c>
      <c r="B525" s="1" t="str">
        <f t="shared" ref="B525:B529" si="261">"群众"</f>
        <v>群众</v>
      </c>
      <c r="C525" s="1" t="str">
        <f t="shared" si="259"/>
        <v>本科</v>
      </c>
      <c r="D525" s="1" t="str">
        <f>"20240701"</f>
        <v>20240701</v>
      </c>
      <c r="E525" s="1" t="str">
        <f>"郑州经贸学院"</f>
        <v>郑州经贸学院</v>
      </c>
      <c r="F525" s="1" t="str">
        <f>"金融工程"</f>
        <v>金融工程</v>
      </c>
      <c r="G525" s="1" t="str">
        <f>"河南省南阳市内乡县赵店乡"</f>
        <v>河南省南阳市内乡县赵店乡</v>
      </c>
      <c r="H525" s="1" t="str">
        <f>"初级会计职称"</f>
        <v>初级会计职称</v>
      </c>
      <c r="I525" s="1" t="str">
        <f>"202009-202407郑州经贸学院经济学院金融工程专业全日制就读"</f>
        <v>202009-202407郑州经贸学院经济学院金融工程专业全日制就读</v>
      </c>
    </row>
    <row r="526" spans="1:9">
      <c r="A526" s="1" t="str">
        <f>"412829200311121629"</f>
        <v>412829200311121629</v>
      </c>
      <c r="B526" s="1" t="str">
        <f>"中共预备党员"</f>
        <v>中共预备党员</v>
      </c>
      <c r="C526" s="1" t="str">
        <f t="shared" si="259"/>
        <v>本科</v>
      </c>
      <c r="D526" s="1" t="str">
        <f>"20250606"</f>
        <v>20250606</v>
      </c>
      <c r="E526" s="1" t="str">
        <f>"信阳学院"</f>
        <v>信阳学院</v>
      </c>
      <c r="F526" s="1" t="str">
        <f>"心理学"</f>
        <v>心理学</v>
      </c>
      <c r="G526" s="1" t="str">
        <f>"河南省驻马店市正阳县顺和花园"</f>
        <v>河南省驻马店市正阳县顺和花园</v>
      </c>
      <c r="H526" s="1" t="str">
        <f t="shared" ref="H526:H531" si="262">"无"</f>
        <v>无</v>
      </c>
      <c r="I526" s="1" t="str">
        <f>"202109-202506信阳学院就读"</f>
        <v>202109-202506信阳学院就读</v>
      </c>
    </row>
    <row r="527" spans="1:9">
      <c r="A527" s="1" t="str">
        <f>"411325200004254540"</f>
        <v>411325200004254540</v>
      </c>
      <c r="B527" s="1" t="str">
        <f>"共青团员"</f>
        <v>共青团员</v>
      </c>
      <c r="C527" s="1" t="str">
        <f t="shared" si="259"/>
        <v>本科</v>
      </c>
      <c r="D527" s="1" t="str">
        <f>"20220701"</f>
        <v>20220701</v>
      </c>
      <c r="E527" s="1" t="str">
        <f>"河南理工大学"</f>
        <v>河南理工大学</v>
      </c>
      <c r="F527" s="1" t="str">
        <f>"汉语言文学"</f>
        <v>汉语言文学</v>
      </c>
      <c r="G527" s="1" t="str">
        <f>"河南省南阳市内乡县"</f>
        <v>河南省南阳市内乡县</v>
      </c>
      <c r="H527" s="1" t="str">
        <f t="shared" si="262"/>
        <v>无</v>
      </c>
      <c r="I527" s="1" t="str">
        <f>"201809-202207河南理工大学汉语文文学专业全日制就读
202209-202506内乡郦都学校担任中学语文老师"</f>
        <v>201809-202207河南理工大学汉语文文学专业全日制就读
202209-202506内乡郦都学校担任中学语文老师</v>
      </c>
    </row>
    <row r="528" spans="1:9">
      <c r="A528" s="1" t="str">
        <f>"411327199504170025"</f>
        <v>411327199504170025</v>
      </c>
      <c r="B528" s="1" t="str">
        <f t="shared" si="261"/>
        <v>群众</v>
      </c>
      <c r="C528" s="1" t="str">
        <f t="shared" si="259"/>
        <v>本科</v>
      </c>
      <c r="D528" s="1" t="str">
        <f>"2019年7月1日"</f>
        <v>2019年7月1日</v>
      </c>
      <c r="E528" s="1" t="str">
        <f>"南阳理工学院"</f>
        <v>南阳理工学院</v>
      </c>
      <c r="F528" s="1" t="str">
        <f>"财务管理"</f>
        <v>财务管理</v>
      </c>
      <c r="G528" s="1" t="str">
        <f>"河南省南阳市内乡县二高向北100米屈庄便利店"</f>
        <v>河南省南阳市内乡县二高向北100米屈庄便利店</v>
      </c>
      <c r="H528" s="1" t="str">
        <f>"初级会计师"</f>
        <v>初级会计师</v>
      </c>
      <c r="I528" s="1" t="str">
        <f>"2014.9-2017.6信阳学院专科
2017.9-2019.6南阳理工学院本科
2020.6-2022.6内乡牧原综合体生产财务
2023.9-至今内乡县军粮供应链中心办公室人员"</f>
        <v>2014.9-2017.6信阳学院专科
2017.9-2019.6南阳理工学院本科
2020.6-2022.6内乡牧原综合体生产财务
2023.9-至今内乡县军粮供应链中心办公室人员</v>
      </c>
    </row>
    <row r="529" spans="1:9">
      <c r="A529" s="1" t="str">
        <f>"410329199911144547"</f>
        <v>410329199911144547</v>
      </c>
      <c r="B529" s="1" t="str">
        <f t="shared" si="261"/>
        <v>群众</v>
      </c>
      <c r="C529" s="1" t="str">
        <f t="shared" si="259"/>
        <v>本科</v>
      </c>
      <c r="D529" s="1" t="str">
        <f>"20220701"</f>
        <v>20220701</v>
      </c>
      <c r="E529" s="1" t="str">
        <f>"安阳师范学院"</f>
        <v>安阳师范学院</v>
      </c>
      <c r="F529" s="1" t="str">
        <f>"小学教育"</f>
        <v>小学教育</v>
      </c>
      <c r="G529" s="1" t="str">
        <f>"河南省洛阳市伊川县水寨镇"</f>
        <v>河南省洛阳市伊川县水寨镇</v>
      </c>
      <c r="H529" s="1" t="str">
        <f t="shared" si="262"/>
        <v>无</v>
      </c>
      <c r="I529" s="1" t="str">
        <f>"20200901-20220701安阳师范学院学生"</f>
        <v>20200901-20220701安阳师范学院学生</v>
      </c>
    </row>
    <row r="530" spans="1:9">
      <c r="A530" s="1" t="str">
        <f>"411327200011234524"</f>
        <v>411327200011234524</v>
      </c>
      <c r="B530" s="1" t="str">
        <f>"共青团员"</f>
        <v>共青团员</v>
      </c>
      <c r="C530" s="1" t="str">
        <f t="shared" si="259"/>
        <v>本科</v>
      </c>
      <c r="D530" s="1" t="str">
        <f>"2023-06-30"</f>
        <v>2023-06-30</v>
      </c>
      <c r="E530" s="1" t="str">
        <f>"海南医学院"</f>
        <v>海南医学院</v>
      </c>
      <c r="F530" s="1" t="str">
        <f>"市场营销"</f>
        <v>市场营销</v>
      </c>
      <c r="G530" s="1" t="str">
        <f>"河南省南阳市内乡县赵店乡花洼村房北44号"</f>
        <v>河南省南阳市内乡县赵店乡花洼村房北44号</v>
      </c>
      <c r="H530" s="1" t="str">
        <f t="shared" si="262"/>
        <v>无</v>
      </c>
      <c r="I530" s="1" t="str">
        <f>"201909-202306 海南医学院 管理学院市场营销专业 就读
202307-202505 河南省内乡县待业
202506-至今 河南鸿阡里信息科技有限公司 "</f>
        <v>201909-202306 海南医学院 管理学院市场营销专业 就读
202307-202505 河南省内乡县待业
202506-至今 河南鸿阡里信息科技有限公司 </v>
      </c>
    </row>
    <row r="531" spans="1:9">
      <c r="A531" s="1" t="str">
        <f>"41133019950715204X"</f>
        <v>41133019950715204X</v>
      </c>
      <c r="B531" s="1" t="str">
        <f>"中共党员"</f>
        <v>中共党员</v>
      </c>
      <c r="C531" s="1" t="str">
        <f>"硕士研究生"</f>
        <v>硕士研究生</v>
      </c>
      <c r="D531" s="1" t="str">
        <f>"20220610"</f>
        <v>20220610</v>
      </c>
      <c r="E531" s="1" t="str">
        <f>"杭州电子科技大学"</f>
        <v>杭州电子科技大学</v>
      </c>
      <c r="F531" s="1" t="str">
        <f>"社会管理科学与工程"</f>
        <v>社会管理科学与工程</v>
      </c>
      <c r="G531" s="1" t="str">
        <f>"浙江省杭州市富阳区悦才苑"</f>
        <v>浙江省杭州市富阳区悦才苑</v>
      </c>
      <c r="H531" s="1" t="str">
        <f t="shared" si="262"/>
        <v>无</v>
      </c>
      <c r="I531" s="1" t="str">
        <f>"2014年9月-2018年7月 河南师范大学 社会事业学院  劳动与社会保障专业（全日制）
2018年8月-2019年8月 西峡县待业
2019年9月-2022年7月 杭州电子科技大学 硕士  法学院 社会管理科学与工程专业（全日制）
2022年8月-2023年8月 杭州市钱塘区待业
2023年9月-至今 杭州市富阳区胥口镇人民政府工作"</f>
        <v>2014年9月-2018年7月 河南师范大学 社会事业学院  劳动与社会保障专业（全日制）
2018年8月-2019年8月 西峡县待业
2019年9月-2022年7月 杭州电子科技大学 硕士  法学院 社会管理科学与工程专业（全日制）
2022年8月-2023年8月 杭州市钱塘区待业
2023年9月-至今 杭州市富阳区胥口镇人民政府工作</v>
      </c>
    </row>
    <row r="532" spans="1:9">
      <c r="A532" s="1" t="str">
        <f>"411381199404103552"</f>
        <v>411381199404103552</v>
      </c>
      <c r="B532" s="1" t="str">
        <f t="shared" ref="B532:B534" si="263">"群众"</f>
        <v>群众</v>
      </c>
      <c r="C532" s="1" t="str">
        <f t="shared" ref="C532:C537" si="264">"专科"</f>
        <v>专科</v>
      </c>
      <c r="D532" s="1" t="str">
        <f>"2018年7月1日"</f>
        <v>2018年7月1日</v>
      </c>
      <c r="E532" s="1" t="str">
        <f>"郑州澍青医学高等专科学校"</f>
        <v>郑州澍青医学高等专科学校</v>
      </c>
      <c r="F532" s="1" t="str">
        <f>"医学检验技术"</f>
        <v>医学检验技术</v>
      </c>
      <c r="G532" s="1" t="str">
        <f>"河南省邓州市北环路与文化路交叉口张白十网格401"</f>
        <v>河南省邓州市北环路与文化路交叉口张白十网格401</v>
      </c>
      <c r="H532" s="1" t="str">
        <f>"卫生专业技术资格初级"</f>
        <v>卫生专业技术资格初级</v>
      </c>
      <c r="I532" s="1" t="str">
        <f>"201509-201807就读郑州澍青高等专科学校全日制；201808-202010在邓州仁爱医院工作，202011-202105在家待业，20215-202506在邓州肿瘤医院工作"</f>
        <v>201509-201807就读郑州澍青高等专科学校全日制；201808-202010在邓州仁爱医院工作，202011-202105在家待业，20215-202506在邓州肿瘤医院工作</v>
      </c>
    </row>
    <row r="533" spans="1:9">
      <c r="A533" s="1" t="str">
        <f>"411303199804191820"</f>
        <v>411303199804191820</v>
      </c>
      <c r="B533" s="1" t="str">
        <f t="shared" si="263"/>
        <v>群众</v>
      </c>
      <c r="C533" s="1" t="str">
        <f t="shared" ref="C533:C538" si="265">"本科"</f>
        <v>本科</v>
      </c>
      <c r="D533" s="1" t="str">
        <f>"20210701"</f>
        <v>20210701</v>
      </c>
      <c r="E533" s="1" t="str">
        <f>"河南师范大学新联学院"</f>
        <v>河南师范大学新联学院</v>
      </c>
      <c r="F533" s="1" t="str">
        <f>"财务管理"</f>
        <v>财务管理</v>
      </c>
      <c r="G533" s="1" t="str">
        <f>"河南省南阳市卧龙区百里奚街道二机厂社区51号楼"</f>
        <v>河南省南阳市卧龙区百里奚街道二机厂社区51号楼</v>
      </c>
      <c r="H533" s="1" t="str">
        <f>"初级会计职称"</f>
        <v>初级会计职称</v>
      </c>
      <c r="I533" s="1" t="str">
        <f>"201609-201907在河南工业贸易职业学院读专科 所学专业：财务管理专业 全日制学历
201909-202107在河南师范大学新联学院读本科 所学专业：财务管理专业 全日制学历
202107-202501 在家待业
202502-至今 在合肥新鑫人力资源服务有限公司就业"</f>
        <v>201609-201907在河南工业贸易职业学院读专科 所学专业：财务管理专业 全日制学历
201909-202107在河南师范大学新联学院读本科 所学专业：财务管理专业 全日制学历
202107-202501 在家待业
202502-至今 在合肥新鑫人力资源服务有限公司就业</v>
      </c>
    </row>
    <row r="534" spans="1:9">
      <c r="A534" s="1" t="str">
        <f>"411023199605260511"</f>
        <v>411023199605260511</v>
      </c>
      <c r="B534" s="1" t="str">
        <f t="shared" si="263"/>
        <v>群众</v>
      </c>
      <c r="C534" s="1" t="str">
        <f t="shared" si="264"/>
        <v>专科</v>
      </c>
      <c r="D534" s="1" t="str">
        <f>"20210701"</f>
        <v>20210701</v>
      </c>
      <c r="E534" s="1" t="str">
        <f>"河南财经政法大学"</f>
        <v>河南财经政法大学</v>
      </c>
      <c r="F534" s="1" t="str">
        <f>"工商企业管理"</f>
        <v>工商企业管理</v>
      </c>
      <c r="G534" s="1" t="str">
        <f>"郑州市商城路2号"</f>
        <v>郑州市商城路2号</v>
      </c>
      <c r="H534" s="1" t="str">
        <f t="shared" ref="H534:H536" si="266">"无"</f>
        <v>无</v>
      </c>
      <c r="I534" s="1" t="str">
        <f>"201903-202107在河南财经政法大学就读继续教育学院工商企业管理专业，非全日制大专"</f>
        <v>201903-202107在河南财经政法大学就读继续教育学院工商企业管理专业，非全日制大专</v>
      </c>
    </row>
    <row r="535" spans="1:9">
      <c r="A535" s="1" t="str">
        <f>"411327200011260044"</f>
        <v>411327200011260044</v>
      </c>
      <c r="B535" s="1" t="str">
        <f t="shared" ref="B535:B537" si="267">"共青团员"</f>
        <v>共青团员</v>
      </c>
      <c r="C535" s="1" t="str">
        <f t="shared" si="265"/>
        <v>本科</v>
      </c>
      <c r="D535" s="1" t="str">
        <f>"20230701"</f>
        <v>20230701</v>
      </c>
      <c r="E535" s="1" t="str">
        <f>"河南大学民生学院"</f>
        <v>河南大学民生学院</v>
      </c>
      <c r="F535" s="1" t="str">
        <f>"金融学"</f>
        <v>金融学</v>
      </c>
      <c r="G535" s="1" t="str">
        <f>"河南省南阳市内乡县城关镇红学村2组"</f>
        <v>河南省南阳市内乡县城关镇红学村2组</v>
      </c>
      <c r="H535" s="1" t="str">
        <f t="shared" si="266"/>
        <v>无</v>
      </c>
      <c r="I535" s="1" t="str">
        <f>"201909-202307 河南大学民生学院就读金融学专业 是全日制学历
202307-202405 郑州市惠济区待业
202405-至今 中新一路进出口有限公司内勤"</f>
        <v>201909-202307 河南大学民生学院就读金融学专业 是全日制学历
202307-202405 郑州市惠济区待业
202405-至今 中新一路进出口有限公司内勤</v>
      </c>
    </row>
    <row r="536" spans="1:9">
      <c r="A536" s="1" t="str">
        <f>"410423200102104927"</f>
        <v>410423200102104927</v>
      </c>
      <c r="B536" s="1" t="str">
        <f t="shared" si="267"/>
        <v>共青团员</v>
      </c>
      <c r="C536" s="1" t="str">
        <f>"硕士研究生"</f>
        <v>硕士研究生</v>
      </c>
      <c r="D536" s="1" t="str">
        <f>"2025-06-31"</f>
        <v>2025-06-31</v>
      </c>
      <c r="E536" s="1" t="str">
        <f>"澳门科技大学"</f>
        <v>澳门科技大学</v>
      </c>
      <c r="F536" s="1" t="str">
        <f>"公共行政管理"</f>
        <v>公共行政管理</v>
      </c>
      <c r="G536" s="1" t="str">
        <f>"河南省平顶山市鲁山县"</f>
        <v>河南省平顶山市鲁山县</v>
      </c>
      <c r="H536" s="1" t="str">
        <f t="shared" si="266"/>
        <v>无</v>
      </c>
      <c r="I536" s="1" t="str">
        <f>"201909-202307于河南农业大学行政管理专业就读，全日制。
202309-202506于澳门科技大学公共行政管理专业就读，全日制。
"</f>
        <v>201909-202307于河南农业大学行政管理专业就读，全日制。
202309-202506于澳门科技大学公共行政管理专业就读，全日制。
</v>
      </c>
    </row>
    <row r="537" spans="1:9">
      <c r="A537" s="1" t="str">
        <f>"411325200407082026"</f>
        <v>411325200407082026</v>
      </c>
      <c r="B537" s="1" t="str">
        <f t="shared" si="267"/>
        <v>共青团员</v>
      </c>
      <c r="C537" s="1" t="str">
        <f t="shared" si="264"/>
        <v>专科</v>
      </c>
      <c r="D537" s="1" t="str">
        <f>"20250624"</f>
        <v>20250624</v>
      </c>
      <c r="E537" s="1" t="str">
        <f>"商丘医学高等专科学校"</f>
        <v>商丘医学高等专科学校</v>
      </c>
      <c r="F537" s="1" t="str">
        <f>"眼视光技术"</f>
        <v>眼视光技术</v>
      </c>
      <c r="G537" s="1" t="str">
        <f>"河南省南阳市内乡县"</f>
        <v>河南省南阳市内乡县</v>
      </c>
      <c r="H537" s="1" t="str">
        <f>"高级验光师证书"</f>
        <v>高级验光师证书</v>
      </c>
      <c r="I537" s="1" t="str">
        <f>"202209—202506在商丘医学高等专科学校眼视光技术专业就读，全日制大专
201909—202206在内乡实验高中就读
201709—202206在师岗镇第二初级中学就读
201209—201706在师岗镇小天使小学就读"</f>
        <v>202209—202506在商丘医学高等专科学校眼视光技术专业就读，全日制大专
201909—202206在内乡实验高中就读
201709—202206在师岗镇第二初级中学就读
201209—201706在师岗镇小天使小学就读</v>
      </c>
    </row>
    <row r="538" spans="1:9">
      <c r="A538" s="1" t="str">
        <f>"653127199404230161"</f>
        <v>653127199404230161</v>
      </c>
      <c r="B538" s="1" t="str">
        <f>"中共党员"</f>
        <v>中共党员</v>
      </c>
      <c r="C538" s="1" t="str">
        <f t="shared" si="265"/>
        <v>本科</v>
      </c>
      <c r="D538" s="1" t="str">
        <f>"20170701"</f>
        <v>20170701</v>
      </c>
      <c r="E538" s="1" t="str">
        <f>"信阳师范学院"</f>
        <v>信阳师范学院</v>
      </c>
      <c r="F538" s="1" t="str">
        <f>"旅游管理"</f>
        <v>旅游管理</v>
      </c>
      <c r="G538" s="1" t="str">
        <f>"河南省南阳市内乡县郦都花园"</f>
        <v>河南省南阳市内乡县郦都花园</v>
      </c>
      <c r="H538" s="1" t="str">
        <f t="shared" ref="H538:H543" si="268">"无"</f>
        <v>无</v>
      </c>
      <c r="I538" s="1" t="str">
        <f>"201309-201707 信阳师范学院旅游学院旅游管理专业就读 全日制
201707 -201905  	南阳市卧龙牧原养殖有限公司	   办公室专员
201905-202104       牧原南阳区域发展建设部         办公室
202104-202201	牧原肉食品采购部          采购专员
202201-至今在河南省南阳市内乡县待业
"</f>
        <v>201309-201707 信阳师范学院旅游学院旅游管理专业就读 全日制
201707 -201905  	南阳市卧龙牧原养殖有限公司	   办公室专员
201905-202104       牧原南阳区域发展建设部         办公室
202104-202201	牧原肉食品采购部          采购专员
202201-至今在河南省南阳市内乡县待业
</v>
      </c>
    </row>
    <row r="539" spans="1:9">
      <c r="A539" s="1" t="str">
        <f>"411324200208071934"</f>
        <v>411324200208071934</v>
      </c>
      <c r="B539" s="1" t="str">
        <f t="shared" ref="B539:B542" si="269">"共青团员"</f>
        <v>共青团员</v>
      </c>
      <c r="C539" s="1" t="str">
        <f t="shared" ref="C539:C543" si="270">"专科"</f>
        <v>专科</v>
      </c>
      <c r="D539" s="1" t="str">
        <f>"2024-06-26"</f>
        <v>2024-06-26</v>
      </c>
      <c r="E539" s="1" t="str">
        <f>"河南司法警官职业学院"</f>
        <v>河南司法警官职业学院</v>
      </c>
      <c r="F539" s="1" t="str">
        <f>"法律事务"</f>
        <v>法律事务</v>
      </c>
      <c r="G539" s="1" t="str">
        <f>"河南省南阳市镇平县晁陂镇关帝庙马营"</f>
        <v>河南省南阳市镇平县晁陂镇关帝庙马营</v>
      </c>
      <c r="H539" s="1" t="str">
        <f t="shared" si="268"/>
        <v>无</v>
      </c>
      <c r="I539" s="1" t="str">
        <f>"2021年9月至2024年6月在河南司法警官职业学院法律系法律事务就读，全日制专科"</f>
        <v>2021年9月至2024年6月在河南司法警官职业学院法律系法律事务就读，全日制专科</v>
      </c>
    </row>
    <row r="540" spans="1:9">
      <c r="A540" s="1" t="str">
        <f>"411330200012051517"</f>
        <v>411330200012051517</v>
      </c>
      <c r="B540" s="1" t="str">
        <f t="shared" si="269"/>
        <v>共青团员</v>
      </c>
      <c r="C540" s="1" t="str">
        <f t="shared" ref="C540:C545" si="271">"本科"</f>
        <v>本科</v>
      </c>
      <c r="D540" s="1" t="str">
        <f>"20230701"</f>
        <v>20230701</v>
      </c>
      <c r="E540" s="1" t="str">
        <f>"平顶山学院"</f>
        <v>平顶山学院</v>
      </c>
      <c r="F540" s="1" t="str">
        <f>"工商管理"</f>
        <v>工商管理</v>
      </c>
      <c r="G540" s="1" t="str">
        <f>"河南省南阳市西峡县城关镇南大街"</f>
        <v>河南省南阳市西峡县城关镇南大街</v>
      </c>
      <c r="H540" s="1" t="str">
        <f t="shared" si="268"/>
        <v>无</v>
      </c>
      <c r="I540" s="1" t="str">
        <f>"201909-202307平顶山学院经济管理学院工商管理专业全日制就读；
202307-202507在家待业"</f>
        <v>201909-202307平顶山学院经济管理学院工商管理专业全日制就读；
202307-202507在家待业</v>
      </c>
    </row>
    <row r="541" spans="1:9">
      <c r="A541" s="1" t="str">
        <f>"411327200002020022"</f>
        <v>411327200002020022</v>
      </c>
      <c r="B541" s="1" t="str">
        <f t="shared" ref="B541:B546" si="272">"群众"</f>
        <v>群众</v>
      </c>
      <c r="C541" s="1" t="str">
        <f t="shared" si="271"/>
        <v>本科</v>
      </c>
      <c r="D541" s="1" t="str">
        <f>"2022年7月1日"</f>
        <v>2022年7月1日</v>
      </c>
      <c r="E541" s="1" t="str">
        <f>"河南科技学院"</f>
        <v>河南科技学院</v>
      </c>
      <c r="F541" s="1" t="str">
        <f>"会计学"</f>
        <v>会计学</v>
      </c>
      <c r="G541" s="1" t="str">
        <f>"河南省内乡县城关镇范蠡大街99号附4号"</f>
        <v>河南省内乡县城关镇范蠡大街99号附4号</v>
      </c>
      <c r="H541" s="1" t="str">
        <f t="shared" si="268"/>
        <v>无</v>
      </c>
      <c r="I541" s="1" t="str">
        <f>"202003-202207 河南科技学院  就读 经济管理系  会计学  非全日制
202011-202106  牧原肉食品有限公司 工作
202107-202204  在家待业
202204-至今       内乡县锦辉运输有限公司 工作"</f>
        <v>202003-202207 河南科技学院  就读 经济管理系  会计学  非全日制
202011-202106  牧原肉食品有限公司 工作
202107-202204  在家待业
202204-至今       内乡县锦辉运输有限公司 工作</v>
      </c>
    </row>
    <row r="542" spans="1:9">
      <c r="A542" s="1" t="str">
        <f>"411324200302190067"</f>
        <v>411324200302190067</v>
      </c>
      <c r="B542" s="1" t="str">
        <f t="shared" si="269"/>
        <v>共青团员</v>
      </c>
      <c r="C542" s="1" t="str">
        <f t="shared" si="270"/>
        <v>专科</v>
      </c>
      <c r="D542" s="1" t="str">
        <f>"20240618"</f>
        <v>20240618</v>
      </c>
      <c r="E542" s="1" t="str">
        <f>"安阳幼儿师范高等专科学校"</f>
        <v>安阳幼儿师范高等专科学校</v>
      </c>
      <c r="F542" s="1" t="str">
        <f>"小学语文教育"</f>
        <v>小学语文教育</v>
      </c>
      <c r="G542" s="1" t="str">
        <f>"河南省南阳市镇平县"</f>
        <v>河南省南阳市镇平县</v>
      </c>
      <c r="H542" s="1" t="str">
        <f t="shared" si="268"/>
        <v>无</v>
      </c>
      <c r="I542" s="1" t="str">
        <f>"20210901-20240618 安阳幼儿师范高等专科学校 就读 全日制"</f>
        <v>20210901-20240618 安阳幼儿师范高等专科学校 就读 全日制</v>
      </c>
    </row>
    <row r="543" spans="1:9">
      <c r="A543" s="1" t="str">
        <f>"411327200202151123"</f>
        <v>411327200202151123</v>
      </c>
      <c r="B543" s="1" t="str">
        <f t="shared" si="272"/>
        <v>群众</v>
      </c>
      <c r="C543" s="1" t="str">
        <f t="shared" si="270"/>
        <v>专科</v>
      </c>
      <c r="D543" s="1" t="str">
        <f>"202307"</f>
        <v>202307</v>
      </c>
      <c r="E543" s="1" t="str">
        <f>"郑州职业技术学院"</f>
        <v>郑州职业技术学院</v>
      </c>
      <c r="F543" s="1" t="str">
        <f>"城市轨道交通运营管理"</f>
        <v>城市轨道交通运营管理</v>
      </c>
      <c r="G543" s="1" t="str">
        <f>"河南省南阳市内乡县赤眉镇"</f>
        <v>河南省南阳市内乡县赤眉镇</v>
      </c>
      <c r="H543" s="1" t="str">
        <f t="shared" si="268"/>
        <v>无</v>
      </c>
      <c r="I543" s="1" t="str">
        <f>"202009-202307 郑州职业技术学院 就读 全日制大专
202307-至今 待业"</f>
        <v>202009-202307 郑州职业技术学院 就读 全日制大专
202307-至今 待业</v>
      </c>
    </row>
    <row r="544" spans="1:9">
      <c r="A544" s="1" t="str">
        <f>"411327200201030020"</f>
        <v>411327200201030020</v>
      </c>
      <c r="B544" s="1" t="str">
        <f t="shared" si="272"/>
        <v>群众</v>
      </c>
      <c r="C544" s="1" t="str">
        <f t="shared" si="271"/>
        <v>本科</v>
      </c>
      <c r="D544" s="1" t="str">
        <f>"20230607"</f>
        <v>20230607</v>
      </c>
      <c r="E544" s="1" t="str">
        <f>"商丘师范学院"</f>
        <v>商丘师范学院</v>
      </c>
      <c r="F544" s="1" t="str">
        <f>"生物科学"</f>
        <v>生物科学</v>
      </c>
      <c r="G544" s="1" t="str">
        <f>"河南省南阳市内乡县湍东镇郦都学校师生公寓楼7号楼 一单元1001"</f>
        <v>河南省南阳市内乡县湍东镇郦都学校师生公寓楼7号楼 一单元1001</v>
      </c>
      <c r="H544" s="1" t="str">
        <f>"饮料加工工三级"</f>
        <v>饮料加工工三级</v>
      </c>
      <c r="I544" s="1" t="str">
        <f>"202304~202307    商丘市第四中学    生物学老师助教（实习）
202308~202406    内乡郦都学校初中部     9（13）班化学教师
202408~202506     内乡县城关镇待业"</f>
        <v>202304~202307    商丘市第四中学    生物学老师助教（实习）
202308~202406    内乡郦都学校初中部     9（13）班化学教师
202408~202506     内乡县城关镇待业</v>
      </c>
    </row>
    <row r="545" ht="243" spans="1:9">
      <c r="A545" s="1" t="str">
        <f>"640321199003030079"</f>
        <v>640321199003030079</v>
      </c>
      <c r="B545" s="1" t="str">
        <f t="shared" si="272"/>
        <v>群众</v>
      </c>
      <c r="C545" s="1" t="str">
        <f t="shared" si="271"/>
        <v>本科</v>
      </c>
      <c r="D545" s="1" t="str">
        <f>"2016-01-31"</f>
        <v>2016-01-31</v>
      </c>
      <c r="E545" s="1" t="str">
        <f>"国家开放大学"</f>
        <v>国家开放大学</v>
      </c>
      <c r="F545" s="1" t="str">
        <f>"行政管理"</f>
        <v>行政管理</v>
      </c>
      <c r="G545" s="1" t="str">
        <f>"宁夏回族自治区中卫市沙坡头区商业北街27号"</f>
        <v>宁夏回族自治区中卫市沙坡头区商业北街27号</v>
      </c>
      <c r="H545" s="1" t="str">
        <f t="shared" ref="H545:H549" si="273">"无"</f>
        <v>无</v>
      </c>
      <c r="I545" s="3" t="s">
        <v>211</v>
      </c>
    </row>
    <row r="546" spans="1:9">
      <c r="A546" s="1" t="str">
        <f>"411327199810270323"</f>
        <v>411327199810270323</v>
      </c>
      <c r="B546" s="1" t="str">
        <f t="shared" si="272"/>
        <v>群众</v>
      </c>
      <c r="C546" s="1" t="str">
        <f t="shared" ref="C546:C548" si="274">"专科"</f>
        <v>专科</v>
      </c>
      <c r="D546" s="1" t="str">
        <f>"20190701"</f>
        <v>20190701</v>
      </c>
      <c r="E546" s="1" t="str">
        <f>"河南机电职业技术学院"</f>
        <v>河南机电职业技术学院</v>
      </c>
      <c r="F546" s="1" t="str">
        <f>"移动互联应用技术"</f>
        <v>移动互联应用技术</v>
      </c>
      <c r="G546" s="1" t="str">
        <f>"河南省南阳市内乡县金桂苑小区"</f>
        <v>河南省南阳市内乡县金桂苑小区</v>
      </c>
      <c r="H546" s="1" t="str">
        <f t="shared" si="273"/>
        <v>无</v>
      </c>
      <c r="I546" s="1" t="str">
        <f>"201609-201907 河南机电职业学校全日制
201907-202507苏州三味书屋"</f>
        <v>201609-201907 河南机电职业学校全日制
201907-202507苏州三味书屋</v>
      </c>
    </row>
    <row r="547" spans="1:9">
      <c r="A547" s="1" t="str">
        <f>"411330200103221526"</f>
        <v>411330200103221526</v>
      </c>
      <c r="B547" s="1" t="str">
        <f>"共青团员"</f>
        <v>共青团员</v>
      </c>
      <c r="C547" s="1" t="str">
        <f t="shared" si="274"/>
        <v>专科</v>
      </c>
      <c r="D547" s="1" t="str">
        <f>"20220701"</f>
        <v>20220701</v>
      </c>
      <c r="E547" s="1" t="str">
        <f>"焦作师范高等专科学校"</f>
        <v>焦作师范高等专科学校</v>
      </c>
      <c r="F547" s="1" t="str">
        <f>"音乐表演"</f>
        <v>音乐表演</v>
      </c>
      <c r="G547" s="1" t="str">
        <f>"河南省南阳市西峡县城关镇税务局家属巷51号"</f>
        <v>河南省南阳市西峡县城关镇税务局家属巷51号</v>
      </c>
      <c r="H547" s="1" t="str">
        <f t="shared" si="273"/>
        <v>无</v>
      </c>
      <c r="I547" s="1" t="str">
        <f>"201909-202207 焦作师范高等专科学校音乐学院音乐表演专业就读全日制
202209-202507 西峡县城区莲花小学担任音乐老师"</f>
        <v>201909-202207 焦作师范高等专科学校音乐学院音乐表演专业就读全日制
202209-202507 西峡县城区莲花小学担任音乐老师</v>
      </c>
    </row>
    <row r="548" spans="1:9">
      <c r="A548" s="1" t="str">
        <f>"410728200307171013"</f>
        <v>410728200307171013</v>
      </c>
      <c r="B548" s="1" t="str">
        <f t="shared" ref="B548:B552" si="275">"中共党员"</f>
        <v>中共党员</v>
      </c>
      <c r="C548" s="1" t="str">
        <f t="shared" si="274"/>
        <v>专科</v>
      </c>
      <c r="D548" s="1" t="str">
        <f>"20240615"</f>
        <v>20240615</v>
      </c>
      <c r="E548" s="1" t="str">
        <f>"濮阳职业技术学院"</f>
        <v>濮阳职业技术学院</v>
      </c>
      <c r="F548" s="1" t="str">
        <f>"小学教育（师范）"</f>
        <v>小学教育（师范）</v>
      </c>
      <c r="G548" s="1" t="str">
        <f>"河南省新乡市长垣市南蒲区阔寨社区"</f>
        <v>河南省新乡市长垣市南蒲区阔寨社区</v>
      </c>
      <c r="H548" s="1" t="str">
        <f t="shared" si="273"/>
        <v>无</v>
      </c>
      <c r="I548" s="1" t="str">
        <f>"202109-202406在濮阳职业技术学院数学与信息工程学院小学教育（师范）专业就读，是全日制学历；
202407-至今待业。"</f>
        <v>202109-202406在濮阳职业技术学院数学与信息工程学院小学教育（师范）专业就读，是全日制学历；
202407-至今待业。</v>
      </c>
    </row>
    <row r="549" spans="1:9">
      <c r="A549" s="1" t="str">
        <f>"410782200005120016"</f>
        <v>410782200005120016</v>
      </c>
      <c r="B549" s="1" t="str">
        <f>"共青团员"</f>
        <v>共青团员</v>
      </c>
      <c r="C549" s="1" t="str">
        <f t="shared" ref="C549:C555" si="276">"本科"</f>
        <v>本科</v>
      </c>
      <c r="D549" s="1" t="str">
        <f>"20230701"</f>
        <v>20230701</v>
      </c>
      <c r="E549" s="1" t="str">
        <f>"洛阳师范学院"</f>
        <v>洛阳师范学院</v>
      </c>
      <c r="F549" s="1" t="str">
        <f>"软件工程"</f>
        <v>软件工程</v>
      </c>
      <c r="G549" s="1" t="str">
        <f>"河南省辉县市百泉镇药园路4号福利厂小区2栋5单元401室"</f>
        <v>河南省辉县市百泉镇药园路4号福利厂小区2栋5单元401室</v>
      </c>
      <c r="H549" s="1" t="str">
        <f t="shared" si="273"/>
        <v>无</v>
      </c>
      <c r="I549" s="1" t="str">
        <f>"201909-202307洛阳师范学院信息技术系软件工程专业就读 全日制学历"</f>
        <v>201909-202307洛阳师范学院信息技术系软件工程专业就读 全日制学历</v>
      </c>
    </row>
    <row r="550" spans="1:9">
      <c r="A550" s="1" t="str">
        <f>"411327199003203511"</f>
        <v>411327199003203511</v>
      </c>
      <c r="B550" s="1" t="str">
        <f t="shared" ref="B550:B554" si="277">"群众"</f>
        <v>群众</v>
      </c>
      <c r="C550" s="1" t="str">
        <f t="shared" si="276"/>
        <v>本科</v>
      </c>
      <c r="D550" s="1" t="str">
        <f>"20210704"</f>
        <v>20210704</v>
      </c>
      <c r="E550" s="1" t="str">
        <f>"安阳师范学院"</f>
        <v>安阳师范学院</v>
      </c>
      <c r="F550" s="1" t="str">
        <f>"英语学"</f>
        <v>英语学</v>
      </c>
      <c r="G550" s="1" t="str">
        <f>"城关镇鼎荣华府小区"</f>
        <v>城关镇鼎荣华府小区</v>
      </c>
      <c r="H550" s="1" t="str">
        <f>"小学英语教师资格证"</f>
        <v>小学英语教师资格证</v>
      </c>
      <c r="I550" s="1" t="str">
        <f>"200909-201307 河南机电高等专科学校就读  全日制学历
201307-202009 内乡菊潭学校教学
201809-202109 安阳师范学院英语学就读 非全日制学历
202009-202509 师岗镇第一初级中学教学"</f>
        <v>200909-201307 河南机电高等专科学校就读  全日制学历
201307-202009 内乡菊潭学校教学
201809-202109 安阳师范学院英语学就读 非全日制学历
202009-202509 师岗镇第一初级中学教学</v>
      </c>
    </row>
    <row r="551" spans="1:9">
      <c r="A551" s="1" t="str">
        <f>"410882200204178566"</f>
        <v>410882200204178566</v>
      </c>
      <c r="B551" s="1" t="str">
        <f t="shared" si="275"/>
        <v>中共党员</v>
      </c>
      <c r="C551" s="1" t="str">
        <f t="shared" si="276"/>
        <v>本科</v>
      </c>
      <c r="D551" s="1" t="str">
        <f>"20240701"</f>
        <v>20240701</v>
      </c>
      <c r="E551" s="1" t="str">
        <f>"武夷学院"</f>
        <v>武夷学院</v>
      </c>
      <c r="F551" s="1" t="str">
        <f>"国际经济与贸易"</f>
        <v>国际经济与贸易</v>
      </c>
      <c r="G551" s="1" t="str">
        <f>"河南省南阳市宛城区官庄工区胜利路"</f>
        <v>河南省南阳市宛城区官庄工区胜利路</v>
      </c>
      <c r="H551" s="1" t="str">
        <f t="shared" ref="H551:H564" si="278">"无"</f>
        <v>无</v>
      </c>
      <c r="I551" s="1" t="str">
        <f>"202009-202407在武夷学院商学院国际经济与贸易专业就读，是全日制学历"</f>
        <v>202009-202407在武夷学院商学院国际经济与贸易专业就读，是全日制学历</v>
      </c>
    </row>
    <row r="552" spans="1:9">
      <c r="A552" s="1" t="str">
        <f>"411327199910030626"</f>
        <v>411327199910030626</v>
      </c>
      <c r="B552" s="1" t="str">
        <f t="shared" si="275"/>
        <v>中共党员</v>
      </c>
      <c r="C552" s="1" t="str">
        <f t="shared" si="276"/>
        <v>本科</v>
      </c>
      <c r="D552" s="1" t="str">
        <f>"20210630"</f>
        <v>20210630</v>
      </c>
      <c r="E552" s="1" t="str">
        <f>"郑州师范学院"</f>
        <v>郑州师范学院</v>
      </c>
      <c r="F552" s="1" t="str">
        <f>"广播电视学"</f>
        <v>广播电视学</v>
      </c>
      <c r="G552" s="1" t="str">
        <f>"河南省南阳市内乡县城关镇金融街华府"</f>
        <v>河南省南阳市内乡县城关镇金融街华府</v>
      </c>
      <c r="H552" s="1" t="str">
        <f t="shared" si="278"/>
        <v>无</v>
      </c>
      <c r="I552" s="1" t="str">
        <f>"201709-202106，郑州师范学院传播学院广播电视学就读，全日制学历。"</f>
        <v>201709-202106，郑州师范学院传播学院广播电视学就读，全日制学历。</v>
      </c>
    </row>
    <row r="553" spans="1:9">
      <c r="A553" s="1" t="str">
        <f>"41132719980401151X"</f>
        <v>41132719980401151X</v>
      </c>
      <c r="B553" s="1" t="str">
        <f t="shared" si="277"/>
        <v>群众</v>
      </c>
      <c r="C553" s="1" t="str">
        <f t="shared" si="276"/>
        <v>本科</v>
      </c>
      <c r="D553" s="1" t="str">
        <f>"20230701"</f>
        <v>20230701</v>
      </c>
      <c r="E553" s="1" t="str">
        <f>"郑州师范学院"</f>
        <v>郑州师范学院</v>
      </c>
      <c r="F553" s="1" t="str">
        <f>"英语"</f>
        <v>英语</v>
      </c>
      <c r="G553" s="1" t="str">
        <f>"河南省邓州市汇丰家具"</f>
        <v>河南省邓州市汇丰家具</v>
      </c>
      <c r="H553" s="1" t="str">
        <f t="shared" si="278"/>
        <v>无</v>
      </c>
      <c r="I553" s="1" t="str">
        <f>"201709-202007 郑州师范学院外国语学院英语教育专业 就读 全日制大专
202103-202307 郑州师范学院外国语学院英语专业 就读 非全日制本科"</f>
        <v>201709-202007 郑州师范学院外国语学院英语教育专业 就读 全日制大专
202103-202307 郑州师范学院外国语学院英语专业 就读 非全日制本科</v>
      </c>
    </row>
    <row r="554" spans="1:9">
      <c r="A554" s="1" t="str">
        <f>"410781200209160419"</f>
        <v>410781200209160419</v>
      </c>
      <c r="B554" s="1" t="str">
        <f t="shared" si="277"/>
        <v>群众</v>
      </c>
      <c r="C554" s="1" t="str">
        <f t="shared" si="276"/>
        <v>本科</v>
      </c>
      <c r="D554" s="1" t="str">
        <f>"20240701"</f>
        <v>20240701</v>
      </c>
      <c r="E554" s="1" t="str">
        <f>"郑州升达经贸管理学院"</f>
        <v>郑州升达经贸管理学院</v>
      </c>
      <c r="F554" s="1" t="str">
        <f>"计算机科学与技术"</f>
        <v>计算机科学与技术</v>
      </c>
      <c r="G554" s="1" t="str">
        <f>"河南省新乡市卫辉市普罗旺世八号楼"</f>
        <v>河南省新乡市卫辉市普罗旺世八号楼</v>
      </c>
      <c r="H554" s="1" t="str">
        <f t="shared" si="278"/>
        <v>无</v>
      </c>
      <c r="I554" s="1" t="str">
        <f>"202009-202407郑州升达经贸管理学院信息工程学院计算机科学与技术就读全日制本科，202407-202507在河南省新乡市卫辉市待业"</f>
        <v>202009-202407郑州升达经贸管理学院信息工程学院计算机科学与技术就读全日制本科，202407-202507在河南省新乡市卫辉市待业</v>
      </c>
    </row>
    <row r="555" spans="1:9">
      <c r="A555" s="1" t="str">
        <f>"411327200102102535"</f>
        <v>411327200102102535</v>
      </c>
      <c r="B555" s="1" t="str">
        <f>"共青团员"</f>
        <v>共青团员</v>
      </c>
      <c r="C555" s="1" t="str">
        <f t="shared" si="276"/>
        <v>本科</v>
      </c>
      <c r="D555" s="1" t="str">
        <f>"20230604"</f>
        <v>20230604</v>
      </c>
      <c r="E555" s="1" t="str">
        <f>"河南大学民生学院"</f>
        <v>河南大学民生学院</v>
      </c>
      <c r="F555" s="1" t="str">
        <f>"经济统计学"</f>
        <v>经济统计学</v>
      </c>
      <c r="G555" s="1" t="str">
        <f>"河南省南阳市内乡县王店镇杨湾村6组"</f>
        <v>河南省南阳市内乡县王店镇杨湾村6组</v>
      </c>
      <c r="H555" s="1" t="str">
        <f t="shared" si="278"/>
        <v>无</v>
      </c>
      <c r="I555" s="1" t="str">
        <f>"201909-202306河南大学民生学院就读
202306*至今待业 "</f>
        <v>201909-202306河南大学民生学院就读
202306*至今待业 </v>
      </c>
    </row>
    <row r="556" spans="1:9">
      <c r="A556" s="1" t="str">
        <f>"411302199708315719"</f>
        <v>411302199708315719</v>
      </c>
      <c r="B556" s="1" t="str">
        <f t="shared" ref="B556:B560" si="279">"群众"</f>
        <v>群众</v>
      </c>
      <c r="C556" s="1" t="str">
        <f t="shared" ref="C556:C560" si="280">"专科"</f>
        <v>专科</v>
      </c>
      <c r="D556" s="1" t="str">
        <f>"2018-07-01"</f>
        <v>2018-07-01</v>
      </c>
      <c r="E556" s="1" t="str">
        <f>"河南工业职业技术学院"</f>
        <v>河南工业职业技术学院</v>
      </c>
      <c r="F556" s="1" t="str">
        <f>"计算机网络技术"</f>
        <v>计算机网络技术</v>
      </c>
      <c r="G556" s="1" t="str">
        <f>"南阳市卧龙区杜诗路绿都悦府"</f>
        <v>南阳市卧龙区杜诗路绿都悦府</v>
      </c>
      <c r="H556" s="1" t="str">
        <f t="shared" si="278"/>
        <v>无</v>
      </c>
      <c r="I556" s="1" t="str">
        <f>"2016.09-2018.07	河南工业职业技术学院	计算机网络技术 | 全日制大专
2018.7-2019.3在南阳景宏新能源技术开发有限公司实习
2019.03-2021.07	南阳理工学院	计算机科学与技术 | 函授本科
"</f>
        <v>2016.09-2018.07	河南工业职业技术学院	计算机网络技术 | 全日制大专
2018.7-2019.3在南阳景宏新能源技术开发有限公司实习
2019.03-2021.07	南阳理工学院	计算机科学与技术 | 函授本科
</v>
      </c>
    </row>
    <row r="557" spans="1:9">
      <c r="A557" s="1" t="str">
        <f>"411327199710203713"</f>
        <v>411327199710203713</v>
      </c>
      <c r="B557" s="1" t="str">
        <f t="shared" si="279"/>
        <v>群众</v>
      </c>
      <c r="C557" s="1" t="str">
        <f t="shared" ref="C557:C577" si="281">"本科"</f>
        <v>本科</v>
      </c>
      <c r="D557" s="1" t="str">
        <f>"20200701"</f>
        <v>20200701</v>
      </c>
      <c r="E557" s="1" t="str">
        <f>"华北水利水电大学"</f>
        <v>华北水利水电大学</v>
      </c>
      <c r="F557" s="1" t="str">
        <f>"土木工程"</f>
        <v>土木工程</v>
      </c>
      <c r="G557" s="1" t="str">
        <f>"河南省内乡县桃溪镇吴沟村"</f>
        <v>河南省内乡县桃溪镇吴沟村</v>
      </c>
      <c r="H557" s="1" t="str">
        <f t="shared" si="278"/>
        <v>无</v>
      </c>
      <c r="I557" s="1" t="str">
        <f>"201609-202007在华北水利水电大学土木与交通学院土木工程就读；202007至今在中国建筑第七工程局就职。"</f>
        <v>201609-202007在华北水利水电大学土木与交通学院土木工程就读；202007至今在中国建筑第七工程局就职。</v>
      </c>
    </row>
    <row r="558" spans="1:9">
      <c r="A558" s="1" t="str">
        <f>"411303200105134822"</f>
        <v>411303200105134822</v>
      </c>
      <c r="B558" s="1" t="str">
        <f t="shared" ref="B558:B562" si="282">"共青团员"</f>
        <v>共青团员</v>
      </c>
      <c r="C558" s="1" t="str">
        <f t="shared" si="281"/>
        <v>本科</v>
      </c>
      <c r="D558" s="1" t="str">
        <f t="shared" ref="D558:D561" si="283">"20230701"</f>
        <v>20230701</v>
      </c>
      <c r="E558" s="1" t="str">
        <f>"河南师范大学新联学院"</f>
        <v>河南师范大学新联学院</v>
      </c>
      <c r="F558" s="1" t="str">
        <f>"小学教育"</f>
        <v>小学教育</v>
      </c>
      <c r="G558" s="1" t="str">
        <f>"河南省南阳市卧龙区卧龙路与雪峰路交叉口亚龙住宅"</f>
        <v>河南省南阳市卧龙区卧龙路与雪峰路交叉口亚龙住宅</v>
      </c>
      <c r="H558" s="1" t="str">
        <f t="shared" si="278"/>
        <v>无</v>
      </c>
      <c r="I558" s="1" t="str">
        <f>"201909-202306在河南师范大学新联学院教育学院小学教育专业就读，是全日制学历。201609-201906在南阳市第五中学就读。201309-201606在南阳市书院中学就读。200809-201306在小官庄小学就读。"</f>
        <v>201909-202306在河南师范大学新联学院教育学院小学教育专业就读，是全日制学历。201609-201906在南阳市第五中学就读。201309-201606在南阳市书院中学就读。200809-201306在小官庄小学就读。</v>
      </c>
    </row>
    <row r="559" spans="1:9">
      <c r="A559" s="1" t="str">
        <f>"411527200104127518"</f>
        <v>411527200104127518</v>
      </c>
      <c r="B559" s="1" t="str">
        <f>"中共党员"</f>
        <v>中共党员</v>
      </c>
      <c r="C559" s="1" t="str">
        <f t="shared" si="280"/>
        <v>专科</v>
      </c>
      <c r="D559" s="1" t="str">
        <f t="shared" si="283"/>
        <v>20230701</v>
      </c>
      <c r="E559" s="1" t="str">
        <f>"商丘师范学院"</f>
        <v>商丘师范学院</v>
      </c>
      <c r="F559" s="1" t="str">
        <f>"小学教育专业"</f>
        <v>小学教育专业</v>
      </c>
      <c r="G559" s="1" t="str">
        <f>"河南省信阳市淮滨县期思镇"</f>
        <v>河南省信阳市淮滨县期思镇</v>
      </c>
      <c r="H559" s="1" t="str">
        <f t="shared" si="278"/>
        <v>无</v>
      </c>
      <c r="I559" s="1" t="str">
        <f>"202009-202307 在商丘师范学院国际教育学院小学教育专业 就读 是全日制学历
202307-至今 待业"</f>
        <v>202009-202307 在商丘师范学院国际教育学院小学教育专业 就读 是全日制学历
202307-至今 待业</v>
      </c>
    </row>
    <row r="560" spans="1:9">
      <c r="A560" s="1" t="str">
        <f>"411381199305236317"</f>
        <v>411381199305236317</v>
      </c>
      <c r="B560" s="1" t="str">
        <f t="shared" si="279"/>
        <v>群众</v>
      </c>
      <c r="C560" s="1" t="str">
        <f t="shared" si="280"/>
        <v>专科</v>
      </c>
      <c r="D560" s="1" t="str">
        <f>"20250701"</f>
        <v>20250701</v>
      </c>
      <c r="E560" s="1" t="str">
        <f>"鹤壁能源化工职业学院"</f>
        <v>鹤壁能源化工职业学院</v>
      </c>
      <c r="F560" s="1" t="str">
        <f>"大数据与会计"</f>
        <v>大数据与会计</v>
      </c>
      <c r="G560" s="1" t="str">
        <f>"河南省邓州市尚正一品"</f>
        <v>河南省邓州市尚正一品</v>
      </c>
      <c r="H560" s="1" t="str">
        <f t="shared" si="278"/>
        <v>无</v>
      </c>
      <c r="I560" s="1" t="str">
        <f>"202309-202507 鹤壁能源化工职业学院 大数据与会计 就读 全日制学历
202012-202309 指南针画室 教师
201603-202012 青岛科技大学 艺术设计 就读 非全日制学历
"</f>
        <v>202309-202507 鹤壁能源化工职业学院 大数据与会计 就读 全日制学历
202012-202309 指南针画室 教师
201603-202012 青岛科技大学 艺术设计 就读 非全日制学历
</v>
      </c>
    </row>
    <row r="561" spans="1:9">
      <c r="A561" s="1" t="str">
        <f>"411324200203062422"</f>
        <v>411324200203062422</v>
      </c>
      <c r="B561" s="1" t="str">
        <f t="shared" si="282"/>
        <v>共青团员</v>
      </c>
      <c r="C561" s="1" t="str">
        <f t="shared" si="281"/>
        <v>本科</v>
      </c>
      <c r="D561" s="1" t="str">
        <f t="shared" si="283"/>
        <v>20230701</v>
      </c>
      <c r="E561" s="1" t="str">
        <f>"信阳学院"</f>
        <v>信阳学院</v>
      </c>
      <c r="F561" s="1" t="str">
        <f>"音乐学"</f>
        <v>音乐学</v>
      </c>
      <c r="G561" s="1" t="str">
        <f>"河南省南阳市镇平县雪枫街道建业春天里"</f>
        <v>河南省南阳市镇平县雪枫街道建业春天里</v>
      </c>
      <c r="H561" s="1" t="str">
        <f t="shared" si="278"/>
        <v>无</v>
      </c>
      <c r="I561" s="1" t="str">
        <f>"201909-202307 信阳学院音乐学院音乐学专业就读 为全日制学历
201907至今 河南省南阳市镇平县待业"</f>
        <v>201909-202307 信阳学院音乐学院音乐学专业就读 为全日制学历
201907至今 河南省南阳市镇平县待业</v>
      </c>
    </row>
    <row r="562" spans="1:9">
      <c r="A562" s="1" t="str">
        <f>"411327200303140044"</f>
        <v>411327200303140044</v>
      </c>
      <c r="B562" s="1" t="str">
        <f t="shared" si="282"/>
        <v>共青团员</v>
      </c>
      <c r="C562" s="1" t="str">
        <f t="shared" si="281"/>
        <v>本科</v>
      </c>
      <c r="D562" s="1" t="str">
        <f>"20250615"</f>
        <v>20250615</v>
      </c>
      <c r="E562" s="1" t="str">
        <f>"商丘工学院"</f>
        <v>商丘工学院</v>
      </c>
      <c r="F562" s="1" t="str">
        <f>"机械电子工程"</f>
        <v>机械电子工程</v>
      </c>
      <c r="G562" s="1" t="str">
        <f>"河南省南阳市内乡县"</f>
        <v>河南省南阳市内乡县</v>
      </c>
      <c r="H562" s="1" t="str">
        <f t="shared" si="278"/>
        <v>无</v>
      </c>
      <c r="I562" s="1" t="str">
        <f>"202109-202506商丘工学院机械工程学院机械电子工程专业就读，全日制学历"</f>
        <v>202109-202506商丘工学院机械工程学院机械电子工程专业就读，全日制学历</v>
      </c>
    </row>
    <row r="563" spans="1:9">
      <c r="A563" s="1" t="str">
        <f>"412724200102090013"</f>
        <v>412724200102090013</v>
      </c>
      <c r="B563" s="1" t="str">
        <f>"群众"</f>
        <v>群众</v>
      </c>
      <c r="C563" s="1" t="str">
        <f t="shared" si="281"/>
        <v>本科</v>
      </c>
      <c r="D563" s="1" t="str">
        <f>"20240701"</f>
        <v>20240701</v>
      </c>
      <c r="E563" s="1" t="str">
        <f>"郑州升达经贸管理学院"</f>
        <v>郑州升达经贸管理学院</v>
      </c>
      <c r="F563" s="1" t="str">
        <f>"学前教育"</f>
        <v>学前教育</v>
      </c>
      <c r="G563" s="1" t="str">
        <f>"太康县阳夏街道交通路"</f>
        <v>太康县阳夏街道交通路</v>
      </c>
      <c r="H563" s="1" t="str">
        <f t="shared" si="278"/>
        <v>无</v>
      </c>
      <c r="I563" s="1" t="str">
        <f>"202409—至今 河南省太康县待业
202209—202407 郑州升达经贸管理学院 学前教育全日制学历
201909—202407 焦作师范高等专科学校 心理咨询全日制学历
"</f>
        <v>202409—至今 河南省太康县待业
202209—202407 郑州升达经贸管理学院 学前教育全日制学历
201909—202407 焦作师范高等专科学校 心理咨询全日制学历
</v>
      </c>
    </row>
    <row r="564" spans="1:9">
      <c r="A564" s="1" t="str">
        <f>"41132620010316044X"</f>
        <v>41132620010316044X</v>
      </c>
      <c r="B564" s="1" t="str">
        <f t="shared" ref="B564:B569" si="284">"共青团员"</f>
        <v>共青团员</v>
      </c>
      <c r="C564" s="1" t="str">
        <f t="shared" si="281"/>
        <v>本科</v>
      </c>
      <c r="D564" s="1" t="str">
        <f>"2024-06-06"</f>
        <v>2024-06-06</v>
      </c>
      <c r="E564" s="1" t="str">
        <f>"河南开封科技传媒学院"</f>
        <v>河南开封科技传媒学院</v>
      </c>
      <c r="F564" s="1" t="str">
        <f>"汉语言文学（师范）"</f>
        <v>汉语言文学（师范）</v>
      </c>
      <c r="G564" s="1" t="str">
        <f>"河南省南召县城关镇光明路颜岸琥珀酒店附近"</f>
        <v>河南省南召县城关镇光明路颜岸琥珀酒店附近</v>
      </c>
      <c r="H564" s="1" t="str">
        <f t="shared" si="278"/>
        <v>无</v>
      </c>
      <c r="I564" s="1" t="str">
        <f>"201909－202206 漯河职业技术学院 许慎学院就读语文教育（师范）专业 是全日制学历
202209－202406河南开封科技传媒学院 外语学院汉语言文学（师范）专业 是全日制学历
202406－至今待业"</f>
        <v>201909－202206 漯河职业技术学院 许慎学院就读语文教育（师范）专业 是全日制学历
202209－202406河南开封科技传媒学院 外语学院汉语言文学（师范）专业 是全日制学历
202406－至今待业</v>
      </c>
    </row>
    <row r="565" spans="1:9">
      <c r="A565" s="1" t="str">
        <f>"411327199811011542"</f>
        <v>411327199811011542</v>
      </c>
      <c r="B565" s="1" t="str">
        <f t="shared" si="284"/>
        <v>共青团员</v>
      </c>
      <c r="C565" s="1" t="str">
        <f t="shared" si="281"/>
        <v>本科</v>
      </c>
      <c r="D565" s="1" t="str">
        <f>"20200701"</f>
        <v>20200701</v>
      </c>
      <c r="E565" s="1" t="str">
        <f>"南阳理工学院"</f>
        <v>南阳理工学院</v>
      </c>
      <c r="F565" s="1" t="str">
        <f>"学前教育"</f>
        <v>学前教育</v>
      </c>
      <c r="G565" s="1" t="str">
        <f>"河南省南阳市内乡县湍东镇"</f>
        <v>河南省南阳市内乡县湍东镇</v>
      </c>
      <c r="H565" s="1" t="str">
        <f>"教师资格证"</f>
        <v>教师资格证</v>
      </c>
      <c r="I565" s="1" t="str">
        <f>"201609-202007 南阳理工学院教育学院学前教育专业就读 全日制
202008-202209 内乡菊谭学校教师
202209-202508 师岗镇第二初级中学教师"</f>
        <v>201609-202007 南阳理工学院教育学院学前教育专业就读 全日制
202008-202209 内乡菊谭学校教师
202209-202508 师岗镇第二初级中学教师</v>
      </c>
    </row>
    <row r="566" spans="1:9">
      <c r="A566" s="1" t="str">
        <f>"41122419950314076X"</f>
        <v>41122419950314076X</v>
      </c>
      <c r="B566" s="1" t="str">
        <f t="shared" ref="B566:B571" si="285">"群众"</f>
        <v>群众</v>
      </c>
      <c r="C566" s="1" t="str">
        <f t="shared" si="281"/>
        <v>本科</v>
      </c>
      <c r="D566" s="1" t="str">
        <f>"20190701"</f>
        <v>20190701</v>
      </c>
      <c r="E566" s="1" t="str">
        <f>"河南大学民生学院"</f>
        <v>河南大学民生学院</v>
      </c>
      <c r="F566" s="1" t="str">
        <f>"劳动与社会保障"</f>
        <v>劳动与社会保障</v>
      </c>
      <c r="G566" s="1" t="str">
        <f>"河南三门峡卢氏县东明镇"</f>
        <v>河南三门峡卢氏县东明镇</v>
      </c>
      <c r="H566" s="1" t="str">
        <f>"人力资源三级证书"</f>
        <v>人力资源三级证书</v>
      </c>
      <c r="I566" s="1" t="str">
        <f>"201509-201907河南大学民生学院 劳动与社会保障专业 就读 全日制本科学历
201907-201910 郑州思腾体育用品公司 工作
201911-202310上海链家房产经纪有限公司 工作
202311-202507 郑州新郑市龙湖镇 待业"</f>
        <v>201509-201907河南大学民生学院 劳动与社会保障专业 就读 全日制本科学历
201907-201910 郑州思腾体育用品公司 工作
201911-202310上海链家房产经纪有限公司 工作
202311-202507 郑州新郑市龙湖镇 待业</v>
      </c>
    </row>
    <row r="567" spans="1:9">
      <c r="A567" s="1" t="str">
        <f>"411323199908010014"</f>
        <v>411323199908010014</v>
      </c>
      <c r="B567" s="1" t="str">
        <f>"中共预备党员"</f>
        <v>中共预备党员</v>
      </c>
      <c r="C567" s="1" t="str">
        <f t="shared" si="281"/>
        <v>本科</v>
      </c>
      <c r="D567" s="1" t="str">
        <f>"20250701"</f>
        <v>20250701</v>
      </c>
      <c r="E567" s="1" t="str">
        <f>"通化师范大学"</f>
        <v>通化师范大学</v>
      </c>
      <c r="F567" s="1" t="str">
        <f>"财务管理"</f>
        <v>财务管理</v>
      </c>
      <c r="G567" s="1" t="str">
        <f>"河南省南阳市淅川县万安宾馆南100米"</f>
        <v>河南省南阳市淅川县万安宾馆南100米</v>
      </c>
      <c r="H567" s="1" t="str">
        <f t="shared" ref="H567:H571" si="286">"无"</f>
        <v>无</v>
      </c>
      <c r="I567" s="1" t="str">
        <f>"201709-202007郑州电力职业技术学院就读，是全日制学历；202007-202112待业；202112-今，在南阳市公安局上班。"</f>
        <v>201709-202007郑州电力职业技术学院就读，是全日制学历；202007-202112待业；202112-今，在南阳市公安局上班。</v>
      </c>
    </row>
    <row r="568" spans="1:9">
      <c r="A568" s="1" t="str">
        <f>"411327200203160646"</f>
        <v>411327200203160646</v>
      </c>
      <c r="B568" s="1" t="str">
        <f>"中共党员"</f>
        <v>中共党员</v>
      </c>
      <c r="C568" s="1" t="str">
        <f t="shared" si="281"/>
        <v>本科</v>
      </c>
      <c r="D568" s="1" t="str">
        <f>"20230607"</f>
        <v>20230607</v>
      </c>
      <c r="E568" s="1" t="str">
        <f>"石家庄铁道大学"</f>
        <v>石家庄铁道大学</v>
      </c>
      <c r="F568" s="1" t="str">
        <f>"视觉传达设计"</f>
        <v>视觉传达设计</v>
      </c>
      <c r="G568" s="1" t="str">
        <f>"南阳市内乡县七里河畔菜鸟驿站"</f>
        <v>南阳市内乡县七里河畔菜鸟驿站</v>
      </c>
      <c r="H568" s="1" t="str">
        <f t="shared" si="286"/>
        <v>无</v>
      </c>
      <c r="I568" s="1" t="str">
        <f>"201909-202306石家庄铁道大学建筑与艺术学院视觉传达专业就读（是全日制学历）
202309至今内乡县复兴学校任八年级数学教师"</f>
        <v>201909-202306石家庄铁道大学建筑与艺术学院视觉传达专业就读（是全日制学历）
202309至今内乡县复兴学校任八年级数学教师</v>
      </c>
    </row>
    <row r="569" spans="1:9">
      <c r="A569" s="1" t="str">
        <f>"41132519990616061X"</f>
        <v>41132519990616061X</v>
      </c>
      <c r="B569" s="1" t="str">
        <f t="shared" si="284"/>
        <v>共青团员</v>
      </c>
      <c r="C569" s="1" t="str">
        <f t="shared" si="281"/>
        <v>本科</v>
      </c>
      <c r="D569" s="1" t="str">
        <f>"20220701"</f>
        <v>20220701</v>
      </c>
      <c r="E569" s="1" t="str">
        <f>"郑州航空工业管理学院"</f>
        <v>郑州航空工业管理学院</v>
      </c>
      <c r="F569" s="1" t="str">
        <f>"电气工程及其自动化"</f>
        <v>电气工程及其自动化</v>
      </c>
      <c r="G569" s="1" t="str">
        <f>"河南省南阳市内乡县马山口镇老庄村"</f>
        <v>河南省南阳市内乡县马山口镇老庄村</v>
      </c>
      <c r="H569" s="1" t="str">
        <f t="shared" si="286"/>
        <v>无</v>
      </c>
      <c r="I569" s="1" t="str">
        <f>"201709-202007 河南机电职业学院 机电工程学院 机电设备维修与管理专业 就读。 大学专科，全日制。
202009-202207 郑州航空工业管理学院 航空宇航学院 电气工程及其自动化专业 就读。 大学本科，全日制。
202207-202306 河南省南阳市内乡县待业。
202306-202312 南阳市市场监督管理局高新分局劳务派遣工作
202312-202412 南阳内邓高速公路有限公司工作
202412﹣至今   南阳方枣高速公路有限公司工作"</f>
        <v>201709-202007 河南机电职业学院 机电工程学院 机电设备维修与管理专业 就读。 大学专科，全日制。
202009-202207 郑州航空工业管理学院 航空宇航学院 电气工程及其自动化专业 就读。 大学本科，全日制。
202207-202306 河南省南阳市内乡县待业。
202306-202312 南阳市市场监督管理局高新分局劳务派遣工作
202312-202412 南阳内邓高速公路有限公司工作
202412﹣至今   南阳方枣高速公路有限公司工作</v>
      </c>
    </row>
    <row r="570" spans="1:9">
      <c r="A570" s="1" t="str">
        <f>"411327199309124226"</f>
        <v>411327199309124226</v>
      </c>
      <c r="B570" s="1" t="str">
        <f t="shared" si="285"/>
        <v>群众</v>
      </c>
      <c r="C570" s="1" t="str">
        <f t="shared" si="281"/>
        <v>本科</v>
      </c>
      <c r="D570" s="1" t="str">
        <f>"411327199309124226"</f>
        <v>411327199309124226</v>
      </c>
      <c r="E570" s="1" t="str">
        <f>"河南中医药大学"</f>
        <v>河南中医药大学</v>
      </c>
      <c r="F570" s="1" t="str">
        <f>"中医学"</f>
        <v>中医学</v>
      </c>
      <c r="G570" s="1" t="str">
        <f>"河南省内乡县建业森林半岛19-1-503"</f>
        <v>河南省内乡县建业森林半岛19-1-503</v>
      </c>
      <c r="H570" s="1" t="str">
        <f t="shared" si="286"/>
        <v>无</v>
      </c>
      <c r="I570" s="1" t="str">
        <f>"2021年—2017年 河南中医药大学  中医学 全日制
2020年—2021年  牧原食品股份有限公司   职员"</f>
        <v>2021年—2017年 河南中医药大学  中医学 全日制
2020年—2021年  牧原食品股份有限公司   职员</v>
      </c>
    </row>
    <row r="571" spans="1:9">
      <c r="A571" s="1" t="str">
        <f>"411327199901151522"</f>
        <v>411327199901151522</v>
      </c>
      <c r="B571" s="1" t="str">
        <f t="shared" si="285"/>
        <v>群众</v>
      </c>
      <c r="C571" s="1" t="str">
        <f t="shared" si="281"/>
        <v>本科</v>
      </c>
      <c r="D571" s="1" t="str">
        <f>"20210630"</f>
        <v>20210630</v>
      </c>
      <c r="E571" s="1" t="str">
        <f>"哈尔滨商业大学"</f>
        <v>哈尔滨商业大学</v>
      </c>
      <c r="F571" s="1" t="str">
        <f>"食品科学与工程"</f>
        <v>食品科学与工程</v>
      </c>
      <c r="G571" s="1" t="str">
        <f>"河南省南阳市内乡县湍动症"</f>
        <v>河南省南阳市内乡县湍动症</v>
      </c>
      <c r="H571" s="1" t="str">
        <f t="shared" si="286"/>
        <v>无</v>
      </c>
      <c r="I571" s="1" t="str">
        <f>"201709-202106 哈尔滨商业大学 食品学院食品科学与工程专业 就读
202107-202309在家待业  ；2023010-至今 南阳市瑞佳食品有限公司"</f>
        <v>201709-202106 哈尔滨商业大学 食品学院食品科学与工程专业 就读
202107-202309在家待业  ；2023010-至今 南阳市瑞佳食品有限公司</v>
      </c>
    </row>
    <row r="572" spans="1:9">
      <c r="A572" s="1" t="str">
        <f>"411327199510011565"</f>
        <v>411327199510011565</v>
      </c>
      <c r="B572" s="1" t="str">
        <f>"共青团员"</f>
        <v>共青团员</v>
      </c>
      <c r="C572" s="1" t="str">
        <f t="shared" si="281"/>
        <v>本科</v>
      </c>
      <c r="D572" s="1" t="str">
        <f>"20180615"</f>
        <v>20180615</v>
      </c>
      <c r="E572" s="1" t="str">
        <f>"洛阳理工学院"</f>
        <v>洛阳理工学院</v>
      </c>
      <c r="F572" s="1" t="str">
        <f>"财务管理"</f>
        <v>财务管理</v>
      </c>
      <c r="G572" s="1" t="str">
        <f>"南阳市内乡县六颗松二期"</f>
        <v>南阳市内乡县六颗松二期</v>
      </c>
      <c r="H572" s="1" t="str">
        <f>"初级会计专业技术资格"</f>
        <v>初级会计专业技术资格</v>
      </c>
      <c r="I572" s="1" t="str">
        <f>"201409-201806 在洛阳理工学院会计学院财务管理专业就读，为全日 
                          制本科学历
201806-202506  任职于内乡郦都学校担任英语教学工作"</f>
        <v>201409-201806 在洛阳理工学院会计学院财务管理专业就读，为全日 
                          制本科学历
201806-202506  任职于内乡郦都学校担任英语教学工作</v>
      </c>
    </row>
    <row r="573" spans="1:9">
      <c r="A573" s="1" t="str">
        <f>"411327200005143140"</f>
        <v>411327200005143140</v>
      </c>
      <c r="B573" s="1" t="str">
        <f t="shared" ref="B573:B578" si="287">"群众"</f>
        <v>群众</v>
      </c>
      <c r="C573" s="1" t="str">
        <f t="shared" si="281"/>
        <v>本科</v>
      </c>
      <c r="D573" s="1" t="str">
        <f>"20230702"</f>
        <v>20230702</v>
      </c>
      <c r="E573" s="1" t="str">
        <f>"南阳理工学院"</f>
        <v>南阳理工学院</v>
      </c>
      <c r="F573" s="1" t="str">
        <f>"财务管理"</f>
        <v>财务管理</v>
      </c>
      <c r="G573" s="1" t="str">
        <f>"河南省南阳市内乡县梨园山庄教堂路南福泽汽修厂"</f>
        <v>河南省南阳市内乡县梨园山庄教堂路南福泽汽修厂</v>
      </c>
      <c r="H573" s="1" t="str">
        <f>"初级会计证"</f>
        <v>初级会计证</v>
      </c>
      <c r="I573" s="1" t="str">
        <f>"201909-202307 南阳理工学院就读"</f>
        <v>201909-202307 南阳理工学院就读</v>
      </c>
    </row>
    <row r="574" spans="1:9">
      <c r="A574" s="1" t="str">
        <f>"411327199502153723"</f>
        <v>411327199502153723</v>
      </c>
      <c r="B574" s="1" t="str">
        <f t="shared" si="287"/>
        <v>群众</v>
      </c>
      <c r="C574" s="1" t="str">
        <f t="shared" si="281"/>
        <v>本科</v>
      </c>
      <c r="D574" s="1" t="str">
        <f>"20160630"</f>
        <v>20160630</v>
      </c>
      <c r="E574" s="1" t="str">
        <f>"福建农林大学"</f>
        <v>福建农林大学</v>
      </c>
      <c r="F574" s="1" t="str">
        <f>"空间信息与数字技术"</f>
        <v>空间信息与数字技术</v>
      </c>
      <c r="G574" s="1" t="str">
        <f>"河南省南阳市内乡县建业森林半岛"</f>
        <v>河南省南阳市内乡县建业森林半岛</v>
      </c>
      <c r="H574" s="1" t="str">
        <f t="shared" ref="H574:H578" si="288">"无"</f>
        <v>无</v>
      </c>
      <c r="I574" s="1" t="str">
        <f>"201209-201607在福建农林大学资源与环境学院空间信息与数字技术专业就读 全日制
201609-201707在内乡县郦都学校任教
201709-202407在马山口镇第二初级中学任教
202409-202507在湍东镇初级中学任教"</f>
        <v>201209-201607在福建农林大学资源与环境学院空间信息与数字技术专业就读 全日制
201609-201707在内乡县郦都学校任教
201709-202407在马山口镇第二初级中学任教
202409-202507在湍东镇初级中学任教</v>
      </c>
    </row>
    <row r="575" spans="1:9">
      <c r="A575" s="1" t="str">
        <f>"410725199512132051"</f>
        <v>410725199512132051</v>
      </c>
      <c r="B575" s="1" t="str">
        <f t="shared" si="287"/>
        <v>群众</v>
      </c>
      <c r="C575" s="1" t="str">
        <f t="shared" si="281"/>
        <v>本科</v>
      </c>
      <c r="D575" s="1" t="str">
        <f>"20200701"</f>
        <v>20200701</v>
      </c>
      <c r="E575" s="1" t="str">
        <f>"郑州航空工业管理学院"</f>
        <v>郑州航空工业管理学院</v>
      </c>
      <c r="F575" s="1" t="str">
        <f>"机械设计制造及其自动化"</f>
        <v>机械设计制造及其自动化</v>
      </c>
      <c r="G575" s="1" t="str">
        <f>"江西省南昌市航空城北区"</f>
        <v>江西省南昌市航空城北区</v>
      </c>
      <c r="H575" s="1" t="str">
        <f t="shared" si="288"/>
        <v>无</v>
      </c>
      <c r="I575" s="1" t="str">
        <f>"201609-202007在郑州航空工业管理学院机电工程学院机械设计制造及其自动化专业就读，全日制学历。
202008至今在江西洪都航空工业集团有限责任公司任职。"</f>
        <v>201609-202007在郑州航空工业管理学院机电工程学院机械设计制造及其自动化专业就读，全日制学历。
202008至今在江西洪都航空工业集团有限责任公司任职。</v>
      </c>
    </row>
    <row r="576" spans="1:9">
      <c r="A576" s="1" t="str">
        <f>"410728200010109809"</f>
        <v>410728200010109809</v>
      </c>
      <c r="B576" s="1" t="str">
        <f t="shared" si="287"/>
        <v>群众</v>
      </c>
      <c r="C576" s="1" t="str">
        <f t="shared" si="281"/>
        <v>本科</v>
      </c>
      <c r="D576" s="1" t="str">
        <f>"20220701"</f>
        <v>20220701</v>
      </c>
      <c r="E576" s="1" t="str">
        <f>"郑州师范学院"</f>
        <v>郑州师范学院</v>
      </c>
      <c r="F576" s="1" t="str">
        <f>"数字媒体技术"</f>
        <v>数字媒体技术</v>
      </c>
      <c r="G576" s="1" t="str">
        <f>"河南省新乡市长垣市"</f>
        <v>河南省新乡市长垣市</v>
      </c>
      <c r="H576" s="1" t="str">
        <f t="shared" si="288"/>
        <v>无</v>
      </c>
      <c r="I576" s="1" t="str">
        <f>"201809-202207 郑州师范学院就读
202207-今 待业"</f>
        <v>201809-202207 郑州师范学院就读
202207-今 待业</v>
      </c>
    </row>
    <row r="577" spans="1:9">
      <c r="A577" s="1" t="str">
        <f>"412801200208020831"</f>
        <v>412801200208020831</v>
      </c>
      <c r="B577" s="1" t="str">
        <f t="shared" si="287"/>
        <v>群众</v>
      </c>
      <c r="C577" s="1" t="str">
        <f t="shared" si="281"/>
        <v>本科</v>
      </c>
      <c r="D577" s="1" t="str">
        <f>"20240607"</f>
        <v>20240607</v>
      </c>
      <c r="E577" s="1" t="str">
        <f>"黑龙江科技大学"</f>
        <v>黑龙江科技大学</v>
      </c>
      <c r="F577" s="1" t="str">
        <f>"机械设计制造及其自动化"</f>
        <v>机械设计制造及其自动化</v>
      </c>
      <c r="G577" s="1" t="str">
        <f>"河南省驻马店市驿城区"</f>
        <v>河南省驻马店市驿城区</v>
      </c>
      <c r="H577" s="1" t="str">
        <f t="shared" si="288"/>
        <v>无</v>
      </c>
      <c r="I577" s="1" t="str">
        <f>"2020.10-2024.6	本科就读于黑龙江科技大学机械设计制造及其自动化专业，全日制学历"</f>
        <v>2020.10-2024.6	本科就读于黑龙江科技大学机械设计制造及其自动化专业，全日制学历</v>
      </c>
    </row>
    <row r="578" spans="1:9">
      <c r="A578" s="1" t="str">
        <f>"41078219890204093X"</f>
        <v>41078219890204093X</v>
      </c>
      <c r="B578" s="1" t="str">
        <f t="shared" si="287"/>
        <v>群众</v>
      </c>
      <c r="C578" s="1" t="str">
        <f>"硕士研究生"</f>
        <v>硕士研究生</v>
      </c>
      <c r="D578" s="1" t="str">
        <f>"20130701"</f>
        <v>20130701</v>
      </c>
      <c r="E578" s="1" t="str">
        <f>"贺州学院"</f>
        <v>贺州学院</v>
      </c>
      <c r="F578" s="1" t="str">
        <f>"艺术设计（艺术设计与印刷方向）"</f>
        <v>艺术设计（艺术设计与印刷方向）</v>
      </c>
      <c r="G578" s="1" t="str">
        <f>"河南省辉县市孟庄镇路固村"</f>
        <v>河南省辉县市孟庄镇路固村</v>
      </c>
      <c r="H578" s="1" t="str">
        <f t="shared" si="288"/>
        <v>无</v>
      </c>
      <c r="I578" s="1" t="str">
        <f>"200909-201307  贺州学院  艺术系艺术设计与印刷专业  就读 全日制本科
201308-201805  辉县市森和物业 
201806-202206  辉县市凯斯旗家居
202206-   至今    辉县市欧诺全屋定制  "</f>
        <v>200909-201307  贺州学院  艺术系艺术设计与印刷专业  就读 全日制本科
201308-201805  辉县市森和物业 
201806-202206  辉县市凯斯旗家居
202206-   至今    辉县市欧诺全屋定制  </v>
      </c>
    </row>
    <row r="579" spans="1:9">
      <c r="A579" s="1" t="str">
        <f>"411327200104033510"</f>
        <v>411327200104033510</v>
      </c>
      <c r="B579" s="1" t="str">
        <f>"中共党员"</f>
        <v>中共党员</v>
      </c>
      <c r="C579" s="1" t="str">
        <f t="shared" ref="C579:C585" si="289">"本科"</f>
        <v>本科</v>
      </c>
      <c r="D579" s="1" t="str">
        <f>"20230701"</f>
        <v>20230701</v>
      </c>
      <c r="E579" s="1" t="str">
        <f>"信阳农林学院"</f>
        <v>信阳农林学院</v>
      </c>
      <c r="F579" s="1" t="str">
        <f>"茶学"</f>
        <v>茶学</v>
      </c>
      <c r="G579" s="1" t="str">
        <f>"河南省内乡县城关镇南关师苑小区"</f>
        <v>河南省内乡县城关镇南关师苑小区</v>
      </c>
      <c r="H579" s="1" t="str">
        <f>"评茶员三级"</f>
        <v>评茶员三级</v>
      </c>
      <c r="I579" s="1" t="str">
        <f>"201909-202307在信阳农林学院茶学院茶学专业就读全日制学历
202307-20231在 福建武夷山国家级自然保护区正山茶业有限公司工作
202311-202312在郑州新捞派餐饮管理有限公司工作
202401-202412在河南悦来悦喜商贸有限公司工作
202501-202502在河南省内乡县待就业
202503-至今在内乡县智慧城管中心工作"</f>
        <v>201909-202307在信阳农林学院茶学院茶学专业就读全日制学历
202307-20231在 福建武夷山国家级自然保护区正山茶业有限公司工作
202311-202312在郑州新捞派餐饮管理有限公司工作
202401-202412在河南悦来悦喜商贸有限公司工作
202501-202502在河南省内乡县待就业
202503-至今在内乡县智慧城管中心工作</v>
      </c>
    </row>
    <row r="580" spans="1:9">
      <c r="A580" s="1" t="str">
        <f>"41132719941027005X"</f>
        <v>41132719941027005X</v>
      </c>
      <c r="B580" s="1" t="str">
        <f t="shared" ref="B580:B585" si="290">"群众"</f>
        <v>群众</v>
      </c>
      <c r="C580" s="1" t="str">
        <f t="shared" si="289"/>
        <v>本科</v>
      </c>
      <c r="D580" s="1" t="str">
        <f>"20240630"</f>
        <v>20240630</v>
      </c>
      <c r="E580" s="1" t="str">
        <f>"中国地质大学(北京)"</f>
        <v>中国地质大学(北京)</v>
      </c>
      <c r="F580" s="1" t="str">
        <f>"产品设计"</f>
        <v>产品设计</v>
      </c>
      <c r="G580" s="1" t="str">
        <f>"郑州紫荆之星大厦1403"</f>
        <v>郑州紫荆之星大厦1403</v>
      </c>
      <c r="H580" s="1" t="str">
        <f t="shared" ref="H580:H582" si="291">"无"</f>
        <v>无</v>
      </c>
      <c r="I580" s="1" t="str">
        <f>"201610-202105  上海直真视通科技有限公司
202106-202408  郑州硕冠装饰公司
202203-202406  中国地质大学(北京)网络教育  "</f>
        <v>201610-202105  上海直真视通科技有限公司
202106-202408  郑州硕冠装饰公司
202203-202406  中国地质大学(北京)网络教育  </v>
      </c>
    </row>
    <row r="581" spans="1:9">
      <c r="A581" s="1" t="str">
        <f>"411327200112011549"</f>
        <v>411327200112011549</v>
      </c>
      <c r="B581" s="1" t="str">
        <f>"共青团员"</f>
        <v>共青团员</v>
      </c>
      <c r="C581" s="1" t="str">
        <f t="shared" si="289"/>
        <v>本科</v>
      </c>
      <c r="D581" s="1" t="str">
        <f>"20250607"</f>
        <v>20250607</v>
      </c>
      <c r="E581" s="1" t="str">
        <f>"洛阳师范学院"</f>
        <v>洛阳师范学院</v>
      </c>
      <c r="F581" s="1" t="str">
        <f>"土地资源管理"</f>
        <v>土地资源管理</v>
      </c>
      <c r="G581" s="1" t="str">
        <f>"河南省南阳市内乡县湍东镇东符营村"</f>
        <v>河南省南阳市内乡县湍东镇东符营村</v>
      </c>
      <c r="H581" s="1" t="str">
        <f t="shared" si="291"/>
        <v>无</v>
      </c>
      <c r="I581" s="1" t="str">
        <f>"202109-202506洛阳师范学院地理与旅游学院土地资源管理专业就读全日制本科学历"</f>
        <v>202109-202506洛阳师范学院地理与旅游学院土地资源管理专业就读全日制本科学历</v>
      </c>
    </row>
    <row r="582" spans="1:9">
      <c r="A582" s="1" t="str">
        <f>"410402200006185585"</f>
        <v>410402200006185585</v>
      </c>
      <c r="B582" s="1" t="str">
        <f>"中共党员"</f>
        <v>中共党员</v>
      </c>
      <c r="C582" s="1" t="str">
        <f t="shared" si="289"/>
        <v>本科</v>
      </c>
      <c r="D582" s="1" t="str">
        <f>"20240630"</f>
        <v>20240630</v>
      </c>
      <c r="E582" s="1" t="str">
        <f>"新乡学院"</f>
        <v>新乡学院</v>
      </c>
      <c r="F582" s="1" t="str">
        <f>"美术学"</f>
        <v>美术学</v>
      </c>
      <c r="G582" s="1" t="str">
        <f>"河南省平顶山市新华区曙光街北绢纺厂文明大院"</f>
        <v>河南省平顶山市新华区曙光街北绢纺厂文明大院</v>
      </c>
      <c r="H582" s="1" t="str">
        <f t="shared" si="291"/>
        <v>无</v>
      </c>
      <c r="I582" s="1" t="str">
        <f>"201909-202206许昌学院国际教育学院艺术设计专业就读，为全日制学历
202209-202406新乡学院美术学院美术学专业就读，为全日制学历"</f>
        <v>201909-202206许昌学院国际教育学院艺术设计专业就读，为全日制学历
202209-202406新乡学院美术学院美术学专业就读，为全日制学历</v>
      </c>
    </row>
    <row r="583" spans="1:9">
      <c r="A583" s="1" t="str">
        <f>"411327199604120068"</f>
        <v>411327199604120068</v>
      </c>
      <c r="B583" s="1" t="str">
        <f t="shared" si="290"/>
        <v>群众</v>
      </c>
      <c r="C583" s="1" t="str">
        <f t="shared" si="289"/>
        <v>本科</v>
      </c>
      <c r="D583" s="1" t="str">
        <f>"201801"</f>
        <v>201801</v>
      </c>
      <c r="E583" s="1" t="str">
        <f>"中国药科大学"</f>
        <v>中国药科大学</v>
      </c>
      <c r="F583" s="1" t="str">
        <f>"药学"</f>
        <v>药学</v>
      </c>
      <c r="G583" s="1" t="str">
        <f>"河南省南阳市内乡县湍东镇新村幼儿园后"</f>
        <v>河南省南阳市内乡县湍东镇新村幼儿园后</v>
      </c>
      <c r="H583" s="1" t="str">
        <f>"执业药师"</f>
        <v>执业药师</v>
      </c>
      <c r="I583" s="1" t="str">
        <f>"201301-201801中国药科大学 就读非全日制"</f>
        <v>201301-201801中国药科大学 就读非全日制</v>
      </c>
    </row>
    <row r="584" spans="1:9">
      <c r="A584" s="1" t="str">
        <f>"411327200111101112"</f>
        <v>411327200111101112</v>
      </c>
      <c r="B584" s="1" t="str">
        <f t="shared" si="290"/>
        <v>群众</v>
      </c>
      <c r="C584" s="1" t="str">
        <f t="shared" si="289"/>
        <v>本科</v>
      </c>
      <c r="D584" s="1" t="str">
        <f t="shared" ref="D584:D587" si="292">"20250701"</f>
        <v>20250701</v>
      </c>
      <c r="E584" s="1" t="str">
        <f>"贵州师范大学"</f>
        <v>贵州师范大学</v>
      </c>
      <c r="F584" s="1" t="str">
        <f>"体育教育"</f>
        <v>体育教育</v>
      </c>
      <c r="G584" s="1" t="str">
        <f>"内乡县赤眉镇张堂村杨营40号"</f>
        <v>内乡县赤眉镇张堂村杨营40号</v>
      </c>
      <c r="H584" s="1" t="str">
        <f>"三级篮球裁判"</f>
        <v>三级篮球裁判</v>
      </c>
      <c r="I584" s="1" t="str">
        <f>"202109-202507贵州师范大学就读全日制本科"</f>
        <v>202109-202507贵州师范大学就读全日制本科</v>
      </c>
    </row>
    <row r="585" spans="1:9">
      <c r="A585" s="1" t="str">
        <f>"411024199403245117"</f>
        <v>411024199403245117</v>
      </c>
      <c r="B585" s="1" t="str">
        <f t="shared" si="290"/>
        <v>群众</v>
      </c>
      <c r="C585" s="1" t="str">
        <f t="shared" si="289"/>
        <v>本科</v>
      </c>
      <c r="D585" s="1" t="str">
        <f>"20180701"</f>
        <v>20180701</v>
      </c>
      <c r="E585" s="1" t="str">
        <f>"南阳师范学院"</f>
        <v>南阳师范学院</v>
      </c>
      <c r="F585" s="1" t="str">
        <f>"土木工程"</f>
        <v>土木工程</v>
      </c>
      <c r="G585" s="1" t="str">
        <f>"河南省许昌市鄢陵县望田镇南村"</f>
        <v>河南省许昌市鄢陵县望田镇南村</v>
      </c>
      <c r="H585" s="1" t="str">
        <f t="shared" ref="H585:H592" si="293">"无"</f>
        <v>无</v>
      </c>
      <c r="I585" s="1" t="str">
        <f>"201609-201807 南阳师范学院就读，土木建筑工程学院土木工程专业，全日制学历；
201808-202010 河南国际合作集团有限公司，项目部技术员；
202010-202012 河南省许昌市待业
202012-202109 河南汉通公路工程有限公司，项目部技术员；
202109-202112 河南省许昌市待业
202112-202505 上海兆洪电器有限公司，抖音中旗部主播；
202505至今 上海市嘉定区待业"</f>
        <v>201609-201807 南阳师范学院就读，土木建筑工程学院土木工程专业，全日制学历；
201808-202010 河南国际合作集团有限公司，项目部技术员；
202010-202012 河南省许昌市待业
202012-202109 河南汉通公路工程有限公司，项目部技术员；
202109-202112 河南省许昌市待业
202112-202505 上海兆洪电器有限公司，抖音中旗部主播；
202505至今 上海市嘉定区待业</v>
      </c>
    </row>
    <row r="586" spans="1:9">
      <c r="A586" s="1" t="str">
        <f>"411503200310308861"</f>
        <v>411503200310308861</v>
      </c>
      <c r="B586" s="1" t="str">
        <f>"共青团员"</f>
        <v>共青团员</v>
      </c>
      <c r="C586" s="1" t="str">
        <f>"专科"</f>
        <v>专科</v>
      </c>
      <c r="D586" s="1" t="str">
        <f t="shared" si="292"/>
        <v>20250701</v>
      </c>
      <c r="E586" s="1" t="str">
        <f>"焦作大学"</f>
        <v>焦作大学</v>
      </c>
      <c r="F586" s="1" t="str">
        <f>"大数据技术"</f>
        <v>大数据技术</v>
      </c>
      <c r="G586" s="1" t="str">
        <f>"河南省信阳市羊山新区百花名都"</f>
        <v>河南省信阳市羊山新区百花名都</v>
      </c>
      <c r="H586" s="1" t="str">
        <f t="shared" si="293"/>
        <v>无</v>
      </c>
      <c r="I586" s="1" t="str">
        <f>"202209-202507焦作大学就读大数据技术是全日制"</f>
        <v>202209-202507焦作大学就读大数据技术是全日制</v>
      </c>
    </row>
    <row r="587" spans="1:9">
      <c r="A587" s="1" t="str">
        <f>"411202199505260513"</f>
        <v>411202199505260513</v>
      </c>
      <c r="B587" s="1" t="str">
        <f t="shared" ref="B587:B590" si="294">"群众"</f>
        <v>群众</v>
      </c>
      <c r="C587" s="1" t="str">
        <f t="shared" ref="C587:C596" si="295">"本科"</f>
        <v>本科</v>
      </c>
      <c r="D587" s="1" t="str">
        <f t="shared" si="292"/>
        <v>20250701</v>
      </c>
      <c r="E587" s="1" t="str">
        <f>"武汉科技大学"</f>
        <v>武汉科技大学</v>
      </c>
      <c r="F587" s="1" t="str">
        <f>"行政管理"</f>
        <v>行政管理</v>
      </c>
      <c r="G587" s="1" t="str">
        <f>"河南省三门峡市湖滨区大中海"</f>
        <v>河南省三门峡市湖滨区大中海</v>
      </c>
      <c r="H587" s="1" t="str">
        <f t="shared" si="293"/>
        <v>无</v>
      </c>
      <c r="I587" s="1" t="str">
        <f>"201309-201607中国传媒大学就读电视摄像专业，全日制大专，202309-202507武汉科技大学就读行政管理专业，函授本科。"</f>
        <v>201309-201607中国传媒大学就读电视摄像专业，全日制大专，202309-202507武汉科技大学就读行政管理专业，函授本科。</v>
      </c>
    </row>
    <row r="588" spans="1:9">
      <c r="A588" s="1" t="str">
        <f>"411327199810290068"</f>
        <v>411327199810290068</v>
      </c>
      <c r="B588" s="1" t="str">
        <f t="shared" si="294"/>
        <v>群众</v>
      </c>
      <c r="C588" s="1" t="str">
        <f t="shared" si="295"/>
        <v>本科</v>
      </c>
      <c r="D588" s="1" t="str">
        <f>"20210701"</f>
        <v>20210701</v>
      </c>
      <c r="E588" s="1" t="str">
        <f>"商丘工学院"</f>
        <v>商丘工学院</v>
      </c>
      <c r="F588" s="1" t="str">
        <f>"会计学"</f>
        <v>会计学</v>
      </c>
      <c r="G588" s="1" t="str">
        <f>"河南省南阳市内乡县梨苑山庄香樟苑"</f>
        <v>河南省南阳市内乡县梨苑山庄香樟苑</v>
      </c>
      <c r="H588" s="1" t="str">
        <f t="shared" si="293"/>
        <v>无</v>
      </c>
      <c r="I588" s="1" t="str">
        <f>"201709-202107 商丘工学院经济与管理学院会计学专业就读（全日制本科）
202107-202210 在内乡县待业
202210-202402 内乡县牧原现代农业综合体就职
202403-至今 在内乡县待业"</f>
        <v>201709-202107 商丘工学院经济与管理学院会计学专业就读（全日制本科）
202107-202210 在内乡县待业
202210-202402 内乡县牧原现代农业综合体就职
202403-至今 在内乡县待业</v>
      </c>
    </row>
    <row r="589" spans="1:9">
      <c r="A589" s="1" t="str">
        <f>"411327199603080340"</f>
        <v>411327199603080340</v>
      </c>
      <c r="B589" s="1" t="str">
        <f t="shared" si="294"/>
        <v>群众</v>
      </c>
      <c r="C589" s="1" t="str">
        <f t="shared" si="295"/>
        <v>本科</v>
      </c>
      <c r="D589" s="1" t="str">
        <f>"20190607"</f>
        <v>20190607</v>
      </c>
      <c r="E589" s="1" t="str">
        <f>"河南科技学院"</f>
        <v>河南科技学院</v>
      </c>
      <c r="F589" s="1" t="str">
        <f>"烹饪与营养教育"</f>
        <v>烹饪与营养教育</v>
      </c>
      <c r="G589" s="1" t="str">
        <f>"河南省南阳市内乡县湍东镇"</f>
        <v>河南省南阳市内乡县湍东镇</v>
      </c>
      <c r="H589" s="1" t="str">
        <f t="shared" si="293"/>
        <v>无</v>
      </c>
      <c r="I589" s="1" t="str">
        <f>"201509-201906河南科技学院烹饪与营养教育专业就读，全日制学历"</f>
        <v>201509-201906河南科技学院烹饪与营养教育专业就读，全日制学历</v>
      </c>
    </row>
    <row r="590" spans="1:9">
      <c r="A590" s="1" t="str">
        <f>"411324199909150031"</f>
        <v>411324199909150031</v>
      </c>
      <c r="B590" s="1" t="str">
        <f t="shared" si="294"/>
        <v>群众</v>
      </c>
      <c r="C590" s="1" t="str">
        <f t="shared" si="295"/>
        <v>本科</v>
      </c>
      <c r="D590" s="1" t="str">
        <f>"2023年7月14日"</f>
        <v>2023年7月14日</v>
      </c>
      <c r="E590" s="1" t="str">
        <f>"澳门城市大学"</f>
        <v>澳门城市大学</v>
      </c>
      <c r="F590" s="1" t="str">
        <f>"国际款待与旅游管理"</f>
        <v>国际款待与旅游管理</v>
      </c>
      <c r="G590" s="1" t="str">
        <f>"河南省南阳市如意广场4号楼三单元2604"</f>
        <v>河南省南阳市如意广场4号楼三单元2604</v>
      </c>
      <c r="H590" s="1" t="str">
        <f t="shared" si="293"/>
        <v>无</v>
      </c>
      <c r="I590" s="1" t="str">
        <f>"201909-202307澳门城市大学国际款待与旅游业管理专业就读，全日制学历，毕业后在郑州金水区财富广场翰卓文化上班"</f>
        <v>201909-202307澳门城市大学国际款待与旅游业管理专业就读，全日制学历，毕业后在郑州金水区财富广场翰卓文化上班</v>
      </c>
    </row>
    <row r="591" spans="1:9">
      <c r="A591" s="1" t="str">
        <f>"411327199911273726"</f>
        <v>411327199911273726</v>
      </c>
      <c r="B591" s="1" t="str">
        <f>"中共党员"</f>
        <v>中共党员</v>
      </c>
      <c r="C591" s="1" t="str">
        <f t="shared" si="295"/>
        <v>本科</v>
      </c>
      <c r="D591" s="1" t="str">
        <f>"20210630"</f>
        <v>20210630</v>
      </c>
      <c r="E591" s="1" t="str">
        <f>"南宁师范大学师园学院"</f>
        <v>南宁师范大学师园学院</v>
      </c>
      <c r="F591" s="1" t="str">
        <f>"英语教育"</f>
        <v>英语教育</v>
      </c>
      <c r="G591" s="1" t="str">
        <f>"河南省南阳市内乡县实验初中对面"</f>
        <v>河南省南阳市内乡县实验初中对面</v>
      </c>
      <c r="H591" s="1" t="str">
        <f t="shared" si="293"/>
        <v>无</v>
      </c>
      <c r="I591" s="1" t="str">
        <f>"201709-202106 在南宁师范大学师园学院就读外语系英语教育专业"</f>
        <v>201709-202106 在南宁师范大学师园学院就读外语系英语教育专业</v>
      </c>
    </row>
    <row r="592" spans="1:9">
      <c r="A592" s="1" t="str">
        <f>"411327199709301527"</f>
        <v>411327199709301527</v>
      </c>
      <c r="B592" s="1" t="str">
        <f>"中共党员"</f>
        <v>中共党员</v>
      </c>
      <c r="C592" s="1" t="str">
        <f t="shared" si="295"/>
        <v>本科</v>
      </c>
      <c r="D592" s="1" t="str">
        <f>"20190701"</f>
        <v>20190701</v>
      </c>
      <c r="E592" s="1" t="str">
        <f>"郑州科技学院"</f>
        <v>郑州科技学院</v>
      </c>
      <c r="F592" s="1" t="str">
        <f>"财务管理"</f>
        <v>财务管理</v>
      </c>
      <c r="G592" s="1" t="str">
        <f>"河南省南阳市内乡县湍东镇"</f>
        <v>河南省南阳市内乡县湍东镇</v>
      </c>
      <c r="H592" s="1" t="str">
        <f t="shared" si="293"/>
        <v>无</v>
      </c>
      <c r="I592" s="1" t="str">
        <f>"201509-201907郑州科技学院财经学院财务管理专业就读全日制学历
201907-201912待业
202001-202103南阳村镇银行柜员
202104-至今内乡县矿产品交易中心职工"</f>
        <v>201509-201907郑州科技学院财经学院财务管理专业就读全日制学历
201907-201912待业
202001-202103南阳村镇银行柜员
202104-至今内乡县矿产品交易中心职工</v>
      </c>
    </row>
    <row r="593" spans="1:9">
      <c r="A593" s="1" t="str">
        <f>"41132720030705002X"</f>
        <v>41132720030705002X</v>
      </c>
      <c r="B593" s="1" t="str">
        <f t="shared" ref="B593:B598" si="296">"共青团员"</f>
        <v>共青团员</v>
      </c>
      <c r="C593" s="1" t="str">
        <f t="shared" si="295"/>
        <v>本科</v>
      </c>
      <c r="D593" s="1" t="str">
        <f>"2025-06-30"</f>
        <v>2025-06-30</v>
      </c>
      <c r="E593" s="1" t="str">
        <f>"河南财经政法大学"</f>
        <v>河南财经政法大学</v>
      </c>
      <c r="F593" s="1" t="str">
        <f>"人力资源管理"</f>
        <v>人力资源管理</v>
      </c>
      <c r="G593" s="1" t="str">
        <f>"河南省南阳市内乡县新都花苑"</f>
        <v>河南省南阳市内乡县新都花苑</v>
      </c>
      <c r="H593" s="1" t="str">
        <f>"普通话证书"</f>
        <v>普通话证书</v>
      </c>
      <c r="I593" s="1" t="str">
        <f>"202109-202506 在河南财经政法大学工商管理学院人力资源管理专业就读，是全日制学历；
201809-202106 在内乡县第一高级中学就读，是全日制学历"</f>
        <v>202109-202506 在河南财经政法大学工商管理学院人力资源管理专业就读，是全日制学历；
201809-202106 在内乡县第一高级中学就读，是全日制学历</v>
      </c>
    </row>
    <row r="594" spans="1:9">
      <c r="A594" s="1" t="str">
        <f>"411324199411033217"</f>
        <v>411324199411033217</v>
      </c>
      <c r="B594" s="1" t="str">
        <f t="shared" ref="B594:B608" si="297">"群众"</f>
        <v>群众</v>
      </c>
      <c r="C594" s="1" t="str">
        <f t="shared" si="295"/>
        <v>本科</v>
      </c>
      <c r="D594" s="1" t="str">
        <f>"20160630"</f>
        <v>20160630</v>
      </c>
      <c r="E594" s="1" t="str">
        <f>"河南农业大学"</f>
        <v>河南农业大学</v>
      </c>
      <c r="F594" s="1" t="str">
        <f>"农学（作物生物技术）"</f>
        <v>农学（作物生物技术）</v>
      </c>
      <c r="G594" s="1" t="str">
        <f>"河南省南阳市镇平县枣园镇"</f>
        <v>河南省南阳市镇平县枣园镇</v>
      </c>
      <c r="H594" s="1" t="str">
        <f t="shared" ref="H594:H602" si="298">"无"</f>
        <v>无</v>
      </c>
      <c r="I594" s="1" t="str">
        <f>"201209-201606 在河南农业大学农学院农学（作物生物技术）专业就读，是全日制学历，后来于202009-202309在枣园镇初级中学任教三年，后来到私立高中教学于是在初中辞职。"</f>
        <v>201209-201606 在河南农业大学农学院农学（作物生物技术）专业就读，是全日制学历，后来于202009-202309在枣园镇初级中学任教三年，后来到私立高中教学于是在初中辞职。</v>
      </c>
    </row>
    <row r="595" spans="1:9">
      <c r="A595" s="1" t="str">
        <f>"411327199909301513"</f>
        <v>411327199909301513</v>
      </c>
      <c r="B595" s="1" t="str">
        <f t="shared" si="297"/>
        <v>群众</v>
      </c>
      <c r="C595" s="1" t="str">
        <f t="shared" si="295"/>
        <v>本科</v>
      </c>
      <c r="D595" s="1" t="str">
        <f>"20220701"</f>
        <v>20220701</v>
      </c>
      <c r="E595" s="1" t="str">
        <f>"河南城建学院"</f>
        <v>河南城建学院</v>
      </c>
      <c r="F595" s="1" t="str">
        <f>"高分子材料与工程"</f>
        <v>高分子材料与工程</v>
      </c>
      <c r="G595" s="1" t="str">
        <f>"河南省南阳市内乡县"</f>
        <v>河南省南阳市内乡县</v>
      </c>
      <c r="H595" s="1" t="str">
        <f t="shared" si="298"/>
        <v>无</v>
      </c>
      <c r="I595" s="1" t="str">
        <f>"201809-202207在河南城建学院-材料与化工学院-高分子材料与工程专业就读；全日制学历"</f>
        <v>201809-202207在河南城建学院-材料与化工学院-高分子材料与工程专业就读；全日制学历</v>
      </c>
    </row>
    <row r="596" spans="1:9">
      <c r="A596" s="1" t="str">
        <f>"411327200111224227"</f>
        <v>411327200111224227</v>
      </c>
      <c r="B596" s="1" t="str">
        <f t="shared" si="296"/>
        <v>共青团员</v>
      </c>
      <c r="C596" s="1" t="str">
        <f t="shared" si="295"/>
        <v>本科</v>
      </c>
      <c r="D596" s="1" t="str">
        <f>"20230701"</f>
        <v>20230701</v>
      </c>
      <c r="E596" s="1" t="str">
        <f>"洛阳理工学院"</f>
        <v>洛阳理工学院</v>
      </c>
      <c r="F596" s="1" t="str">
        <f>"财务管理"</f>
        <v>财务管理</v>
      </c>
      <c r="G596" s="1" t="str">
        <f>"南阳市内乡县余关镇社区"</f>
        <v>南阳市内乡县余关镇社区</v>
      </c>
      <c r="H596" s="1" t="str">
        <f>"初级会计证"</f>
        <v>初级会计证</v>
      </c>
      <c r="I596" s="1" t="str">
        <f>"201909-202307  洛阳理工学院 会计学院财务管理专业 全日制本科
202307-至今 待业"</f>
        <v>201909-202307  洛阳理工学院 会计学院财务管理专业 全日制本科
202307-至今 待业</v>
      </c>
    </row>
    <row r="597" spans="1:9">
      <c r="A597" s="1" t="str">
        <f>"341281199608039456"</f>
        <v>341281199608039456</v>
      </c>
      <c r="B597" s="1" t="str">
        <f>"中共预备党员"</f>
        <v>中共预备党员</v>
      </c>
      <c r="C597" s="1" t="str">
        <f t="shared" ref="C597:C602" si="299">"专科"</f>
        <v>专科</v>
      </c>
      <c r="D597" s="1" t="str">
        <f>"20160701"</f>
        <v>20160701</v>
      </c>
      <c r="E597" s="1" t="str">
        <f>"亳州师范高等专科学校"</f>
        <v>亳州师范高等专科学校</v>
      </c>
      <c r="F597" s="1" t="str">
        <f>"语文教育"</f>
        <v>语文教育</v>
      </c>
      <c r="G597" s="1" t="str">
        <f>"安徽省亳州市谯城区中丞双玺Y3栋3单元805"</f>
        <v>安徽省亳州市谯城区中丞双玺Y3栋3单元805</v>
      </c>
      <c r="H597" s="1" t="str">
        <f t="shared" si="298"/>
        <v>无</v>
      </c>
      <c r="I597" s="1" t="str">
        <f>"201109-201607  亳州师范高等专科学校 中文与传媒系 语文教育专业 就读
201607-201609  家中待业
201609-202209  中国人民解放军71282部队  服役
202209-今  家中待业"</f>
        <v>201109-201607  亳州师范高等专科学校 中文与传媒系 语文教育专业 就读
201607-201609  家中待业
201609-202209  中国人民解放军71282部队  服役
202209-今  家中待业</v>
      </c>
    </row>
    <row r="598" spans="1:9">
      <c r="A598" s="1" t="str">
        <f>"411525200204194213"</f>
        <v>411525200204194213</v>
      </c>
      <c r="B598" s="1" t="str">
        <f t="shared" si="296"/>
        <v>共青团员</v>
      </c>
      <c r="C598" s="1" t="str">
        <f t="shared" ref="C598:C601" si="300">"本科"</f>
        <v>本科</v>
      </c>
      <c r="D598" s="1" t="str">
        <f>"20250608"</f>
        <v>20250608</v>
      </c>
      <c r="E598" s="1" t="str">
        <f>"郑州轻工业大学"</f>
        <v>郑州轻工业大学</v>
      </c>
      <c r="F598" s="1" t="str">
        <f>"工商管理"</f>
        <v>工商管理</v>
      </c>
      <c r="G598" s="1" t="str">
        <f>"河南省郑州市中原区柳湖街道玉轩人才公寓"</f>
        <v>河南省郑州市中原区柳湖街道玉轩人才公寓</v>
      </c>
      <c r="H598" s="1" t="str">
        <f t="shared" si="298"/>
        <v>无</v>
      </c>
      <c r="I598" s="1" t="str">
        <f>"202009-202306 郑州职业技术学院 电子商务专业 全日制
202309-202506 郑州轻工业大学    工商管理专业  全日制"</f>
        <v>202009-202306 郑州职业技术学院 电子商务专业 全日制
202309-202506 郑州轻工业大学    工商管理专业  全日制</v>
      </c>
    </row>
    <row r="599" spans="1:9">
      <c r="A599" s="1" t="str">
        <f>"411330200102221524"</f>
        <v>411330200102221524</v>
      </c>
      <c r="B599" s="1" t="str">
        <f t="shared" si="297"/>
        <v>群众</v>
      </c>
      <c r="C599" s="1" t="str">
        <f t="shared" si="300"/>
        <v>本科</v>
      </c>
      <c r="D599" s="1" t="str">
        <f>"2022.7.01"</f>
        <v>2022.7.01</v>
      </c>
      <c r="E599" s="1" t="str">
        <f>"安阳师范学院"</f>
        <v>安阳师范学院</v>
      </c>
      <c r="F599" s="1" t="str">
        <f>"汉语言文学"</f>
        <v>汉语言文学</v>
      </c>
      <c r="G599" s="1" t="str">
        <f>"河南省南阳市西峡县人民路"</f>
        <v>河南省南阳市西峡县人民路</v>
      </c>
      <c r="H599" s="1" t="str">
        <f t="shared" si="298"/>
        <v>无</v>
      </c>
      <c r="I599" s="1" t="str">
        <f>"2016.09—2019.06西峡县第二高级中学
2019.09—2022.07河南工业职业技术学校
2022.07—2023.1自由职业
2023.01—2025.07安阳师范学院"</f>
        <v>2016.09—2019.06西峡县第二高级中学
2019.09—2022.07河南工业职业技术学校
2022.07—2023.1自由职业
2023.01—2025.07安阳师范学院</v>
      </c>
    </row>
    <row r="600" spans="1:9">
      <c r="A600" s="1" t="str">
        <f>"411327199711131539"</f>
        <v>411327199711131539</v>
      </c>
      <c r="B600" s="1" t="str">
        <f t="shared" si="297"/>
        <v>群众</v>
      </c>
      <c r="C600" s="1" t="str">
        <f t="shared" si="299"/>
        <v>专科</v>
      </c>
      <c r="D600" s="1" t="str">
        <f>"20190701"</f>
        <v>20190701</v>
      </c>
      <c r="E600" s="1" t="str">
        <f>"郑州电子信息职业技术学院"</f>
        <v>郑州电子信息职业技术学院</v>
      </c>
      <c r="F600" s="1" t="str">
        <f>"物联网应用技术"</f>
        <v>物联网应用技术</v>
      </c>
      <c r="G600" s="1" t="str">
        <f>"河南省南阳市内乡县湍东镇东王营村柏南80号"</f>
        <v>河南省南阳市内乡县湍东镇东王营村柏南80号</v>
      </c>
      <c r="H600" s="1" t="str">
        <f t="shared" si="298"/>
        <v>无</v>
      </c>
      <c r="I600" s="1" t="str">
        <f>"201609-201907在郑州电子信息职业技术学院信息工程系物联网应用技术专业就读，是全日制，201907-202312在杭州企游有限公司上班，202401至今在家待业"</f>
        <v>201609-201907在郑州电子信息职业技术学院信息工程系物联网应用技术专业就读，是全日制，201907-202312在杭州企游有限公司上班，202401至今在家待业</v>
      </c>
    </row>
    <row r="601" spans="1:9">
      <c r="A601" s="1" t="str">
        <f>"410526200206139571"</f>
        <v>410526200206139571</v>
      </c>
      <c r="B601" s="1" t="str">
        <f t="shared" si="297"/>
        <v>群众</v>
      </c>
      <c r="C601" s="1" t="str">
        <f t="shared" si="300"/>
        <v>本科</v>
      </c>
      <c r="D601" s="1" t="str">
        <f>"2025年6月10日"</f>
        <v>2025年6月10日</v>
      </c>
      <c r="E601" s="1" t="str">
        <f>"中原科技学院"</f>
        <v>中原科技学院</v>
      </c>
      <c r="F601" s="1" t="str">
        <f>"计算机科学与技术"</f>
        <v>计算机科学与技术</v>
      </c>
      <c r="G601" s="1" t="str">
        <f>"河南省安阳市滑县"</f>
        <v>河南省安阳市滑县</v>
      </c>
      <c r="H601" s="1" t="str">
        <f t="shared" si="298"/>
        <v>无</v>
      </c>
      <c r="I601" s="1" t="str">
        <f>"202309-202506 中原科技学院 就读信息工程学院计算机科学与技术，是全日制学历"</f>
        <v>202309-202506 中原科技学院 就读信息工程学院计算机科学与技术，是全日制学历</v>
      </c>
    </row>
    <row r="602" spans="1:9">
      <c r="A602" s="1" t="str">
        <f>"41132719900505007X"</f>
        <v>41132719900505007X</v>
      </c>
      <c r="B602" s="1" t="str">
        <f t="shared" si="297"/>
        <v>群众</v>
      </c>
      <c r="C602" s="1" t="str">
        <f t="shared" si="299"/>
        <v>专科</v>
      </c>
      <c r="D602" s="1" t="str">
        <f>"20240612"</f>
        <v>20240612</v>
      </c>
      <c r="E602" s="1" t="str">
        <f>"周口职业技术学院"</f>
        <v>周口职业技术学院</v>
      </c>
      <c r="F602" s="1" t="str">
        <f>"计算机应用技术"</f>
        <v>计算机应用技术</v>
      </c>
      <c r="G602" s="1" t="str">
        <f>"河南省南阳市内乡县县委"</f>
        <v>河南省南阳市内乡县县委</v>
      </c>
      <c r="H602" s="1" t="str">
        <f t="shared" si="298"/>
        <v>无</v>
      </c>
      <c r="I602" s="1" t="str">
        <f>"202112-202406 周口职业技术学院计算机应用技术就读，全日制学历。
"</f>
        <v>202112-202406 周口职业技术学院计算机应用技术就读，全日制学历。
</v>
      </c>
    </row>
    <row r="603" spans="1:9">
      <c r="A603" s="1" t="str">
        <f>"411322199003204934"</f>
        <v>411322199003204934</v>
      </c>
      <c r="B603" s="1" t="str">
        <f t="shared" si="297"/>
        <v>群众</v>
      </c>
      <c r="C603" s="1" t="str">
        <f t="shared" ref="C603:C610" si="301">"本科"</f>
        <v>本科</v>
      </c>
      <c r="D603" s="1" t="str">
        <f>"20140701"</f>
        <v>20140701</v>
      </c>
      <c r="E603" s="1" t="str">
        <f>"中国地质大学长城学院"</f>
        <v>中国地质大学长城学院</v>
      </c>
      <c r="F603" s="1" t="str">
        <f>"土地资源管理"</f>
        <v>土地资源管理</v>
      </c>
      <c r="G603" s="1" t="str">
        <f>"南阳市宛城区范蠡东路海昌东城一品小区东院"</f>
        <v>南阳市宛城区范蠡东路海昌东城一品小区东院</v>
      </c>
      <c r="H603" s="1" t="str">
        <f>"土地利用规划中级"</f>
        <v>土地利用规划中级</v>
      </c>
      <c r="I603" s="1" t="str">
        <f>"201009-201407 中国地质大学长城学院 土地资源管理专业就读，全日制学历；201408-201603 南阳市鑫特电气有限公司工作；201604-201704 华耀城(南阳)实业有限公司工作；201705-202303 河南八度土地规划设计有限公司工作；202304-202404 河南省空间规划设计有限公司工作；202405-202503 河南斗盾建设工程有限公司工作；202504-至今 肇庆市城市规划设计院工作"</f>
        <v>201009-201407 中国地质大学长城学院 土地资源管理专业就读，全日制学历；201408-201603 南阳市鑫特电气有限公司工作；201604-201704 华耀城(南阳)实业有限公司工作；201705-202303 河南八度土地规划设计有限公司工作；202304-202404 河南省空间规划设计有限公司工作；202405-202503 河南斗盾建设工程有限公司工作；202504-至今 肇庆市城市规划设计院工作</v>
      </c>
    </row>
    <row r="604" spans="1:9">
      <c r="A604" s="1" t="str">
        <f>"411327200201290623"</f>
        <v>411327200201290623</v>
      </c>
      <c r="B604" s="1" t="str">
        <f t="shared" si="297"/>
        <v>群众</v>
      </c>
      <c r="C604" s="1" t="str">
        <f t="shared" si="301"/>
        <v>本科</v>
      </c>
      <c r="D604" s="1" t="str">
        <f>"20250701"</f>
        <v>20250701</v>
      </c>
      <c r="E604" s="1" t="str">
        <f>"郑州商学院"</f>
        <v>郑州商学院</v>
      </c>
      <c r="F604" s="1" t="str">
        <f>"环境设计"</f>
        <v>环境设计</v>
      </c>
      <c r="G604" s="1" t="str">
        <f>"河南省南阳市内乡县城关镇梨苑山庄"</f>
        <v>河南省南阳市内乡县城关镇梨苑山庄</v>
      </c>
      <c r="H604" s="1" t="str">
        <f t="shared" ref="H604:H629" si="302">"无"</f>
        <v>无</v>
      </c>
      <c r="I604" s="1" t="str">
        <f>"202009-202307河南工学院艺术学院环境艺术设计专业就读，是全日制学历；
202309-202507郑州商学院艺术学院环境设计专业就读，是全日制学历。"</f>
        <v>202009-202307河南工学院艺术学院环境艺术设计专业就读，是全日制学历；
202309-202507郑州商学院艺术学院环境设计专业就读，是全日制学历。</v>
      </c>
    </row>
    <row r="605" spans="1:9">
      <c r="A605" s="1" t="str">
        <f>"411327199303110042"</f>
        <v>411327199303110042</v>
      </c>
      <c r="B605" s="1" t="str">
        <f t="shared" si="297"/>
        <v>群众</v>
      </c>
      <c r="C605" s="1" t="str">
        <f t="shared" si="301"/>
        <v>本科</v>
      </c>
      <c r="D605" s="1" t="str">
        <f>"20180701"</f>
        <v>20180701</v>
      </c>
      <c r="E605" s="1" t="str">
        <f>"河南科技大学"</f>
        <v>河南科技大学</v>
      </c>
      <c r="F605" s="1" t="str">
        <f>"食品科学与工程"</f>
        <v>食品科学与工程</v>
      </c>
      <c r="G605" s="1" t="str">
        <f>"河南省南阳市内乡县"</f>
        <v>河南省南阳市内乡县</v>
      </c>
      <c r="H605" s="1" t="str">
        <f>"检验证，内审员证"</f>
        <v>检验证，内审员证</v>
      </c>
      <c r="I605" s="1" t="str">
        <f>"201309-201607  漯河食品职业学院  食品营养与检测专业 全日制
201609-201807  河南科技大学    食品科学与工程专业     全日制"</f>
        <v>201309-201607  漯河食品职业学院  食品营养与检测专业 全日制
201609-201807  河南科技大学    食品科学与工程专业     全日制</v>
      </c>
    </row>
    <row r="606" spans="1:9">
      <c r="A606" s="1" t="str">
        <f>"411327200501224257"</f>
        <v>411327200501224257</v>
      </c>
      <c r="B606" s="1" t="str">
        <f t="shared" si="297"/>
        <v>群众</v>
      </c>
      <c r="C606" s="1" t="str">
        <f t="shared" si="301"/>
        <v>本科</v>
      </c>
      <c r="D606" s="1" t="str">
        <f>"20250612"</f>
        <v>20250612</v>
      </c>
      <c r="E606" s="1" t="str">
        <f>"河南理工大学"</f>
        <v>河南理工大学</v>
      </c>
      <c r="F606" s="1" t="str">
        <f>"工程力学"</f>
        <v>工程力学</v>
      </c>
      <c r="G606" s="1" t="str">
        <f>"河南省南阳市内乡县余关乡"</f>
        <v>河南省南阳市内乡县余关乡</v>
      </c>
      <c r="H606" s="1" t="str">
        <f t="shared" si="302"/>
        <v>无</v>
      </c>
      <c r="I606" s="1" t="str">
        <f>"202109-202506 河南理工大学工程力学就读，全日制学历。"</f>
        <v>202109-202506 河南理工大学工程力学就读，全日制学历。</v>
      </c>
    </row>
    <row r="607" spans="1:9">
      <c r="A607" s="1" t="str">
        <f>"411323200104013020"</f>
        <v>411323200104013020</v>
      </c>
      <c r="B607" s="1" t="str">
        <f t="shared" si="297"/>
        <v>群众</v>
      </c>
      <c r="C607" s="1" t="str">
        <f t="shared" si="301"/>
        <v>本科</v>
      </c>
      <c r="D607" s="1" t="str">
        <f>"20250601"</f>
        <v>20250601</v>
      </c>
      <c r="E607" s="1" t="str">
        <f>"河南工程学院"</f>
        <v>河南工程学院</v>
      </c>
      <c r="F607" s="1" t="str">
        <f>"电子商务"</f>
        <v>电子商务</v>
      </c>
      <c r="G607" s="1" t="str">
        <f>"河南省南阳市内乡县邮政广场"</f>
        <v>河南省南阳市内乡县邮政广场</v>
      </c>
      <c r="H607" s="1" t="str">
        <f>"电子商务高级技工"</f>
        <v>电子商务高级技工</v>
      </c>
      <c r="I607" s="1" t="str">
        <f>"202309-202506河南工程学院，管理工程学院电子商务专业就读。
202010-202306河南职业技术学院，商学院市场营销就读。
201709-202006内乡县实验高级中学就读。
201409-201706内乡县实验初中就读。
201009-201406内乡县茶庵小学。
200809-201006淅川县七里小学。"</f>
        <v>202309-202506河南工程学院，管理工程学院电子商务专业就读。
202010-202306河南职业技术学院，商学院市场营销就读。
201709-202006内乡县实验高级中学就读。
201409-201706内乡县实验初中就读。
201009-201406内乡县茶庵小学。
200809-201006淅川县七里小学。</v>
      </c>
    </row>
    <row r="608" spans="1:9">
      <c r="A608" s="1" t="str">
        <f>"411327200210084557"</f>
        <v>411327200210084557</v>
      </c>
      <c r="B608" s="1" t="str">
        <f t="shared" si="297"/>
        <v>群众</v>
      </c>
      <c r="C608" s="1" t="str">
        <f t="shared" si="301"/>
        <v>本科</v>
      </c>
      <c r="D608" s="1" t="str">
        <f>"20250630"</f>
        <v>20250630</v>
      </c>
      <c r="E608" s="1" t="str">
        <f>"玉林师范学院"</f>
        <v>玉林师范学院</v>
      </c>
      <c r="F608" s="1" t="str">
        <f>"新闻学"</f>
        <v>新闻学</v>
      </c>
      <c r="G608" s="1" t="str">
        <f>"河南省内乡县赵店乡花洼村67号"</f>
        <v>河南省内乡县赵店乡花洼村67号</v>
      </c>
      <c r="H608" s="1" t="str">
        <f t="shared" si="302"/>
        <v>无</v>
      </c>
      <c r="I608" s="1" t="str">
        <f>"202109-202506 玉林师范学院文学与传媒学院新闻学全日制本科就读"</f>
        <v>202109-202506 玉林师范学院文学与传媒学院新闻学全日制本科就读</v>
      </c>
    </row>
    <row r="609" spans="1:9">
      <c r="A609" s="1" t="str">
        <f>"422823199904244454"</f>
        <v>422823199904244454</v>
      </c>
      <c r="B609" s="1" t="str">
        <f t="shared" ref="B609:B614" si="303">"共青团员"</f>
        <v>共青团员</v>
      </c>
      <c r="C609" s="1" t="str">
        <f t="shared" si="301"/>
        <v>本科</v>
      </c>
      <c r="D609" s="1" t="str">
        <f>"2021-07-15"</f>
        <v>2021-07-15</v>
      </c>
      <c r="E609" s="1" t="str">
        <f>"湖北民族大学"</f>
        <v>湖北民族大学</v>
      </c>
      <c r="F609" s="1" t="str">
        <f>"国际经济与贸易"</f>
        <v>国际经济与贸易</v>
      </c>
      <c r="G609" s="1" t="str">
        <f>"湖北省恩施州巴东县北京大道235号"</f>
        <v>湖北省恩施州巴东县北京大道235号</v>
      </c>
      <c r="H609" s="1" t="str">
        <f t="shared" si="302"/>
        <v>无</v>
      </c>
      <c r="I609" s="1" t="str">
        <f>"201709-202107湖北民族大学 经济与管理学院国际经济与贸易专业就读
202107-202308平安银行武汉分中心 综合管理岗就业
202309-202507湖北省恩施州巴东县待业"</f>
        <v>201709-202107湖北民族大学 经济与管理学院国际经济与贸易专业就读
202107-202308平安银行武汉分中心 综合管理岗就业
202309-202507湖北省恩施州巴东县待业</v>
      </c>
    </row>
    <row r="610" spans="1:9">
      <c r="A610" s="1" t="str">
        <f>"411502199801232038"</f>
        <v>411502199801232038</v>
      </c>
      <c r="B610" s="1" t="str">
        <f t="shared" ref="B610:B612" si="304">"群众"</f>
        <v>群众</v>
      </c>
      <c r="C610" s="1" t="str">
        <f t="shared" si="301"/>
        <v>本科</v>
      </c>
      <c r="D610" s="1" t="str">
        <f>"20220701"</f>
        <v>20220701</v>
      </c>
      <c r="E610" s="1" t="str">
        <f>"郑州财经学院"</f>
        <v>郑州财经学院</v>
      </c>
      <c r="F610" s="1" t="str">
        <f>"软件工程"</f>
        <v>软件工程</v>
      </c>
      <c r="G610" s="1" t="str">
        <f>"信阳市浉河区·浉河住宅小区"</f>
        <v>信阳市浉河区·浉河住宅小区</v>
      </c>
      <c r="H610" s="1" t="str">
        <f t="shared" si="302"/>
        <v>无</v>
      </c>
      <c r="I610" s="1" t="str">
        <f>"201809-202207郑州财经学院就读 全日制学历
202207-20250607待业
202507至今就业于信阳市中心血站"</f>
        <v>201809-202207郑州财经学院就读 全日制学历
202207-20250607待业
202507至今就业于信阳市中心血站</v>
      </c>
    </row>
    <row r="611" ht="162" spans="1:9">
      <c r="A611" s="1" t="str">
        <f>"411202199003215018"</f>
        <v>411202199003215018</v>
      </c>
      <c r="B611" s="1" t="str">
        <f t="shared" si="304"/>
        <v>群众</v>
      </c>
      <c r="C611" s="1" t="str">
        <f t="shared" ref="C611:C613" si="305">"专科"</f>
        <v>专科</v>
      </c>
      <c r="D611" s="1" t="str">
        <f>"20130701"</f>
        <v>20130701</v>
      </c>
      <c r="E611" s="1" t="str">
        <f>"三门峡职业技术学院"</f>
        <v>三门峡职业技术学院</v>
      </c>
      <c r="F611" s="1" t="str">
        <f>"供用电技术"</f>
        <v>供用电技术</v>
      </c>
      <c r="G611" s="1" t="str">
        <f>"三门峡市复兴社区7号楼1804"</f>
        <v>三门峡市复兴社区7号楼1804</v>
      </c>
      <c r="H611" s="1" t="str">
        <f t="shared" si="302"/>
        <v>无</v>
      </c>
      <c r="I611" s="3" t="s">
        <v>212</v>
      </c>
    </row>
    <row r="612" spans="1:9">
      <c r="A612" s="1" t="str">
        <f>"371327199008204641"</f>
        <v>371327199008204641</v>
      </c>
      <c r="B612" s="1" t="str">
        <f t="shared" si="304"/>
        <v>群众</v>
      </c>
      <c r="C612" s="1" t="str">
        <f t="shared" si="305"/>
        <v>专科</v>
      </c>
      <c r="D612" s="1" t="str">
        <f>"20130701"</f>
        <v>20130701</v>
      </c>
      <c r="E612" s="1" t="str">
        <f>"淄博职业学院"</f>
        <v>淄博职业学院</v>
      </c>
      <c r="F612" s="1" t="str">
        <f>"会计"</f>
        <v>会计</v>
      </c>
      <c r="G612" s="1" t="str">
        <f>"山东省临沂市莒南县团林镇北泉子二村"</f>
        <v>山东省临沂市莒南县团林镇北泉子二村</v>
      </c>
      <c r="H612" s="1" t="str">
        <f t="shared" si="302"/>
        <v>无</v>
      </c>
      <c r="I612" s="1" t="str">
        <f>"201009-201307淄博职业学院会计系会计专业就读，全日制学历，201207-201403太平洋在线服务科技有限公司山东分公司，201403-201412山东省临沂市莒南县待业，201412-202004建信人寿保险股份有限公司临沂中心支公司，202004-202012山东金海保安服务有限公司，202012-202201建信金融信息服务有限公司山东分公司，202201-202507山东省临沂市莒南县自由职业"</f>
        <v>201009-201307淄博职业学院会计系会计专业就读，全日制学历，201207-201403太平洋在线服务科技有限公司山东分公司，201403-201412山东省临沂市莒南县待业，201412-202004建信人寿保险股份有限公司临沂中心支公司，202004-202012山东金海保安服务有限公司，202012-202201建信金融信息服务有限公司山东分公司，202201-202507山东省临沂市莒南县自由职业</v>
      </c>
    </row>
    <row r="613" spans="1:9">
      <c r="A613" s="1" t="str">
        <f>"411327200301210010"</f>
        <v>411327200301210010</v>
      </c>
      <c r="B613" s="1" t="str">
        <f t="shared" si="303"/>
        <v>共青团员</v>
      </c>
      <c r="C613" s="1" t="str">
        <f t="shared" si="305"/>
        <v>专科</v>
      </c>
      <c r="D613" s="1" t="str">
        <f>"20240601"</f>
        <v>20240601</v>
      </c>
      <c r="E613" s="1" t="str">
        <f>"郑州升达经贸管理学院"</f>
        <v>郑州升达经贸管理学院</v>
      </c>
      <c r="F613" s="1" t="str">
        <f>"空中乘务"</f>
        <v>空中乘务</v>
      </c>
      <c r="G613" s="1" t="str">
        <f>"河南省南阳市内乡县新都花苑"</f>
        <v>河南省南阳市内乡县新都花苑</v>
      </c>
      <c r="H613" s="1" t="str">
        <f t="shared" si="302"/>
        <v>无</v>
      </c>
      <c r="I613" s="1" t="str">
        <f>"202109-202406 郑州升达经贸管理学院 艺术学院 空中乘务专业就读 是全日制学历"</f>
        <v>202109-202406 郑州升达经贸管理学院 艺术学院 空中乘务专业就读 是全日制学历</v>
      </c>
    </row>
    <row r="614" spans="1:9">
      <c r="A614" s="1" t="str">
        <f>"411303200106206904"</f>
        <v>411303200106206904</v>
      </c>
      <c r="B614" s="1" t="str">
        <f t="shared" si="303"/>
        <v>共青团员</v>
      </c>
      <c r="C614" s="1" t="str">
        <f t="shared" ref="C614:C618" si="306">"本科"</f>
        <v>本科</v>
      </c>
      <c r="D614" s="1" t="str">
        <f>"20240607"</f>
        <v>20240607</v>
      </c>
      <c r="E614" s="1" t="str">
        <f>"华北水利水电大学"</f>
        <v>华北水利水电大学</v>
      </c>
      <c r="F614" s="1" t="str">
        <f>"环境设计"</f>
        <v>环境设计</v>
      </c>
      <c r="G614" s="1" t="str">
        <f>"卧龙区百里奚路277号峰基伟业御苑4号楼1单元2204"</f>
        <v>卧龙区百里奚路277号峰基伟业御苑4号楼1单元2204</v>
      </c>
      <c r="H614" s="1" t="str">
        <f t="shared" si="302"/>
        <v>无</v>
      </c>
      <c r="I614" s="1" t="str">
        <f>"201909-202206河南水利与环境职业学校 就读 土木工程系 室内设计 全日制
202209-202406华北水利水电大学 就读 环境设计  全日制"</f>
        <v>201909-202206河南水利与环境职业学校 就读 土木工程系 室内设计 全日制
202209-202406华北水利水电大学 就读 环境设计  全日制</v>
      </c>
    </row>
    <row r="615" spans="1:9">
      <c r="A615" s="1" t="str">
        <f>"411327199612220325"</f>
        <v>411327199612220325</v>
      </c>
      <c r="B615" s="1" t="str">
        <f t="shared" ref="B615:B617" si="307">"群众"</f>
        <v>群众</v>
      </c>
      <c r="C615" s="1" t="str">
        <f t="shared" ref="C615:C619" si="308">"专科"</f>
        <v>专科</v>
      </c>
      <c r="D615" s="1" t="str">
        <f>"20180701"</f>
        <v>20180701</v>
      </c>
      <c r="E615" s="1" t="str">
        <f>"信阳职业技术学院"</f>
        <v>信阳职业技术学院</v>
      </c>
      <c r="F615" s="1" t="str">
        <f>"护理"</f>
        <v>护理</v>
      </c>
      <c r="G615" s="1" t="str">
        <f>"河南省南阳市内乡县城关镇"</f>
        <v>河南省南阳市内乡县城关镇</v>
      </c>
      <c r="H615" s="1" t="str">
        <f t="shared" si="302"/>
        <v>无</v>
      </c>
      <c r="I615" s="1" t="str">
        <f>"201509-201807于信阳职业技术学院 护理专业就读，2019年-至今于内乡县第二人民医院工作"</f>
        <v>201509-201807于信阳职业技术学院 护理专业就读，2019年-至今于内乡县第二人民医院工作</v>
      </c>
    </row>
    <row r="616" spans="1:9">
      <c r="A616" s="1" t="str">
        <f>"411327200107310018"</f>
        <v>411327200107310018</v>
      </c>
      <c r="B616" s="1" t="str">
        <f t="shared" si="307"/>
        <v>群众</v>
      </c>
      <c r="C616" s="1" t="str">
        <f t="shared" si="308"/>
        <v>专科</v>
      </c>
      <c r="D616" s="1" t="str">
        <f>"20220731"</f>
        <v>20220731</v>
      </c>
      <c r="E616" s="1" t="str">
        <f>"三门峡职业技术学院"</f>
        <v>三门峡职业技术学院</v>
      </c>
      <c r="F616" s="1" t="str">
        <f>"建筑工程技术"</f>
        <v>建筑工程技术</v>
      </c>
      <c r="G616" s="1" t="str">
        <f>"海天楼新华书店西50米丰安货运"</f>
        <v>海天楼新华书店西50米丰安货运</v>
      </c>
      <c r="H616" s="1" t="str">
        <f t="shared" si="302"/>
        <v>无</v>
      </c>
      <c r="I616" s="1" t="str">
        <f>"201909-202207 三门峡职业技术学院建筑工程学院建筑工程技术专业 是全日制  其中202109-202309在中国人民解放军95246部队服役"</f>
        <v>201909-202207 三门峡职业技术学院建筑工程学院建筑工程技术专业 是全日制  其中202109-202309在中国人民解放军95246部队服役</v>
      </c>
    </row>
    <row r="617" spans="1:9">
      <c r="A617" s="1" t="str">
        <f>"411303200104200023"</f>
        <v>411303200104200023</v>
      </c>
      <c r="B617" s="1" t="str">
        <f t="shared" si="307"/>
        <v>群众</v>
      </c>
      <c r="C617" s="1" t="str">
        <f t="shared" si="306"/>
        <v>本科</v>
      </c>
      <c r="D617" s="1" t="str">
        <f>"2024年6月10日"</f>
        <v>2024年6月10日</v>
      </c>
      <c r="E617" s="1" t="str">
        <f>"中原科技学院"</f>
        <v>中原科技学院</v>
      </c>
      <c r="F617" s="1" t="str">
        <f>"视觉传达设计"</f>
        <v>视觉传达设计</v>
      </c>
      <c r="G617" s="1" t="str">
        <f>"河南省南阳市宛城区小陈庄"</f>
        <v>河南省南阳市宛城区小陈庄</v>
      </c>
      <c r="H617" s="1" t="str">
        <f t="shared" si="302"/>
        <v>无</v>
      </c>
      <c r="I617" s="1" t="str">
        <f>"安阳职业技术学院2019年9月-2022年6月
中原科技学院2022年9月-2024年6月"</f>
        <v>安阳职业技术学院2019年9月-2022年6月
中原科技学院2022年9月-2024年6月</v>
      </c>
    </row>
    <row r="618" spans="1:9">
      <c r="A618" s="1" t="str">
        <f>"411327200008283317"</f>
        <v>411327200008283317</v>
      </c>
      <c r="B618" s="1" t="str">
        <f t="shared" ref="B618:B622" si="309">"共青团员"</f>
        <v>共青团员</v>
      </c>
      <c r="C618" s="1" t="str">
        <f t="shared" si="306"/>
        <v>本科</v>
      </c>
      <c r="D618" s="1" t="str">
        <f>"20220615"</f>
        <v>20220615</v>
      </c>
      <c r="E618" s="1" t="str">
        <f>"四川大学"</f>
        <v>四川大学</v>
      </c>
      <c r="F618" s="1" t="str">
        <f>"计算机科学与技术"</f>
        <v>计算机科学与技术</v>
      </c>
      <c r="G618" s="1" t="str">
        <f>"南阳市内乡县中央御景小区"</f>
        <v>南阳市内乡县中央御景小区</v>
      </c>
      <c r="H618" s="1" t="str">
        <f t="shared" si="302"/>
        <v>无</v>
      </c>
      <c r="I618" s="1" t="str">
        <f>"2023年10月-至今 南阳羽果农业有限公司 工作
2023年8月-2023年10月 待业
2022年7月-2023年8月 四川大学信息化办 工作
2018年8月-2022年7月 四川大学计算机学院 学习
2015年8月-2018年6月 内乡县第一高级中学 学习"</f>
        <v>2023年10月-至今 南阳羽果农业有限公司 工作
2023年8月-2023年10月 待业
2022年7月-2023年8月 四川大学信息化办 工作
2018年8月-2022年7月 四川大学计算机学院 学习
2015年8月-2018年6月 内乡县第一高级中学 学习</v>
      </c>
    </row>
    <row r="619" spans="1:9">
      <c r="A619" s="1" t="str">
        <f>"411324200302060529"</f>
        <v>411324200302060529</v>
      </c>
      <c r="B619" s="1" t="str">
        <f t="shared" ref="B619:B625" si="310">"群众"</f>
        <v>群众</v>
      </c>
      <c r="C619" s="1" t="str">
        <f t="shared" si="308"/>
        <v>专科</v>
      </c>
      <c r="D619" s="1" t="str">
        <f>"2023-07-01"</f>
        <v>2023-07-01</v>
      </c>
      <c r="E619" s="1" t="str">
        <f>"驻马店幼儿师范高等专科学校"</f>
        <v>驻马店幼儿师范高等专科学校</v>
      </c>
      <c r="F619" s="1" t="str">
        <f>"学前教育"</f>
        <v>学前教育</v>
      </c>
      <c r="G619" s="1" t="str">
        <f>"南阳市镇平县第九小学家属院"</f>
        <v>南阳市镇平县第九小学家属院</v>
      </c>
      <c r="H619" s="1" t="str">
        <f t="shared" si="302"/>
        <v>无</v>
      </c>
      <c r="I619" s="1" t="str">
        <f>"202009——202307 驻马店幼儿师范高等专科学校学前教育专业就读，是全日制学历
202309至今 镇平县玉都中心幼儿园实习上班"</f>
        <v>202009——202307 驻马店幼儿师范高等专科学校学前教育专业就读，是全日制学历
202309至今 镇平县玉都中心幼儿园实习上班</v>
      </c>
    </row>
    <row r="620" spans="1:9">
      <c r="A620" s="1" t="str">
        <f>"411330200110161189"</f>
        <v>411330200110161189</v>
      </c>
      <c r="B620" s="1" t="str">
        <f>"中共党员"</f>
        <v>中共党员</v>
      </c>
      <c r="C620" s="1" t="str">
        <f t="shared" ref="C620:C630" si="311">"本科"</f>
        <v>本科</v>
      </c>
      <c r="D620" s="1" t="str">
        <f>"20240620"</f>
        <v>20240620</v>
      </c>
      <c r="E620" s="1" t="str">
        <f>"西安外国语大学"</f>
        <v>西安外国语大学</v>
      </c>
      <c r="F620" s="1" t="str">
        <f>"英语"</f>
        <v>英语</v>
      </c>
      <c r="G620" s="1" t="str">
        <f>"河南省南阳市西峡县建设西路与二道河交叉口"</f>
        <v>河南省南阳市西峡县建设西路与二道河交叉口</v>
      </c>
      <c r="H620" s="1" t="str">
        <f t="shared" si="302"/>
        <v>无</v>
      </c>
      <c r="I620" s="1" t="str">
        <f>"202009-202406 西安外国语大学 就读 英文学院英语专业 全日制学历
202406-202412  西安市碑林区新东方培训中心  工作
202501-至今  待业"</f>
        <v>202009-202406 西安外国语大学 就读 英文学院英语专业 全日制学历
202406-202412  西安市碑林区新东方培训中心  工作
202501-至今  待业</v>
      </c>
    </row>
    <row r="621" spans="1:9">
      <c r="A621" s="1" t="str">
        <f>"411503199809170050"</f>
        <v>411503199809170050</v>
      </c>
      <c r="B621" s="1" t="str">
        <f t="shared" si="309"/>
        <v>共青团员</v>
      </c>
      <c r="C621" s="1" t="str">
        <f t="shared" si="311"/>
        <v>本科</v>
      </c>
      <c r="D621" s="1" t="str">
        <f>"20210701"</f>
        <v>20210701</v>
      </c>
      <c r="E621" s="1" t="str">
        <f>"南阳师范学院"</f>
        <v>南阳师范学院</v>
      </c>
      <c r="F621" s="1" t="str">
        <f>"网络工程"</f>
        <v>网络工程</v>
      </c>
      <c r="G621" s="1" t="str">
        <f>"河南省信阳市平桥区华豫路居委会大唐胡同12号"</f>
        <v>河南省信阳市平桥区华豫路居委会大唐胡同12号</v>
      </c>
      <c r="H621" s="1" t="str">
        <f t="shared" si="302"/>
        <v>无</v>
      </c>
      <c r="I621" s="1" t="str">
        <f>"201409-201706  信阳市第二高级中学 就读。
201709-202107  南阳师范学院  计算机信息与技术系网络工程专业（全日制）就读。
202107-202108  待业
202109-202411  在上海打零工
202412-至今  在信阳市公安局平桥分局任职辅警"</f>
        <v>201409-201706  信阳市第二高级中学 就读。
201709-202107  南阳师范学院  计算机信息与技术系网络工程专业（全日制）就读。
202107-202108  待业
202109-202411  在上海打零工
202412-至今  在信阳市公安局平桥分局任职辅警</v>
      </c>
    </row>
    <row r="622" spans="1:9">
      <c r="A622" s="1" t="str">
        <f>"411121200310227122"</f>
        <v>411121200310227122</v>
      </c>
      <c r="B622" s="1" t="str">
        <f t="shared" si="309"/>
        <v>共青团员</v>
      </c>
      <c r="C622" s="1" t="str">
        <f t="shared" si="311"/>
        <v>本科</v>
      </c>
      <c r="D622" s="1" t="str">
        <f>"20250701"</f>
        <v>20250701</v>
      </c>
      <c r="E622" s="1" t="str">
        <f>"河南科技大学"</f>
        <v>河南科技大学</v>
      </c>
      <c r="F622" s="1" t="str">
        <f>"工业工程"</f>
        <v>工业工程</v>
      </c>
      <c r="G622" s="1" t="str">
        <f>"河南省漯河市舞阳县章化乡"</f>
        <v>河南省漯河市舞阳县章化乡</v>
      </c>
      <c r="H622" s="1" t="str">
        <f t="shared" si="302"/>
        <v>无</v>
      </c>
      <c r="I622" s="1" t="str">
        <f>"202109-202507河南科技大学国际教育学院工业工程专业就读，为全日制学历。"</f>
        <v>202109-202507河南科技大学国际教育学院工业工程专业就读，为全日制学历。</v>
      </c>
    </row>
    <row r="623" spans="1:9">
      <c r="A623" s="1" t="str">
        <f>"410881199404066014"</f>
        <v>410881199404066014</v>
      </c>
      <c r="B623" s="1" t="str">
        <f t="shared" si="310"/>
        <v>群众</v>
      </c>
      <c r="C623" s="1" t="str">
        <f t="shared" si="311"/>
        <v>本科</v>
      </c>
      <c r="D623" s="1" t="str">
        <f>"2018-06-28"</f>
        <v>2018-06-28</v>
      </c>
      <c r="E623" s="1" t="str">
        <f>"东北大学"</f>
        <v>东北大学</v>
      </c>
      <c r="F623" s="1" t="str">
        <f>"社会体育指导与管理"</f>
        <v>社会体育指导与管理</v>
      </c>
      <c r="G623" s="1" t="str">
        <f>"河南省济源市"</f>
        <v>河南省济源市</v>
      </c>
      <c r="H623" s="1" t="str">
        <f t="shared" si="302"/>
        <v>无</v>
      </c>
      <c r="I623" s="1" t="str">
        <f>"2014.10——2018.06就读于东北大学社会体育指导与管理专业，全日制；
2018.07——2018.09在郑州山香教育担任讲师；
2018.10——2019.05在济源国奥篮球俱乐部担任篮球教练；
2019.08——2022.06洛阳东方外国语学校体育教师；
2022.08——2024.01洛阳市双语实验学校体育教师；
2024.02——2024.07在济源市待业；
2024.08至今洛阳市大谷关初级中学体育教师。"</f>
        <v>2014.10——2018.06就读于东北大学社会体育指导与管理专业，全日制；
2018.07——2018.09在郑州山香教育担任讲师；
2018.10——2019.05在济源国奥篮球俱乐部担任篮球教练；
2019.08——2022.06洛阳东方外国语学校体育教师；
2022.08——2024.01洛阳市双语实验学校体育教师；
2024.02——2024.07在济源市待业；
2024.08至今洛阳市大谷关初级中学体育教师。</v>
      </c>
    </row>
    <row r="624" spans="1:9">
      <c r="A624" s="1" t="str">
        <f>"411326200205014865"</f>
        <v>411326200205014865</v>
      </c>
      <c r="B624" s="1" t="str">
        <f t="shared" si="310"/>
        <v>群众</v>
      </c>
      <c r="C624" s="1" t="str">
        <f t="shared" si="311"/>
        <v>本科</v>
      </c>
      <c r="D624" s="1" t="str">
        <f>"2024-06-30"</f>
        <v>2024-06-30</v>
      </c>
      <c r="E624" s="1" t="str">
        <f>"商丘师范学院"</f>
        <v>商丘师范学院</v>
      </c>
      <c r="F624" s="1" t="str">
        <f>"电子信息工程"</f>
        <v>电子信息工程</v>
      </c>
      <c r="G624" s="1" t="str">
        <f>"河南省南阳市南召县城关镇"</f>
        <v>河南省南阳市南召县城关镇</v>
      </c>
      <c r="H624" s="1" t="str">
        <f t="shared" si="302"/>
        <v>无</v>
      </c>
      <c r="I624" s="1" t="str">
        <f>"202009-202406  商丘师范学院 电子电气工程学院  电子信息工程专业
202407-至今  待业"</f>
        <v>202009-202406  商丘师范学院 电子电气工程学院  电子信息工程专业
202407-至今  待业</v>
      </c>
    </row>
    <row r="625" spans="1:9">
      <c r="A625" s="1" t="str">
        <f>"411323199003056325"</f>
        <v>411323199003056325</v>
      </c>
      <c r="B625" s="1" t="str">
        <f t="shared" si="310"/>
        <v>群众</v>
      </c>
      <c r="C625" s="1" t="str">
        <f t="shared" si="311"/>
        <v>本科</v>
      </c>
      <c r="D625" s="1" t="str">
        <f>"20110701"</f>
        <v>20110701</v>
      </c>
      <c r="E625" s="1" t="str">
        <f>"信阳师范大学"</f>
        <v>信阳师范大学</v>
      </c>
      <c r="F625" s="1" t="str">
        <f>"学前教育"</f>
        <v>学前教育</v>
      </c>
      <c r="G625" s="1" t="str">
        <f>"河南省邓州市湍河街道办事处十里铺村"</f>
        <v>河南省邓州市湍河街道办事处十里铺村</v>
      </c>
      <c r="H625" s="1" t="str">
        <f t="shared" si="302"/>
        <v>无</v>
      </c>
      <c r="I625" s="1" t="str">
        <f>"199709-200307  厚坡镇中心小学
200309-200607  厚坡镇第一初中
200609-200903 南阳师范学校
200903-201107  河南师范大学函数专科
201109-201807  邓州育才幼儿园
202209-202501  信阳师范大学"</f>
        <v>199709-200307  厚坡镇中心小学
200309-200607  厚坡镇第一初中
200609-200903 南阳师范学校
200903-201107  河南师范大学函数专科
201109-201807  邓州育才幼儿园
202209-202501  信阳师范大学</v>
      </c>
    </row>
    <row r="626" spans="1:9">
      <c r="A626" s="1" t="str">
        <f>"411327199401022548"</f>
        <v>411327199401022548</v>
      </c>
      <c r="B626" s="1" t="str">
        <f>"中共党员"</f>
        <v>中共党员</v>
      </c>
      <c r="C626" s="1" t="str">
        <f t="shared" si="311"/>
        <v>本科</v>
      </c>
      <c r="D626" s="1" t="str">
        <f>"20180120"</f>
        <v>20180120</v>
      </c>
      <c r="E626" s="1" t="str">
        <f>"河南大学"</f>
        <v>河南大学</v>
      </c>
      <c r="F626" s="1" t="str">
        <f>"会计学"</f>
        <v>会计学</v>
      </c>
      <c r="G626" s="1" t="str">
        <f>"河南省西峡县城关镇莲花路软木厂家属楼"</f>
        <v>河南省西峡县城关镇莲花路软木厂家属楼</v>
      </c>
      <c r="H626" s="1" t="str">
        <f t="shared" si="302"/>
        <v>无</v>
      </c>
      <c r="I626" s="1" t="str">
        <f>"201309-201801 河南大学商学院会计学，全日制
201802-201807 河南省西峡县城关镇莲花路软木厂家属楼，待业
201807-今，在河南省内乡县赵店乡财政所上班。接触过资金帐，乡政府账务，财政所经费账，15个村村帐以及粮食补贴发放。现主要负责15个村村帐及耕地补贴发放。"</f>
        <v>201309-201801 河南大学商学院会计学，全日制
201802-201807 河南省西峡县城关镇莲花路软木厂家属楼，待业
201807-今，在河南省内乡县赵店乡财政所上班。接触过资金帐，乡政府账务，财政所经费账，15个村村帐以及粮食补贴发放。现主要负责15个村村帐及耕地补贴发放。</v>
      </c>
    </row>
    <row r="627" spans="1:9">
      <c r="A627" s="1" t="str">
        <f>"411327199907100048"</f>
        <v>411327199907100048</v>
      </c>
      <c r="B627" s="1" t="str">
        <f>"中共党员"</f>
        <v>中共党员</v>
      </c>
      <c r="C627" s="1" t="str">
        <f t="shared" si="311"/>
        <v>本科</v>
      </c>
      <c r="D627" s="1" t="str">
        <f>"20220730"</f>
        <v>20220730</v>
      </c>
      <c r="E627" s="1" t="str">
        <f>"南阳师范学院"</f>
        <v>南阳师范学院</v>
      </c>
      <c r="F627" s="1" t="str">
        <f>"汉语国际教育"</f>
        <v>汉语国际教育</v>
      </c>
      <c r="G627" s="1" t="str">
        <f>"河南省南阳市内乡县城关镇清真寺村七组"</f>
        <v>河南省南阳市内乡县城关镇清真寺村七组</v>
      </c>
      <c r="H627" s="1" t="str">
        <f t="shared" si="302"/>
        <v>无</v>
      </c>
      <c r="I627" s="1" t="str">
        <f>"201809-202207 南阳师范学院 就读
202208-202407  新疆维吾尔自治区阿克苏地区库车市乌尊镇政府 西部计划志愿服务
202408-至今 待业"</f>
        <v>201809-202207 南阳师范学院 就读
202208-202407  新疆维吾尔自治区阿克苏地区库车市乌尊镇政府 西部计划志愿服务
202408-至今 待业</v>
      </c>
    </row>
    <row r="628" spans="1:9">
      <c r="A628" s="1" t="str">
        <f>"411327200010051523"</f>
        <v>411327200010051523</v>
      </c>
      <c r="B628" s="1" t="str">
        <f t="shared" ref="B628:B630" si="312">"共青团员"</f>
        <v>共青团员</v>
      </c>
      <c r="C628" s="1" t="str">
        <f t="shared" si="311"/>
        <v>本科</v>
      </c>
      <c r="D628" s="1" t="str">
        <f>"20220607"</f>
        <v>20220607</v>
      </c>
      <c r="E628" s="1" t="str">
        <f>"郑州财经学院"</f>
        <v>郑州财经学院</v>
      </c>
      <c r="F628" s="1" t="str">
        <f>"数据科学与大数据技术"</f>
        <v>数据科学与大数据技术</v>
      </c>
      <c r="G628" s="1" t="str">
        <f>"河南"</f>
        <v>河南</v>
      </c>
      <c r="H628" s="1" t="str">
        <f t="shared" si="302"/>
        <v>无</v>
      </c>
      <c r="I628" s="1" t="str">
        <f>"201809-202206 郑州财经学院就读，数据科学与大数据技术专业，取得学士学位（全日制本科）
202206-202304待业
202304-202405在河南浮源端有限公司工作，任数据分析职位
202405-202507待业"</f>
        <v>201809-202206 郑州财经学院就读，数据科学与大数据技术专业，取得学士学位（全日制本科）
202206-202304待业
202304-202405在河南浮源端有限公司工作，任数据分析职位
202405-202507待业</v>
      </c>
    </row>
    <row r="629" spans="1:9">
      <c r="A629" s="1" t="str">
        <f>"411327200003242524"</f>
        <v>411327200003242524</v>
      </c>
      <c r="B629" s="1" t="str">
        <f t="shared" si="312"/>
        <v>共青团员</v>
      </c>
      <c r="C629" s="1" t="str">
        <f t="shared" si="311"/>
        <v>本科</v>
      </c>
      <c r="D629" s="1" t="str">
        <f>"20230701"</f>
        <v>20230701</v>
      </c>
      <c r="E629" s="1" t="str">
        <f>"商丘学院"</f>
        <v>商丘学院</v>
      </c>
      <c r="F629" s="1" t="str">
        <f>"信息与计算科学"</f>
        <v>信息与计算科学</v>
      </c>
      <c r="G629" s="1" t="str">
        <f>"河南省南阳市内乡县王店镇岗樊村东坡248号"</f>
        <v>河南省南阳市内乡县王店镇岗樊村东坡248号</v>
      </c>
      <c r="H629" s="1" t="str">
        <f t="shared" si="302"/>
        <v>无</v>
      </c>
      <c r="I629" s="1" t="str">
        <f>"201909-202307 商丘学院 在计算机学院 信息与算科学专业就读 是全日制学历"</f>
        <v>201909-202307 商丘学院 在计算机学院 信息与算科学专业就读 是全日制学历</v>
      </c>
    </row>
    <row r="630" spans="1:9">
      <c r="A630" s="1" t="str">
        <f>"411222200301030012"</f>
        <v>411222200301030012</v>
      </c>
      <c r="B630" s="1" t="str">
        <f t="shared" si="312"/>
        <v>共青团员</v>
      </c>
      <c r="C630" s="1" t="str">
        <f t="shared" si="311"/>
        <v>本科</v>
      </c>
      <c r="D630" s="1" t="str">
        <f>"20250620"</f>
        <v>20250620</v>
      </c>
      <c r="E630" s="1" t="str">
        <f>"宁夏师范大学"</f>
        <v>宁夏师范大学</v>
      </c>
      <c r="F630" s="1" t="str">
        <f>"电子信息工程"</f>
        <v>电子信息工程</v>
      </c>
      <c r="G630" s="1" t="str">
        <f>"河南省三门峡市陕州区原店镇原店村"</f>
        <v>河南省三门峡市陕州区原店镇原店村</v>
      </c>
      <c r="H630" s="1" t="str">
        <f>"英语四级，大学生产品信息建模创新大赛省级三等奖"</f>
        <v>英语四级，大学生产品信息建模创新大赛省级三等奖</v>
      </c>
      <c r="I630" s="1" t="str">
        <f>"202109-202506 在宁夏师范大学的物理与电子信息学院的电子信息工程专业就读，全日制本科学历"</f>
        <v>202109-202506 在宁夏师范大学的物理与电子信息学院的电子信息工程专业就读，全日制本科学历</v>
      </c>
    </row>
    <row r="631" spans="1:9">
      <c r="A631" s="1" t="str">
        <f>"411327199511144546"</f>
        <v>411327199511144546</v>
      </c>
      <c r="B631" s="1" t="str">
        <f t="shared" ref="B631:B634" si="313">"群众"</f>
        <v>群众</v>
      </c>
      <c r="C631" s="1" t="str">
        <f>"专科"</f>
        <v>专科</v>
      </c>
      <c r="D631" s="1" t="str">
        <f>"2017年07月1日 "</f>
        <v>2017年07月1日 </v>
      </c>
      <c r="E631" s="1" t="str">
        <f>"新乡医学院"</f>
        <v>新乡医学院</v>
      </c>
      <c r="F631" s="1" t="str">
        <f>"医学生物技术"</f>
        <v>医学生物技术</v>
      </c>
      <c r="G631" s="1" t="str">
        <f>"河南省南阳市内乡县赵店乡红堰村褚营前场"</f>
        <v>河南省南阳市内乡县赵店乡红堰村褚营前场</v>
      </c>
      <c r="H631" s="1" t="str">
        <f t="shared" ref="H631:H634" si="314">"无"</f>
        <v>无</v>
      </c>
      <c r="I631" s="1" t="str">
        <f>"2024年9月至2017年7月在于新乡医学院医学生物技术就读，全日制；
2017年9月至今在内乡县公安局工作；
"</f>
        <v>2024年9月至2017年7月在于新乡医学院医学生物技术就读，全日制；
2017年9月至今在内乡县公安局工作；
</v>
      </c>
    </row>
    <row r="632" spans="1:9">
      <c r="A632" s="1" t="str">
        <f>"411326199703260449"</f>
        <v>411326199703260449</v>
      </c>
      <c r="B632" s="1" t="str">
        <f t="shared" si="313"/>
        <v>群众</v>
      </c>
      <c r="C632" s="1" t="str">
        <f t="shared" ref="C632:C635" si="315">"本科"</f>
        <v>本科</v>
      </c>
      <c r="D632" s="1" t="str">
        <f>"2023年1月30日"</f>
        <v>2023年1月30日</v>
      </c>
      <c r="E632" s="1" t="str">
        <f>"郑州大学"</f>
        <v>郑州大学</v>
      </c>
      <c r="F632" s="1" t="str">
        <f>"教育学"</f>
        <v>教育学</v>
      </c>
      <c r="G632" s="1" t="str">
        <f>"河南省南阳市南召县理想社区"</f>
        <v>河南省南阳市南召县理想社区</v>
      </c>
      <c r="H632" s="1" t="str">
        <f t="shared" si="314"/>
        <v>无</v>
      </c>
      <c r="I632" s="1" t="str">
        <f>"2016.09-2019.07河南经贸职业学院 税务会计专业 全日制
2020.03-2023.01郑州大学 教育专业 学生 非全日制"</f>
        <v>2016.09-2019.07河南经贸职业学院 税务会计专业 全日制
2020.03-2023.01郑州大学 教育专业 学生 非全日制</v>
      </c>
    </row>
    <row r="633" spans="1:9">
      <c r="A633" s="1" t="str">
        <f>"411327199907050319"</f>
        <v>411327199907050319</v>
      </c>
      <c r="B633" s="1" t="str">
        <f t="shared" ref="B633:B636" si="316">"中共党员"</f>
        <v>中共党员</v>
      </c>
      <c r="C633" s="1" t="str">
        <f t="shared" si="315"/>
        <v>本科</v>
      </c>
      <c r="D633" s="1" t="str">
        <f>"20210710"</f>
        <v>20210710</v>
      </c>
      <c r="E633" s="1" t="str">
        <f>"江西科技师范大学"</f>
        <v>江西科技师范大学</v>
      </c>
      <c r="F633" s="1" t="str">
        <f>"体育教育"</f>
        <v>体育教育</v>
      </c>
      <c r="G633" s="1" t="str">
        <f>"河南省南阳市内乡县大桥乡堰庄村张竹园东北251号"</f>
        <v>河南省南阳市内乡县大桥乡堰庄村张竹园东北251号</v>
      </c>
      <c r="H633" s="1" t="str">
        <f>"游泳救生员证、社会体育指导员证"</f>
        <v>游泳救生员证、社会体育指导员证</v>
      </c>
      <c r="I633" s="1" t="str">
        <f>"201709—202107江西科技师范大学就读，全日制学历
202107—至今待业"</f>
        <v>201709—202107江西科技师范大学就读，全日制学历
202107—至今待业</v>
      </c>
    </row>
    <row r="634" spans="1:9">
      <c r="A634" s="1" t="str">
        <f>"411327199708260620"</f>
        <v>411327199708260620</v>
      </c>
      <c r="B634" s="1" t="str">
        <f t="shared" si="313"/>
        <v>群众</v>
      </c>
      <c r="C634" s="1" t="str">
        <f t="shared" si="315"/>
        <v>本科</v>
      </c>
      <c r="D634" s="1" t="str">
        <f>"20200701"</f>
        <v>20200701</v>
      </c>
      <c r="E634" s="1" t="str">
        <f>"河南科技学院"</f>
        <v>河南科技学院</v>
      </c>
      <c r="F634" s="1" t="str">
        <f>"植物保护"</f>
        <v>植物保护</v>
      </c>
      <c r="G634" s="1" t="str">
        <f>"河南省南阳市内乡县湍东镇"</f>
        <v>河南省南阳市内乡县湍东镇</v>
      </c>
      <c r="H634" s="1" t="str">
        <f t="shared" si="314"/>
        <v>无</v>
      </c>
      <c r="I634" s="1" t="str">
        <f>"201609-202007于河南科技学院资源与环境学院植物保护专业就读，全日制学历。202007-202010于河南省郑州市待业。202011-202109于河南省郑州市山香教育工作。202110-202111于河南省郑州市待业。202111-202203于河南省郑州市肯德基（富田太阳城店）工作。202204-202309于河南省南阳市内乡县待业。202310-202501于浙江省温州市瑞安市浙江瑞志机械有限公司工作。202502-至今于河南省南阳市内乡县待业。"</f>
        <v>201609-202007于河南科技学院资源与环境学院植物保护专业就读，全日制学历。202007-202010于河南省郑州市待业。202011-202109于河南省郑州市山香教育工作。202110-202111于河南省郑州市待业。202111-202203于河南省郑州市肯德基（富田太阳城店）工作。202204-202309于河南省南阳市内乡县待业。202310-202501于浙江省温州市瑞安市浙江瑞志机械有限公司工作。202502-至今于河南省南阳市内乡县待业。</v>
      </c>
    </row>
    <row r="635" spans="1:9">
      <c r="A635" s="1" t="str">
        <f>"411082199712198418"</f>
        <v>411082199712198418</v>
      </c>
      <c r="B635" s="1" t="str">
        <f t="shared" si="316"/>
        <v>中共党员</v>
      </c>
      <c r="C635" s="1" t="str">
        <f t="shared" si="315"/>
        <v>本科</v>
      </c>
      <c r="D635" s="1" t="str">
        <f>"20220701"</f>
        <v>20220701</v>
      </c>
      <c r="E635" s="1" t="str">
        <f>"河南牧业经济学院"</f>
        <v>河南牧业经济学院</v>
      </c>
      <c r="F635" s="1" t="str">
        <f>"会计学"</f>
        <v>会计学</v>
      </c>
      <c r="G635" s="1" t="str">
        <f>"河南省许昌长葛市八七路99号"</f>
        <v>河南省许昌长葛市八七路99号</v>
      </c>
      <c r="H635" s="1" t="str">
        <f>"初级会计证书、证券基金从业资格证书"</f>
        <v>初级会计证书、证券基金从业资格证书</v>
      </c>
      <c r="I635" s="1" t="str">
        <f>"201709—202007 黄河科技学院 商学院会计专业就读，全日制；
202009—202207 河南牧业经济学院 金融与会计学院会计学专业就读，全日制；
202208—202407 河南许昌虎翼装备制造有限公司 会计
202409—202707 石河子大学 经济与管理学院会计专硕就读，非全日制；"</f>
        <v>201709—202007 黄河科技学院 商学院会计专业就读，全日制；
202009—202207 河南牧业经济学院 金融与会计学院会计学专业就读，全日制；
202208—202407 河南许昌虎翼装备制造有限公司 会计
202409—202707 石河子大学 经济与管理学院会计专硕就读，非全日制；</v>
      </c>
    </row>
    <row r="636" spans="1:9">
      <c r="A636" s="1" t="str">
        <f>"411426200306036911"</f>
        <v>411426200306036911</v>
      </c>
      <c r="B636" s="1" t="str">
        <f t="shared" si="316"/>
        <v>中共党员</v>
      </c>
      <c r="C636" s="1" t="str">
        <f>"专科"</f>
        <v>专科</v>
      </c>
      <c r="D636" s="1" t="str">
        <f>"20240620"</f>
        <v>20240620</v>
      </c>
      <c r="E636" s="1" t="str">
        <f>"长春金融高等专科学校"</f>
        <v>长春金融高等专科学校</v>
      </c>
      <c r="F636" s="1" t="str">
        <f>"大数据与会计"</f>
        <v>大数据与会计</v>
      </c>
      <c r="G636" s="1" t="str">
        <f>"河南省商丘市梁园区海亚上苑"</f>
        <v>河南省商丘市梁园区海亚上苑</v>
      </c>
      <c r="H636" s="1" t="str">
        <f t="shared" ref="H636:H642" si="317">"无"</f>
        <v>无</v>
      </c>
      <c r="I636" s="1" t="str">
        <f>"202110-202406长春金融高等专科学校会计学院大数据与会计专业就读，全日制学历；202406-至今在河南省商丘市待业"</f>
        <v>202110-202406长春金融高等专科学校会计学院大数据与会计专业就读，全日制学历；202406-至今在河南省商丘市待业</v>
      </c>
    </row>
    <row r="637" spans="1:9">
      <c r="A637" s="1" t="str">
        <f>"412821199804064013"</f>
        <v>412821199804064013</v>
      </c>
      <c r="B637" s="1" t="str">
        <f t="shared" ref="B637:B642" si="318">"群众"</f>
        <v>群众</v>
      </c>
      <c r="C637" s="1" t="str">
        <f t="shared" ref="C637:C645" si="319">"本科"</f>
        <v>本科</v>
      </c>
      <c r="D637" s="1" t="str">
        <f>"20220610"</f>
        <v>20220610</v>
      </c>
      <c r="E637" s="1" t="str">
        <f>"青海民族大学"</f>
        <v>青海民族大学</v>
      </c>
      <c r="F637" s="1" t="str">
        <f>"音乐学"</f>
        <v>音乐学</v>
      </c>
      <c r="G637" s="1" t="str">
        <f>"河南省驻马店市确山县龙山路名门世家"</f>
        <v>河南省驻马店市确山县龙山路名门世家</v>
      </c>
      <c r="H637" s="1" t="str">
        <f t="shared" si="317"/>
        <v>无</v>
      </c>
      <c r="I637" s="1" t="str">
        <f>"201808-202206青海民族大学艺术学院音乐学专业就读，全日制大学
202206-202207河南省驻马店市确山县待业。
202208-202410河南省驻马店市确山县公安局朗陵派出所辅警。
202410-202411河南省驻马店市确山县待业。
202412-至今河南省确山县建筑工程公司职工。"</f>
        <v>201808-202206青海民族大学艺术学院音乐学专业就读，全日制大学
202206-202207河南省驻马店市确山县待业。
202208-202410河南省驻马店市确山县公安局朗陵派出所辅警。
202410-202411河南省驻马店市确山县待业。
202412-至今河南省确山县建筑工程公司职工。</v>
      </c>
    </row>
    <row r="638" spans="1:9">
      <c r="A638" s="1" t="str">
        <f>"41132419980722452X"</f>
        <v>41132419980722452X</v>
      </c>
      <c r="B638" s="1" t="str">
        <f t="shared" si="318"/>
        <v>群众</v>
      </c>
      <c r="C638" s="1" t="str">
        <f>"专科"</f>
        <v>专科</v>
      </c>
      <c r="D638" s="1" t="str">
        <f>"20200607"</f>
        <v>20200607</v>
      </c>
      <c r="E638" s="1" t="str">
        <f>"南阳师范学院"</f>
        <v>南阳师范学院</v>
      </c>
      <c r="F638" s="1" t="str">
        <f>"首饰设计与工艺"</f>
        <v>首饰设计与工艺</v>
      </c>
      <c r="G638" s="1" t="str">
        <f>"河南省南阳市镇平县杨营镇"</f>
        <v>河南省南阳市镇平县杨营镇</v>
      </c>
      <c r="H638" s="1" t="str">
        <f t="shared" si="317"/>
        <v>无</v>
      </c>
      <c r="I638" s="1" t="str">
        <f>"201707-202006南阳师院珠宝玉雕学院首饰设计与工艺专业就读。全日制专科"</f>
        <v>201707-202006南阳师院珠宝玉雕学院首饰设计与工艺专业就读。全日制专科</v>
      </c>
    </row>
    <row r="639" spans="1:9">
      <c r="A639" s="1" t="str">
        <f>"412821200206176416"</f>
        <v>412821200206176416</v>
      </c>
      <c r="B639" s="1" t="str">
        <f t="shared" ref="B639:B643" si="320">"中共党员"</f>
        <v>中共党员</v>
      </c>
      <c r="C639" s="1" t="str">
        <f t="shared" si="319"/>
        <v>本科</v>
      </c>
      <c r="D639" s="1" t="str">
        <f>"20250630"</f>
        <v>20250630</v>
      </c>
      <c r="E639" s="1" t="str">
        <f>"湖北文理学院"</f>
        <v>湖北文理学院</v>
      </c>
      <c r="F639" s="1" t="str">
        <f>"舞蹈表演"</f>
        <v>舞蹈表演</v>
      </c>
      <c r="G639" s="1" t="str">
        <f>"河南省驻马店市确山县竹沟镇四棵树村祠堂"</f>
        <v>河南省驻马店市确山县竹沟镇四棵树村祠堂</v>
      </c>
      <c r="H639" s="1" t="str">
        <f t="shared" si="317"/>
        <v>无</v>
      </c>
      <c r="I639" s="1" t="str">
        <f>"202109-202506 湖北文理学院 音乐与舞蹈学院 舞蹈表演专业 就读，是全日制学历"</f>
        <v>202109-202506 湖北文理学院 音乐与舞蹈学院 舞蹈表演专业 就读，是全日制学历</v>
      </c>
    </row>
    <row r="640" spans="1:9">
      <c r="A640" s="1" t="str">
        <f>"41132720000113006X"</f>
        <v>41132720000113006X</v>
      </c>
      <c r="B640" s="1" t="str">
        <f t="shared" si="320"/>
        <v>中共党员</v>
      </c>
      <c r="C640" s="1" t="str">
        <f t="shared" si="319"/>
        <v>本科</v>
      </c>
      <c r="D640" s="1" t="str">
        <f>"20210701"</f>
        <v>20210701</v>
      </c>
      <c r="E640" s="1" t="str">
        <f>"郑州大学"</f>
        <v>郑州大学</v>
      </c>
      <c r="F640" s="1" t="str">
        <f>"高分子材料与工程"</f>
        <v>高分子材料与工程</v>
      </c>
      <c r="G640" s="1" t="str">
        <f>"河南省内乡县湍东镇油田加油站对面仿古门内龙源路六巷七号"</f>
        <v>河南省内乡县湍东镇油田加油站对面仿古门内龙源路六巷七号</v>
      </c>
      <c r="H640" s="1" t="str">
        <f t="shared" si="317"/>
        <v>无</v>
      </c>
      <c r="I640" s="1" t="str">
        <f>"201709-202107郑州大学材料科学与工程学院高分子材料与工程专业就读
202108于河南省内乡县待业
202109-202212就职于上海睿智化学研究有限公司（上海睿智医药研究集团有限公司）
202212-202506就职于上海睿智医药技术有限公司
"</f>
        <v>201709-202107郑州大学材料科学与工程学院高分子材料与工程专业就读
202108于河南省内乡县待业
202109-202212就职于上海睿智化学研究有限公司（上海睿智医药研究集团有限公司）
202212-202506就职于上海睿智医药技术有限公司
</v>
      </c>
    </row>
    <row r="641" spans="1:9">
      <c r="A641" s="1" t="str">
        <f>"411323199612210017"</f>
        <v>411323199612210017</v>
      </c>
      <c r="B641" s="1" t="str">
        <f t="shared" si="318"/>
        <v>群众</v>
      </c>
      <c r="C641" s="1" t="str">
        <f t="shared" si="319"/>
        <v>本科</v>
      </c>
      <c r="D641" s="1" t="str">
        <f>"20190701"</f>
        <v>20190701</v>
      </c>
      <c r="E641" s="1" t="str">
        <f>"河南科技学院新科学院"</f>
        <v>河南科技学院新科学院</v>
      </c>
      <c r="F641" s="1" t="str">
        <f>"信息工程"</f>
        <v>信息工程</v>
      </c>
      <c r="G641" s="1" t="str">
        <f>"河南省南阳市淅川县龙城花园一期"</f>
        <v>河南省南阳市淅川县龙城花园一期</v>
      </c>
      <c r="H641" s="1" t="str">
        <f t="shared" si="317"/>
        <v>无</v>
      </c>
      <c r="I641" s="1" t="str">
        <f>"2015年9月--2019年7月于河南科技学院新科学院学习本科信息工程专业；2019年至今于淅川县。
"</f>
        <v>2015年9月--2019年7月于河南科技学院新科学院学习本科信息工程专业；2019年至今于淅川县。
</v>
      </c>
    </row>
    <row r="642" spans="1:9">
      <c r="A642" s="1" t="str">
        <f>"410781200305270423"</f>
        <v>410781200305270423</v>
      </c>
      <c r="B642" s="1" t="str">
        <f t="shared" si="318"/>
        <v>群众</v>
      </c>
      <c r="C642" s="1" t="str">
        <f t="shared" si="319"/>
        <v>本科</v>
      </c>
      <c r="D642" s="1" t="str">
        <f>"20250605"</f>
        <v>20250605</v>
      </c>
      <c r="E642" s="1" t="str">
        <f>"新乡工程学院"</f>
        <v>新乡工程学院</v>
      </c>
      <c r="F642" s="1" t="str">
        <f>"环境设计"</f>
        <v>环境设计</v>
      </c>
      <c r="G642" s="1" t="str">
        <f>"河南省新乡市卫辉市碧桂园湖畔学府"</f>
        <v>河南省新乡市卫辉市碧桂园湖畔学府</v>
      </c>
      <c r="H642" s="1" t="str">
        <f t="shared" si="317"/>
        <v>无</v>
      </c>
      <c r="I642" s="1" t="str">
        <f>"202109-202506新乡工程学院就读"</f>
        <v>202109-202506新乡工程学院就读</v>
      </c>
    </row>
    <row r="643" spans="1:9">
      <c r="A643" s="1" t="str">
        <f>"411381199108262276"</f>
        <v>411381199108262276</v>
      </c>
      <c r="B643" s="1" t="str">
        <f t="shared" si="320"/>
        <v>中共党员</v>
      </c>
      <c r="C643" s="1" t="str">
        <f t="shared" si="319"/>
        <v>本科</v>
      </c>
      <c r="D643" s="1" t="str">
        <f>"20130701"</f>
        <v>20130701</v>
      </c>
      <c r="E643" s="1" t="str">
        <f>"郑州大学"</f>
        <v>郑州大学</v>
      </c>
      <c r="F643" s="1" t="str">
        <f>"计算机科学与技术"</f>
        <v>计算机科学与技术</v>
      </c>
      <c r="G643" s="1" t="str">
        <f>"河南省南阳市内乡县城关镇维多利亚小区"</f>
        <v>河南省南阳市内乡县城关镇维多利亚小区</v>
      </c>
      <c r="H643" s="1" t="str">
        <f>"中小学二级教师"</f>
        <v>中小学二级教师</v>
      </c>
      <c r="I643" s="1" t="str">
        <f>"200909-201307郑州大学就读
201307-201409待业
201409-至今内乡县在职教师"</f>
        <v>200909-201307郑州大学就读
201307-201409待业
201409-至今内乡县在职教师</v>
      </c>
    </row>
    <row r="644" spans="1:9">
      <c r="A644" s="1" t="str">
        <f>"410581200109275541"</f>
        <v>410581200109275541</v>
      </c>
      <c r="B644" s="1" t="str">
        <f t="shared" ref="B644:B650" si="321">"共青团员"</f>
        <v>共青团员</v>
      </c>
      <c r="C644" s="1" t="str">
        <f t="shared" si="319"/>
        <v>本科</v>
      </c>
      <c r="D644" s="1" t="str">
        <f>"20240615"</f>
        <v>20240615</v>
      </c>
      <c r="E644" s="1" t="str">
        <f>"周口师范学院"</f>
        <v>周口师范学院</v>
      </c>
      <c r="F644" s="1" t="str">
        <f>"汉语言文学"</f>
        <v>汉语言文学</v>
      </c>
      <c r="G644" s="1" t="str">
        <f>"河南省林州市瓦窑南街"</f>
        <v>河南省林州市瓦窑南街</v>
      </c>
      <c r="H644" s="1" t="str">
        <f t="shared" ref="H644:H647" si="322">"无"</f>
        <v>无</v>
      </c>
      <c r="I644" s="1" t="str">
        <f>"2020.09-2024.06  周口师范学院   汉语言文学      全日制本科
2024.06-至今         待业"</f>
        <v>2020.09-2024.06  周口师范学院   汉语言文学      全日制本科
2024.06-至今         待业</v>
      </c>
    </row>
    <row r="645" spans="1:9">
      <c r="A645" s="1" t="str">
        <f>"411330200302061545"</f>
        <v>411330200302061545</v>
      </c>
      <c r="B645" s="1" t="str">
        <f t="shared" si="321"/>
        <v>共青团员</v>
      </c>
      <c r="C645" s="1" t="str">
        <f t="shared" si="319"/>
        <v>本科</v>
      </c>
      <c r="D645" s="1" t="str">
        <f>"20250625"</f>
        <v>20250625</v>
      </c>
      <c r="E645" s="1" t="str">
        <f>"郑州西亚斯学院"</f>
        <v>郑州西亚斯学院</v>
      </c>
      <c r="F645" s="1" t="str">
        <f>"汉语言文学"</f>
        <v>汉语言文学</v>
      </c>
      <c r="G645" s="1" t="str">
        <f>"河南省南阳市西峡县紫金街道金达源小区"</f>
        <v>河南省南阳市西峡县紫金街道金达源小区</v>
      </c>
      <c r="H645" s="1" t="str">
        <f t="shared" si="322"/>
        <v>无</v>
      </c>
      <c r="I645" s="1" t="str">
        <f>"202109-202506 郑州西亚斯学院文法学院汉语言文学专业 就读，全日制学历；
202506-至今，待业"</f>
        <v>202109-202506 郑州西亚斯学院文法学院汉语言文学专业 就读，全日制学历；
202506-至今，待业</v>
      </c>
    </row>
    <row r="646" spans="1:9">
      <c r="A646" s="1" t="str">
        <f>"411324199901282224"</f>
        <v>411324199901282224</v>
      </c>
      <c r="B646" s="1" t="str">
        <f t="shared" ref="B646:B648" si="323">"群众"</f>
        <v>群众</v>
      </c>
      <c r="C646" s="1" t="str">
        <f>"专科"</f>
        <v>专科</v>
      </c>
      <c r="D646" s="1" t="str">
        <f>"20200607"</f>
        <v>20200607</v>
      </c>
      <c r="E646" s="1" t="str">
        <f>"河南科技学院"</f>
        <v>河南科技学院</v>
      </c>
      <c r="F646" s="1" t="str">
        <f>"视觉传达设计"</f>
        <v>视觉传达设计</v>
      </c>
      <c r="G646" s="1" t="str">
        <f>"河南省南阳市镇平县新城广场"</f>
        <v>河南省南阳市镇平县新城广场</v>
      </c>
      <c r="H646" s="1" t="str">
        <f t="shared" si="322"/>
        <v>无</v>
      </c>
      <c r="I646" s="1" t="str">
        <f>"201709-201906河南科技学院就读视觉传达设计是全日制"</f>
        <v>201709-201906河南科技学院就读视觉传达设计是全日制</v>
      </c>
    </row>
    <row r="647" spans="1:9">
      <c r="A647" s="1" t="str">
        <f>"411325200210063120"</f>
        <v>411325200210063120</v>
      </c>
      <c r="B647" s="1" t="str">
        <f t="shared" si="323"/>
        <v>群众</v>
      </c>
      <c r="C647" s="1" t="str">
        <f t="shared" ref="C647:C649" si="324">"本科"</f>
        <v>本科</v>
      </c>
      <c r="D647" s="1" t="str">
        <f>"20240701"</f>
        <v>20240701</v>
      </c>
      <c r="E647" s="1" t="str">
        <f>"郑州商学院"</f>
        <v>郑州商学院</v>
      </c>
      <c r="F647" s="1" t="str">
        <f>"环境设计"</f>
        <v>环境设计</v>
      </c>
      <c r="G647" s="1" t="str">
        <f>"河南省南阳市内乡县夏馆镇"</f>
        <v>河南省南阳市内乡县夏馆镇</v>
      </c>
      <c r="H647" s="1" t="str">
        <f t="shared" si="322"/>
        <v>无</v>
      </c>
      <c r="I647" s="1" t="str">
        <f>"202009-202407 郑州商学院艺术学院环境设计专业就读 是全日制学历"</f>
        <v>202009-202407 郑州商学院艺术学院环境设计专业就读 是全日制学历</v>
      </c>
    </row>
    <row r="648" spans="1:9">
      <c r="A648" s="1" t="str">
        <f>"411330199806012960"</f>
        <v>411330199806012960</v>
      </c>
      <c r="B648" s="1" t="str">
        <f t="shared" si="323"/>
        <v>群众</v>
      </c>
      <c r="C648" s="1" t="str">
        <f t="shared" si="324"/>
        <v>本科</v>
      </c>
      <c r="D648" s="1" t="str">
        <f>"20210701"</f>
        <v>20210701</v>
      </c>
      <c r="E648" s="1" t="str">
        <f>"河南师范大学新联学院"</f>
        <v>河南师范大学新联学院</v>
      </c>
      <c r="F648" s="1" t="str">
        <f>"工商管理"</f>
        <v>工商管理</v>
      </c>
      <c r="G648" s="1" t="str">
        <f>"河南省南阳市西峡县学府铭城"</f>
        <v>河南省南阳市西峡县学府铭城</v>
      </c>
      <c r="H648" s="1" t="str">
        <f>"初级会计证"</f>
        <v>初级会计证</v>
      </c>
      <c r="I648" s="1" t="str">
        <f>"201609-201907南阳理工学院经济管理学院工商管理专业
201909-202107河南师范大学新联学院工商管理学院工商管理专业"</f>
        <v>201609-201907南阳理工学院经济管理学院工商管理专业
201909-202107河南师范大学新联学院工商管理学院工商管理专业</v>
      </c>
    </row>
    <row r="649" spans="1:9">
      <c r="A649" s="1" t="str">
        <f>"411327200010272588"</f>
        <v>411327200010272588</v>
      </c>
      <c r="B649" s="1" t="str">
        <f t="shared" si="321"/>
        <v>共青团员</v>
      </c>
      <c r="C649" s="1" t="str">
        <f t="shared" si="324"/>
        <v>本科</v>
      </c>
      <c r="D649" s="1" t="str">
        <f>"20220622"</f>
        <v>20220622</v>
      </c>
      <c r="E649" s="1" t="str">
        <f>"郑州大学西亚斯国际学院"</f>
        <v>郑州大学西亚斯国际学院</v>
      </c>
      <c r="F649" s="1" t="str">
        <f>"会计学"</f>
        <v>会计学</v>
      </c>
      <c r="G649" s="1" t="str">
        <f>"河南省南阳市内乡县王店镇王湾村"</f>
        <v>河南省南阳市内乡县王店镇王湾村</v>
      </c>
      <c r="H649" s="1" t="str">
        <f>"初级会计师"</f>
        <v>初级会计师</v>
      </c>
      <c r="I649" s="1" t="str">
        <f>"201809-202206在郑州大学西亚斯国际学院会计学院会计学就读，是全日制本科；202203-202208在南阳众诚置业有限公司实习，从事会计助理工作；202208-202303在神州城投（河南）能源发展有限公司上班，从事财务工作；202304-至今在南阳众诚置业有限公司上班，从事会计工作。"</f>
        <v>201809-202206在郑州大学西亚斯国际学院会计学院会计学就读，是全日制本科；202203-202208在南阳众诚置业有限公司实习，从事会计助理工作；202208-202303在神州城投（河南）能源发展有限公司上班，从事财务工作；202304-至今在南阳众诚置业有限公司上班，从事会计工作。</v>
      </c>
    </row>
    <row r="650" spans="1:9">
      <c r="A650" s="1" t="str">
        <f>"411327199907201519"</f>
        <v>411327199907201519</v>
      </c>
      <c r="B650" s="1" t="str">
        <f t="shared" si="321"/>
        <v>共青团员</v>
      </c>
      <c r="C650" s="1" t="str">
        <f>"硕士研究生"</f>
        <v>硕士研究生</v>
      </c>
      <c r="D650" s="1" t="str">
        <f>"20250630"</f>
        <v>20250630</v>
      </c>
      <c r="E650" s="1" t="str">
        <f>"湖北工业大学"</f>
        <v>湖北工业大学</v>
      </c>
      <c r="F650" s="1" t="str">
        <f>"土木工程"</f>
        <v>土木工程</v>
      </c>
      <c r="G650" s="1" t="str">
        <f>"河南省南阳市内乡县湍东镇五里堡刘营村"</f>
        <v>河南省南阳市内乡县湍东镇五里堡刘营村</v>
      </c>
      <c r="H650" s="1" t="str">
        <f t="shared" ref="H650:H652" si="325">"无"</f>
        <v>无</v>
      </c>
      <c r="I650" s="1" t="str">
        <f>"201809-202206  郑州商学院   建筑工程学院  工程管理  全日制
202209-202506 湖北工业大学  土木建筑与环境学院  土木工程  全日制"</f>
        <v>201809-202206  郑州商学院   建筑工程学院  工程管理  全日制
202209-202506 湖北工业大学  土木建筑与环境学院  土木工程  全日制</v>
      </c>
    </row>
    <row r="651" spans="1:9">
      <c r="A651" s="1" t="str">
        <f>"411327199108130013"</f>
        <v>411327199108130013</v>
      </c>
      <c r="B651" s="1" t="str">
        <f>"中共党员"</f>
        <v>中共党员</v>
      </c>
      <c r="C651" s="1" t="str">
        <f>"专科"</f>
        <v>专科</v>
      </c>
      <c r="D651" s="1" t="str">
        <f>"20250701"</f>
        <v>20250701</v>
      </c>
      <c r="E651" s="1" t="str">
        <f>"新乡学院"</f>
        <v>新乡学院</v>
      </c>
      <c r="F651" s="1" t="str">
        <f>"计算机应用技术"</f>
        <v>计算机应用技术</v>
      </c>
      <c r="G651" s="1" t="str">
        <f>"河南省南阳市内乡县范蠡大街南86号"</f>
        <v>河南省南阳市内乡县范蠡大街南86号</v>
      </c>
      <c r="H651" s="1" t="str">
        <f t="shared" si="325"/>
        <v>无</v>
      </c>
      <c r="I651" s="1" t="str">
        <f>"2009.12-2011.12   71350部队服役
2012.12-2013.01    待业
2013.01-   至今  内乡县人大常委会办公室工作（2023.04-2025.07期间获得新乡学院函数专科学历）"</f>
        <v>2009.12-2011.12   71350部队服役
2012.12-2013.01    待业
2013.01-   至今  内乡县人大常委会办公室工作（2023.04-2025.07期间获得新乡学院函数专科学历）</v>
      </c>
    </row>
    <row r="652" spans="1:9">
      <c r="A652" s="1" t="str">
        <f>"41042319980402001X"</f>
        <v>41042319980402001X</v>
      </c>
      <c r="B652" s="1" t="str">
        <f t="shared" ref="B652:B655" si="326">"共青团员"</f>
        <v>共青团员</v>
      </c>
      <c r="C652" s="1" t="str">
        <f t="shared" ref="C652:C655" si="327">"本科"</f>
        <v>本科</v>
      </c>
      <c r="D652" s="1" t="str">
        <f>"20210701"</f>
        <v>20210701</v>
      </c>
      <c r="E652" s="1" t="str">
        <f>"安阳工学院"</f>
        <v>安阳工学院</v>
      </c>
      <c r="F652" s="1" t="str">
        <f>"广播电视编导"</f>
        <v>广播电视编导</v>
      </c>
      <c r="G652" s="1" t="str">
        <f>"河南省鲁山县七街丝绸厂"</f>
        <v>河南省鲁山县七街丝绸厂</v>
      </c>
      <c r="H652" s="1" t="str">
        <f t="shared" si="325"/>
        <v>无</v>
      </c>
      <c r="I652" s="1" t="str">
        <f>"201709-202107  安阳工学院文化传媒学院广播电视编导专业  就读
202202-202305  平顶山速推联盟剪辑师
202309-202507  平顶山清艳英语市场部拍摄后期剪辑
202507-至今       平顶山待业"</f>
        <v>201709-202107  安阳工学院文化传媒学院广播电视编导专业  就读
202202-202305  平顶山速推联盟剪辑师
202309-202507  平顶山清艳英语市场部拍摄后期剪辑
202507-至今       平顶山待业</v>
      </c>
    </row>
    <row r="653" spans="1:9">
      <c r="A653" s="1" t="str">
        <f>"411224200007021441"</f>
        <v>411224200007021441</v>
      </c>
      <c r="B653" s="1" t="str">
        <f t="shared" si="326"/>
        <v>共青团员</v>
      </c>
      <c r="C653" s="1" t="str">
        <f t="shared" si="327"/>
        <v>本科</v>
      </c>
      <c r="D653" s="1" t="str">
        <f>"20240607"</f>
        <v>20240607</v>
      </c>
      <c r="E653" s="1" t="str">
        <f>"商丘师范学院"</f>
        <v>商丘师范学院</v>
      </c>
      <c r="F653" s="1" t="str">
        <f>"法学"</f>
        <v>法学</v>
      </c>
      <c r="G653" s="1" t="str">
        <f>"河南省南阳市西峡县莲花街道"</f>
        <v>河南省南阳市西峡县莲花街道</v>
      </c>
      <c r="H653" s="1" t="str">
        <f>"法律职业资格A证"</f>
        <v>法律职业资格A证</v>
      </c>
      <c r="I653" s="1" t="str">
        <f>"202009-202406于商丘师范学院就读
201709-202006于西峡一高就读
201409-201706于双龙一中就读"</f>
        <v>202009-202406于商丘师范学院就读
201709-202006于西峡一高就读
201409-201706于双龙一中就读</v>
      </c>
    </row>
    <row r="654" spans="1:9">
      <c r="A654" s="1" t="str">
        <f>"411327200105200026"</f>
        <v>411327200105200026</v>
      </c>
      <c r="B654" s="1" t="str">
        <f>"群众"</f>
        <v>群众</v>
      </c>
      <c r="C654" s="1" t="str">
        <f t="shared" si="327"/>
        <v>本科</v>
      </c>
      <c r="D654" s="1" t="str">
        <f>"20230701"</f>
        <v>20230701</v>
      </c>
      <c r="E654" s="1" t="str">
        <f>"郑州财经学院"</f>
        <v>郑州财经学院</v>
      </c>
      <c r="F654" s="1" t="str">
        <f>"国际经济与贸易"</f>
        <v>国际经济与贸易</v>
      </c>
      <c r="G654" s="1" t="str">
        <f>"河南省内乡县大成相府"</f>
        <v>河南省内乡县大成相府</v>
      </c>
      <c r="H654" s="1" t="str">
        <f t="shared" ref="H654:H656" si="328">"无"</f>
        <v>无</v>
      </c>
      <c r="I654" s="1" t="str">
        <f>"201909-202307 郑州财经学院 就读
202307至今待业"</f>
        <v>201909-202307 郑州财经学院 就读
202307至今待业</v>
      </c>
    </row>
    <row r="655" spans="1:9">
      <c r="A655" s="1" t="str">
        <f>"411325200106203912"</f>
        <v>411325200106203912</v>
      </c>
      <c r="B655" s="1" t="str">
        <f t="shared" si="326"/>
        <v>共青团员</v>
      </c>
      <c r="C655" s="1" t="str">
        <f t="shared" si="327"/>
        <v>本科</v>
      </c>
      <c r="D655" s="1" t="str">
        <f>"2022-07-01"</f>
        <v>2022-07-01</v>
      </c>
      <c r="E655" s="1" t="str">
        <f>"辽宁科技大学"</f>
        <v>辽宁科技大学</v>
      </c>
      <c r="F655" s="1" t="str">
        <f>"应用化学"</f>
        <v>应用化学</v>
      </c>
      <c r="G655" s="1" t="str">
        <f>"河南省南阳市内乡县乍曲镇龙泉路75号"</f>
        <v>河南省南阳市内乡县乍曲镇龙泉路75号</v>
      </c>
      <c r="H655" s="1" t="str">
        <f t="shared" si="328"/>
        <v>无</v>
      </c>
      <c r="I655" s="1" t="str">
        <f>"2018.09-2022.07辽宁科技大学化学学院应用化学专业就读，全日制本科
2022.07-2024.07 待业
2024.07-至今，内乡县公安局看护大队"</f>
        <v>2018.09-2022.07辽宁科技大学化学学院应用化学专业就读，全日制本科
2022.07-2024.07 待业
2024.07-至今，内乡县公安局看护大队</v>
      </c>
    </row>
    <row r="656" spans="1:9">
      <c r="A656" s="1" t="str">
        <f>"411325200204120045"</f>
        <v>411325200204120045</v>
      </c>
      <c r="B656" s="1" t="str">
        <f t="shared" ref="B656:B662" si="329">"群众"</f>
        <v>群众</v>
      </c>
      <c r="C656" s="1" t="str">
        <f t="shared" ref="C656:C658" si="330">"专科"</f>
        <v>专科</v>
      </c>
      <c r="D656" s="1" t="str">
        <f>"20220701"</f>
        <v>20220701</v>
      </c>
      <c r="E656" s="1" t="str">
        <f>"濮阳医学高等专科学校"</f>
        <v>濮阳医学高等专科学校</v>
      </c>
      <c r="F656" s="1" t="str">
        <f>"助产专业"</f>
        <v>助产专业</v>
      </c>
      <c r="G656" s="1" t="str">
        <f>"河南省南阳市内乡县城关镇县衙路6号"</f>
        <v>河南省南阳市内乡县城关镇县衙路6号</v>
      </c>
      <c r="H656" s="1" t="str">
        <f t="shared" si="328"/>
        <v>无</v>
      </c>
      <c r="I656" s="1" t="str">
        <f>"201909-202207濮阳医学高等专科学校助产专业就读，全日制大专；
202207-202309牧原股份有限公司现场运营岗就职；
202309-202507河南省南阳市内乡县待业"</f>
        <v>201909-202207濮阳医学高等专科学校助产专业就读，全日制大专；
202207-202309牧原股份有限公司现场运营岗就职；
202309-202507河南省南阳市内乡县待业</v>
      </c>
    </row>
    <row r="657" spans="1:9">
      <c r="A657" s="1" t="str">
        <f>"411381200301140305"</f>
        <v>411381200301140305</v>
      </c>
      <c r="B657" s="1" t="str">
        <f>"共青团员"</f>
        <v>共青团员</v>
      </c>
      <c r="C657" s="1" t="str">
        <f t="shared" si="330"/>
        <v>专科</v>
      </c>
      <c r="D657" s="1" t="str">
        <f>"20030701"</f>
        <v>20030701</v>
      </c>
      <c r="E657" s="1" t="str">
        <f>"河南工业贸易职业学院"</f>
        <v>河南工业贸易职业学院</v>
      </c>
      <c r="F657" s="1" t="str">
        <f>"会计(注册会计师方向）"</f>
        <v>会计(注册会计师方向）</v>
      </c>
      <c r="G657" s="1" t="str">
        <f>"河南省邓州市花洲街道办事处团结东路160号"</f>
        <v>河南省邓州市花洲街道办事处团结东路160号</v>
      </c>
      <c r="H657" s="1" t="str">
        <f>"初级会计职称资格证书"</f>
        <v>初级会计职称资格证书</v>
      </c>
      <c r="I657" s="1" t="str">
        <f>"202009-202307 河南工业贸易职业学院 就读 财务会计学院 会计（注册会计师方向）全日制
202307至今待业"</f>
        <v>202009-202307 河南工业贸易职业学院 就读 财务会计学院 会计（注册会计师方向）全日制
202307至今待业</v>
      </c>
    </row>
    <row r="658" spans="1:9">
      <c r="A658" s="1" t="str">
        <f>"41132320000414631X"</f>
        <v>41132320000414631X</v>
      </c>
      <c r="B658" s="1" t="str">
        <f t="shared" ref="B658:B663" si="331">"中共党员"</f>
        <v>中共党员</v>
      </c>
      <c r="C658" s="1" t="str">
        <f t="shared" si="330"/>
        <v>专科</v>
      </c>
      <c r="D658" s="1" t="str">
        <f>"20230701"</f>
        <v>20230701</v>
      </c>
      <c r="E658" s="1" t="str">
        <f>"商丘职业技术学院"</f>
        <v>商丘职业技术学院</v>
      </c>
      <c r="F658" s="1" t="str">
        <f>"汽车检测与维修技术"</f>
        <v>汽车检测与维修技术</v>
      </c>
      <c r="G658" s="1" t="str">
        <f>"河南省淅川县厚坡镇王河村河东组11号"</f>
        <v>河南省淅川县厚坡镇王河村河东组11号</v>
      </c>
      <c r="H658" s="1" t="str">
        <f t="shared" ref="H658:H663" si="332">"无"</f>
        <v>无</v>
      </c>
      <c r="I658" s="1" t="str">
        <f>"2020.09——2023.07商丘职业技术学院汽车检测与维修技术
2023.07至今待业"</f>
        <v>2020.09——2023.07商丘职业技术学院汽车检测与维修技术
2023.07至今待业</v>
      </c>
    </row>
    <row r="659" spans="1:9">
      <c r="A659" s="1" t="str">
        <f>"411327200104091518"</f>
        <v>411327200104091518</v>
      </c>
      <c r="B659" s="1" t="str">
        <f t="shared" si="331"/>
        <v>中共党员</v>
      </c>
      <c r="C659" s="1" t="str">
        <f t="shared" ref="C659:C663" si="333">"本科"</f>
        <v>本科</v>
      </c>
      <c r="D659" s="1" t="str">
        <f>"20230630"</f>
        <v>20230630</v>
      </c>
      <c r="E659" s="1" t="str">
        <f>"海南热带海洋学院"</f>
        <v>海南热带海洋学院</v>
      </c>
      <c r="F659" s="1" t="str">
        <f>"国际事务与国际关系"</f>
        <v>国际事务与国际关系</v>
      </c>
      <c r="G659" s="1" t="str">
        <f>"海南省屯昌县屯城镇环南路誉铖尚品9号楼1302"</f>
        <v>海南省屯昌县屯城镇环南路誉铖尚品9号楼1302</v>
      </c>
      <c r="H659" s="1" t="str">
        <f>"高中历史教师资格证"</f>
        <v>高中历史教师资格证</v>
      </c>
      <c r="I659" s="1" t="str">
        <f>"201909-202306海南热带海洋学院人文社会科学学院国际事务与国际关系专业就读，全日制学历；
202307-202307在海南省屯昌县待业；
202308-202406在海南省屯昌县科技创新发展服务中心，九级管理岗；
202407-至今在海南省屯昌县科技和工业信息服务中心，九级管理岗。"</f>
        <v>201909-202306海南热带海洋学院人文社会科学学院国际事务与国际关系专业就读，全日制学历；
202307-202307在海南省屯昌县待业；
202308-202406在海南省屯昌县科技创新发展服务中心，九级管理岗；
202407-至今在海南省屯昌县科技和工业信息服务中心，九级管理岗。</v>
      </c>
    </row>
    <row r="660" spans="1:9">
      <c r="A660" s="1" t="str">
        <f>"411327200306060090"</f>
        <v>411327200306060090</v>
      </c>
      <c r="B660" s="1" t="str">
        <f t="shared" si="329"/>
        <v>群众</v>
      </c>
      <c r="C660" s="1" t="str">
        <f t="shared" si="333"/>
        <v>本科</v>
      </c>
      <c r="D660" s="1" t="str">
        <f>"20250615"</f>
        <v>20250615</v>
      </c>
      <c r="E660" s="1" t="str">
        <f>"赣南师范大学"</f>
        <v>赣南师范大学</v>
      </c>
      <c r="F660" s="1" t="str">
        <f>"体育教育专业"</f>
        <v>体育教育专业</v>
      </c>
      <c r="G660" s="1" t="str">
        <f>"河南省南阳市内乡县渚阳大街北八巷6号"</f>
        <v>河南省南阳市内乡县渚阳大街北八巷6号</v>
      </c>
      <c r="H660" s="1" t="str">
        <f t="shared" si="332"/>
        <v>无</v>
      </c>
      <c r="I660" s="1" t="str">
        <f>"202109-202506于赣南师范大学体育学院体育教育专业就读，是全日制学历"</f>
        <v>202109-202506于赣南师范大学体育学院体育教育专业就读，是全日制学历</v>
      </c>
    </row>
    <row r="661" spans="1:9">
      <c r="A661" s="1" t="str">
        <f>"41132520020218204X"</f>
        <v>41132520020218204X</v>
      </c>
      <c r="B661" s="1" t="str">
        <f t="shared" si="329"/>
        <v>群众</v>
      </c>
      <c r="C661" s="1" t="str">
        <f t="shared" si="333"/>
        <v>本科</v>
      </c>
      <c r="D661" s="1" t="str">
        <f>"20240620"</f>
        <v>20240620</v>
      </c>
      <c r="E661" s="1" t="str">
        <f>"石家庄学院"</f>
        <v>石家庄学院</v>
      </c>
      <c r="F661" s="1" t="str">
        <f>"体育教育"</f>
        <v>体育教育</v>
      </c>
      <c r="G661" s="1" t="str">
        <f>"河南省南阳市内乡县师岗镇"</f>
        <v>河南省南阳市内乡县师岗镇</v>
      </c>
      <c r="H661" s="1" t="str">
        <f t="shared" si="332"/>
        <v>无</v>
      </c>
      <c r="I661" s="1" t="str">
        <f>"202009-202406 石家庄学院就读
体育学院体育教育专业 全日制本科"</f>
        <v>202009-202406 石家庄学院就读
体育学院体育教育专业 全日制本科</v>
      </c>
    </row>
    <row r="662" spans="1:9">
      <c r="A662" s="1" t="str">
        <f>"411327199912210022"</f>
        <v>411327199912210022</v>
      </c>
      <c r="B662" s="1" t="str">
        <f t="shared" si="329"/>
        <v>群众</v>
      </c>
      <c r="C662" s="1" t="str">
        <f t="shared" si="333"/>
        <v>本科</v>
      </c>
      <c r="D662" s="1" t="str">
        <f>"2021-07-01"</f>
        <v>2021-07-01</v>
      </c>
      <c r="E662" s="1" t="str">
        <f>"河南科技学院"</f>
        <v>河南科技学院</v>
      </c>
      <c r="F662" s="1" t="str">
        <f>"园艺"</f>
        <v>园艺</v>
      </c>
      <c r="G662" s="1" t="str">
        <f>"城关镇县衙路125号"</f>
        <v>城关镇县衙路125号</v>
      </c>
      <c r="H662" s="1" t="str">
        <f t="shared" si="332"/>
        <v>无</v>
      </c>
      <c r="I662" s="1" t="str">
        <f>"2014年9月-2017年7月就读于河南省南阳市内乡县职业中等专业学校
2017年9月-2021年7月就读于河南科技学院园艺专业
2021年7-至今待业"</f>
        <v>2014年9月-2017年7月就读于河南省南阳市内乡县职业中等专业学校
2017年9月-2021年7月就读于河南科技学院园艺专业
2021年7-至今待业</v>
      </c>
    </row>
    <row r="663" spans="1:9">
      <c r="A663" s="1" t="str">
        <f>"371081199308155628"</f>
        <v>371081199308155628</v>
      </c>
      <c r="B663" s="1" t="str">
        <f t="shared" si="331"/>
        <v>中共党员</v>
      </c>
      <c r="C663" s="1" t="str">
        <f t="shared" si="333"/>
        <v>本科</v>
      </c>
      <c r="D663" s="1" t="str">
        <f>"20160131"</f>
        <v>20160131</v>
      </c>
      <c r="E663" s="1" t="str">
        <f>"国家开放大学"</f>
        <v>国家开放大学</v>
      </c>
      <c r="F663" s="1" t="str">
        <f>"会计"</f>
        <v>会计</v>
      </c>
      <c r="G663" s="1" t="str">
        <f>"山东省威海市文登区东城社区上海豪庭27号楼"</f>
        <v>山东省威海市文登区东城社区上海豪庭27号楼</v>
      </c>
      <c r="H663" s="1" t="str">
        <f t="shared" si="332"/>
        <v>无</v>
      </c>
      <c r="I663" s="1" t="str">
        <f>"201101-201307在中央电视广播大学就读行政管理专业（非全日制学历）
201402-201604 威海采食轩有限公司总经理助理
201403-201601在国家开放大学就读会计专业学习（非全日制学历）
201604-201803 社会保障局档案室档案数字化工作
201803-201804待业
201804至今威海市文登区总工会工会社会工作专业人才"</f>
        <v>201101-201307在中央电视广播大学就读行政管理专业（非全日制学历）
201402-201604 威海采食轩有限公司总经理助理
201403-201601在国家开放大学就读会计专业学习（非全日制学历）
201604-201803 社会保障局档案室档案数字化工作
201803-201804待业
201804至今威海市文登区总工会工会社会工作专业人才</v>
      </c>
    </row>
    <row r="664" spans="1:9">
      <c r="A664" s="1" t="str">
        <f>"411324200303161938"</f>
        <v>411324200303161938</v>
      </c>
      <c r="B664" s="1" t="str">
        <f t="shared" ref="B664:B667" si="334">"群众"</f>
        <v>群众</v>
      </c>
      <c r="C664" s="1" t="str">
        <f>"专科"</f>
        <v>专科</v>
      </c>
      <c r="D664" s="1" t="str">
        <f>"20240701"</f>
        <v>20240701</v>
      </c>
      <c r="E664" s="1" t="str">
        <f>"河南地矿职业学院"</f>
        <v>河南地矿职业学院</v>
      </c>
      <c r="F664" s="1" t="str">
        <f>"无人机应用技术"</f>
        <v>无人机应用技术</v>
      </c>
      <c r="G664" s="1" t="str">
        <f>"河南省南阳市镇平县卫校西隔墙"</f>
        <v>河南省南阳市镇平县卫校西隔墙</v>
      </c>
      <c r="H664" s="1" t="str">
        <f>"CAAC小型多旋翼无人机操控员执照，小型垂直起降无人机操控员执照"</f>
        <v>CAAC小型多旋翼无人机操控员执照，小型垂直起降无人机操控员执照</v>
      </c>
      <c r="I664" s="1" t="str">
        <f>"202109-202407在河南地矿职业学院无人机应用技术专业全日制
202407-至今待业"</f>
        <v>202109-202407在河南地矿职业学院无人机应用技术专业全日制
202407-至今待业</v>
      </c>
    </row>
    <row r="665" spans="1:9">
      <c r="A665" s="1" t="str">
        <f>"411702200310010816"</f>
        <v>411702200310010816</v>
      </c>
      <c r="B665" s="1" t="str">
        <f t="shared" si="334"/>
        <v>群众</v>
      </c>
      <c r="C665" s="1" t="str">
        <f t="shared" ref="C665:C678" si="335">"本科"</f>
        <v>本科</v>
      </c>
      <c r="D665" s="1" t="str">
        <f>"20250607"</f>
        <v>20250607</v>
      </c>
      <c r="E665" s="1" t="str">
        <f>"许昌学院"</f>
        <v>许昌学院</v>
      </c>
      <c r="F665" s="1" t="str">
        <f>"数字媒体技术"</f>
        <v>数字媒体技术</v>
      </c>
      <c r="G665" s="1" t="str">
        <f>"河南省驻马店市驿城区金河街道乐山大道东申凤凰城12号楼"</f>
        <v>河南省驻马店市驿城区金河街道乐山大道东申凤凰城12号楼</v>
      </c>
      <c r="H665" s="1" t="str">
        <f t="shared" ref="H665:H669" si="336">"无"</f>
        <v>无</v>
      </c>
      <c r="I665" s="1" t="str">
        <f>"202109-202506 许昌学院国际教育学院数字媒体技术专业 就读，是全日制学历"</f>
        <v>202109-202506 许昌学院国际教育学院数字媒体技术专业 就读，是全日制学历</v>
      </c>
    </row>
    <row r="666" spans="1:9">
      <c r="A666" s="1" t="str">
        <f>"410522200212139345"</f>
        <v>410522200212139345</v>
      </c>
      <c r="B666" s="1" t="str">
        <f t="shared" ref="B666:B671" si="337">"中共党员"</f>
        <v>中共党员</v>
      </c>
      <c r="C666" s="1" t="str">
        <f t="shared" si="335"/>
        <v>本科</v>
      </c>
      <c r="D666" s="1" t="str">
        <f>"20250623"</f>
        <v>20250623</v>
      </c>
      <c r="E666" s="1" t="str">
        <f>"山东师范大学"</f>
        <v>山东师范大学</v>
      </c>
      <c r="F666" s="1" t="str">
        <f>"应用心理学"</f>
        <v>应用心理学</v>
      </c>
      <c r="G666" s="1" t="str">
        <f>"河南省安阳市殷都区水冶镇南段村"</f>
        <v>河南省安阳市殷都区水冶镇南段村</v>
      </c>
      <c r="H666" s="1" t="str">
        <f t="shared" si="336"/>
        <v>无</v>
      </c>
      <c r="I666" s="1" t="str">
        <f>"202109-202506    山东师范大学   就读    全日制学历
202506-至今         河南省安阳市殷都区水冶镇南段村     待业"</f>
        <v>202109-202506    山东师范大学   就读    全日制学历
202506-至今         河南省安阳市殷都区水冶镇南段村     待业</v>
      </c>
    </row>
    <row r="667" spans="1:9">
      <c r="A667" s="1" t="str">
        <f>"41132619950605403X"</f>
        <v>41132619950605403X</v>
      </c>
      <c r="B667" s="1" t="str">
        <f t="shared" si="334"/>
        <v>群众</v>
      </c>
      <c r="C667" s="1" t="str">
        <f>"专科"</f>
        <v>专科</v>
      </c>
      <c r="D667" s="1" t="str">
        <f>"2021-06-30"</f>
        <v>2021-06-30</v>
      </c>
      <c r="E667" s="1" t="str">
        <f>"南京师范大学"</f>
        <v>南京师范大学</v>
      </c>
      <c r="F667" s="1" t="str">
        <f>"人力资源管理"</f>
        <v>人力资源管理</v>
      </c>
      <c r="G667" s="1" t="str">
        <f>"河南省南阳市南召县四棵树乡"</f>
        <v>河南省南阳市南召县四棵树乡</v>
      </c>
      <c r="H667" s="1" t="str">
        <f t="shared" si="336"/>
        <v>无</v>
      </c>
      <c r="I667" s="1" t="str">
        <f>"2019.01-2021.06  南京师范大学 人力资源管理  自考  非全日制
2021.07-2024.09  待业
2024.10-至今  南阳市公安局特警支队  辅警"</f>
        <v>2019.01-2021.06  南京师范大学 人力资源管理  自考  非全日制
2021.07-2024.09  待业
2024.10-至今  南阳市公安局特警支队  辅警</v>
      </c>
    </row>
    <row r="668" spans="1:9">
      <c r="A668" s="1" t="str">
        <f>"410322199807104727"</f>
        <v>410322199807104727</v>
      </c>
      <c r="B668" s="1" t="str">
        <f t="shared" si="337"/>
        <v>中共党员</v>
      </c>
      <c r="C668" s="1" t="str">
        <f>"硕士研究生"</f>
        <v>硕士研究生</v>
      </c>
      <c r="D668" s="1" t="str">
        <f>"2024-06-30"</f>
        <v>2024-06-30</v>
      </c>
      <c r="E668" s="1" t="str">
        <f>"西南大学"</f>
        <v>西南大学</v>
      </c>
      <c r="F668" s="1" t="str">
        <f>"中国哲学"</f>
        <v>中国哲学</v>
      </c>
      <c r="G668" s="1" t="str">
        <f>"河南省洛阳市孟津区送庄镇护庄村"</f>
        <v>河南省洛阳市孟津区送庄镇护庄村</v>
      </c>
      <c r="H668" s="1" t="str">
        <f t="shared" si="336"/>
        <v>无</v>
      </c>
      <c r="I668" s="1" t="str">
        <f>"2016年9月至2020年6月在郑州大学国际学院经济学系经济学专业就读，全日制学历；
2020年7月至2021年8月待业；
2021年9月至2024年6月在西南大学国家治理学院哲学系中国哲学专业就读；
2024年7月至今待业。"</f>
        <v>2016年9月至2020年6月在郑州大学国际学院经济学系经济学专业就读，全日制学历；
2020年7月至2021年8月待业；
2021年9月至2024年6月在西南大学国家治理学院哲学系中国哲学专业就读；
2024年7月至今待业。</v>
      </c>
    </row>
    <row r="669" spans="1:9">
      <c r="A669" s="1" t="str">
        <f>"410527199901225819"</f>
        <v>410527199901225819</v>
      </c>
      <c r="B669" s="1" t="str">
        <f t="shared" ref="B669:B673" si="338">"群众"</f>
        <v>群众</v>
      </c>
      <c r="C669" s="1" t="str">
        <f t="shared" si="335"/>
        <v>本科</v>
      </c>
      <c r="D669" s="1" t="str">
        <f>"20200731"</f>
        <v>20200731</v>
      </c>
      <c r="E669" s="1" t="str">
        <f>"新乡学院"</f>
        <v>新乡学院</v>
      </c>
      <c r="F669" s="1" t="str">
        <f>"物流管理"</f>
        <v>物流管理</v>
      </c>
      <c r="G669" s="1" t="str">
        <f>"河南省南阳市内乡县吉祥小区"</f>
        <v>河南省南阳市内乡县吉祥小区</v>
      </c>
      <c r="H669" s="1" t="str">
        <f t="shared" si="336"/>
        <v>无</v>
      </c>
      <c r="I669" s="1" t="str">
        <f>"201609-202006    新乡学院  管理学院  物流管理专业就读"</f>
        <v>201609-202006    新乡学院  管理学院  物流管理专业就读</v>
      </c>
    </row>
    <row r="670" spans="1:9">
      <c r="A670" s="1" t="str">
        <f>"140428199710126848"</f>
        <v>140428199710126848</v>
      </c>
      <c r="B670" s="1" t="str">
        <f>"共青团员"</f>
        <v>共青团员</v>
      </c>
      <c r="C670" s="1" t="str">
        <f t="shared" si="335"/>
        <v>本科</v>
      </c>
      <c r="D670" s="1" t="str">
        <f>"20210609"</f>
        <v>20210609</v>
      </c>
      <c r="E670" s="1" t="str">
        <f>"晋中学院"</f>
        <v>晋中学院</v>
      </c>
      <c r="F670" s="1" t="str">
        <f>"酒店管理"</f>
        <v>酒店管理</v>
      </c>
      <c r="G670" s="1" t="str">
        <f>"山西省长治市长子县色头镇"</f>
        <v>山西省长治市长子县色头镇</v>
      </c>
      <c r="H670" s="1" t="str">
        <f>"计算机二级"</f>
        <v>计算机二级</v>
      </c>
      <c r="I670" s="1" t="str">
        <f>"201609-201907在山西省财政税务专科学校就读于旅游管理系会展策划与管理专业；201909-202107在晋中学院就读于旅游与公共管理学院酒店管理专业，202107-202507待业备考"</f>
        <v>201609-201907在山西省财政税务专科学校就读于旅游管理系会展策划与管理专业；201909-202107在晋中学院就读于旅游与公共管理学院酒店管理专业，202107-202507待业备考</v>
      </c>
    </row>
    <row r="671" spans="1:9">
      <c r="A671" s="1" t="str">
        <f>"411122199204028235"</f>
        <v>411122199204028235</v>
      </c>
      <c r="B671" s="1" t="str">
        <f t="shared" si="337"/>
        <v>中共党员</v>
      </c>
      <c r="C671" s="1" t="str">
        <f t="shared" si="335"/>
        <v>本科</v>
      </c>
      <c r="D671" s="1" t="str">
        <f>"2023-07-01"</f>
        <v>2023-07-01</v>
      </c>
      <c r="E671" s="1" t="str">
        <f>"信阳师范大学"</f>
        <v>信阳师范大学</v>
      </c>
      <c r="F671" s="1" t="str">
        <f>"汉语言文学"</f>
        <v>汉语言文学</v>
      </c>
      <c r="G671" s="1" t="str">
        <f>"河南省漯河市临颍县王孟镇"</f>
        <v>河南省漯河市临颍县王孟镇</v>
      </c>
      <c r="H671" s="1" t="str">
        <f t="shared" ref="H671:H681" si="339">"无"</f>
        <v>无</v>
      </c>
      <c r="I671" s="1" t="str">
        <f>"201309-201606 郑州工业应用技术学院就读，全日制学历
201609-201810 河南省漯河市临颍县王孟镇待业
201810-201903 湖北省荆州市石首市政务服务管理办公室政务服务管理科工作人员
201903-至今 湖北省荆州市石首市政务服务和大数据管理局政务服务股工作人员
202103—202307信阳师范大学汉语言文学专业学习，非全日制学历"</f>
        <v>201309-201606 郑州工业应用技术学院就读，全日制学历
201609-201810 河南省漯河市临颍县王孟镇待业
201810-201903 湖北省荆州市石首市政务服务管理办公室政务服务管理科工作人员
201903-至今 湖北省荆州市石首市政务服务和大数据管理局政务服务股工作人员
202103—202307信阳师范大学汉语言文学专业学习，非全日制学历</v>
      </c>
    </row>
    <row r="672" spans="1:9">
      <c r="A672" s="1" t="str">
        <f>"61252219990130141X"</f>
        <v>61252219990130141X</v>
      </c>
      <c r="B672" s="1" t="str">
        <f t="shared" si="338"/>
        <v>群众</v>
      </c>
      <c r="C672" s="1" t="str">
        <f t="shared" si="335"/>
        <v>本科</v>
      </c>
      <c r="D672" s="1" t="str">
        <f>"20230630"</f>
        <v>20230630</v>
      </c>
      <c r="E672" s="1" t="str">
        <f>"河北工程技术学院"</f>
        <v>河北工程技术学院</v>
      </c>
      <c r="F672" s="1" t="str">
        <f>"金融工程"</f>
        <v>金融工程</v>
      </c>
      <c r="G672" s="1" t="str">
        <f>"陕西省商洛市洛南县四皓街道阳光庭院"</f>
        <v>陕西省商洛市洛南县四皓街道阳光庭院</v>
      </c>
      <c r="H672" s="1" t="str">
        <f t="shared" si="339"/>
        <v>无</v>
      </c>
      <c r="I672" s="1" t="str">
        <f>"20180901-20210601石家庄邮电职业技术学院就读金融系金融管理专业（全日制）；20210901-20230601河北工程技术学院就读商学院金融工程专业（全日制）；20230609-20240831陕西崇唐人力资源有限公司从事党建。20240901-至今待业"</f>
        <v>20180901-20210601石家庄邮电职业技术学院就读金融系金融管理专业（全日制）；20210901-20230601河北工程技术学院就读商学院金融工程专业（全日制）；20230609-20240831陕西崇唐人力资源有限公司从事党建。20240901-至今待业</v>
      </c>
    </row>
    <row r="673" spans="1:9">
      <c r="A673" s="1" t="str">
        <f>"411327200211113946"</f>
        <v>411327200211113946</v>
      </c>
      <c r="B673" s="1" t="str">
        <f t="shared" si="338"/>
        <v>群众</v>
      </c>
      <c r="C673" s="1" t="str">
        <f t="shared" si="335"/>
        <v>本科</v>
      </c>
      <c r="D673" s="1" t="str">
        <f>"2025-06-05"</f>
        <v>2025-06-05</v>
      </c>
      <c r="E673" s="1" t="str">
        <f>"昌吉学院"</f>
        <v>昌吉学院</v>
      </c>
      <c r="F673" s="1" t="str">
        <f>"特殊教育"</f>
        <v>特殊教育</v>
      </c>
      <c r="G673" s="1" t="str">
        <f>"河南省南阳市内乡县乍岖镇魏营村胡东组23号"</f>
        <v>河南省南阳市内乡县乍岖镇魏营村胡东组23号</v>
      </c>
      <c r="H673" s="1" t="str">
        <f t="shared" si="339"/>
        <v>无</v>
      </c>
      <c r="I673" s="1" t="str">
        <f>"202109-202506 昌吉学院教育科学学院特殊教育就读，是全日制学历"</f>
        <v>202109-202506 昌吉学院教育科学学院特殊教育就读，是全日制学历</v>
      </c>
    </row>
    <row r="674" spans="1:9">
      <c r="A674" s="1" t="str">
        <f>"411325200109163004"</f>
        <v>411325200109163004</v>
      </c>
      <c r="B674" s="1" t="str">
        <f>"共青团员"</f>
        <v>共青团员</v>
      </c>
      <c r="C674" s="1" t="str">
        <f t="shared" si="335"/>
        <v>本科</v>
      </c>
      <c r="D674" s="1" t="str">
        <f>"2023.06"</f>
        <v>2023.06</v>
      </c>
      <c r="E674" s="1" t="str">
        <f>"河南理工大学"</f>
        <v>河南理工大学</v>
      </c>
      <c r="F674" s="1" t="str">
        <f>"汉语言文学"</f>
        <v>汉语言文学</v>
      </c>
      <c r="G674" s="1" t="str">
        <f>"河南省南阳市内乡县瓦亭镇"</f>
        <v>河南省南阳市内乡县瓦亭镇</v>
      </c>
      <c r="H674" s="1" t="str">
        <f t="shared" si="339"/>
        <v>无</v>
      </c>
      <c r="I674" s="1" t="str">
        <f>"2019.09-2023.06  河南理工大学 文法学院  汉语言文学专业
2023.06-2025.07  在南阳市内乡县待业
2025.07至今  内乡县乡村振兴村级协理员"</f>
        <v>2019.09-2023.06  河南理工大学 文法学院  汉语言文学专业
2023.06-2025.07  在南阳市内乡县待业
2025.07至今  内乡县乡村振兴村级协理员</v>
      </c>
    </row>
    <row r="675" spans="1:9">
      <c r="A675" s="1" t="str">
        <f>"411224199712149023"</f>
        <v>411224199712149023</v>
      </c>
      <c r="B675" s="1" t="str">
        <f t="shared" ref="B675:B678" si="340">"群众"</f>
        <v>群众</v>
      </c>
      <c r="C675" s="1" t="str">
        <f t="shared" si="335"/>
        <v>本科</v>
      </c>
      <c r="D675" s="1" t="str">
        <f>"20210701"</f>
        <v>20210701</v>
      </c>
      <c r="E675" s="1" t="str">
        <f>"商丘工学院"</f>
        <v>商丘工学院</v>
      </c>
      <c r="F675" s="1" t="str">
        <f>"城市地下空间工程"</f>
        <v>城市地下空间工程</v>
      </c>
      <c r="G675" s="1" t="str">
        <f>"河南省三门峡市卢氏县"</f>
        <v>河南省三门峡市卢氏县</v>
      </c>
      <c r="H675" s="1" t="str">
        <f t="shared" si="339"/>
        <v>无</v>
      </c>
      <c r="I675" s="1" t="str">
        <f>"201709-202106商丘工学院土木工程学院就读城市地下空间工程专业 全日制
2021.07-2023.08广东腾越建筑工程有限公司担任专员
2023.09-至今 待业"</f>
        <v>201709-202106商丘工学院土木工程学院就读城市地下空间工程专业 全日制
2021.07-2023.08广东腾越建筑工程有限公司担任专员
2023.09-至今 待业</v>
      </c>
    </row>
    <row r="676" spans="1:9">
      <c r="A676" s="1" t="str">
        <f>"411327200104212017"</f>
        <v>411327200104212017</v>
      </c>
      <c r="B676" s="1" t="str">
        <f t="shared" si="340"/>
        <v>群众</v>
      </c>
      <c r="C676" s="1" t="str">
        <f t="shared" si="335"/>
        <v>本科</v>
      </c>
      <c r="D676" s="1" t="str">
        <f>"20230612"</f>
        <v>20230612</v>
      </c>
      <c r="E676" s="1" t="str">
        <f>"石河子大学"</f>
        <v>石河子大学</v>
      </c>
      <c r="F676" s="1" t="str">
        <f>"动物科学"</f>
        <v>动物科学</v>
      </c>
      <c r="G676" s="1" t="str">
        <f>"河南省南阳市内乡县瓦亭镇人民路39号"</f>
        <v>河南省南阳市内乡县瓦亭镇人民路39号</v>
      </c>
      <c r="H676" s="1" t="str">
        <f t="shared" si="339"/>
        <v>无</v>
      </c>
      <c r="I676" s="1" t="str">
        <f>"2019-09-2023.06 在石河子大学动物科技学院动物科学专业就读 
2023.07-2025.07 在家待业"</f>
        <v>2019-09-2023.06 在石河子大学动物科技学院动物科学专业就读 
2023.07-2025.07 在家待业</v>
      </c>
    </row>
    <row r="677" spans="1:9">
      <c r="A677" s="1" t="str">
        <f>"411025200010274031"</f>
        <v>411025200010274031</v>
      </c>
      <c r="B677" s="1" t="str">
        <f t="shared" ref="B677:B681" si="341">"中共党员"</f>
        <v>中共党员</v>
      </c>
      <c r="C677" s="1" t="str">
        <f t="shared" si="335"/>
        <v>本科</v>
      </c>
      <c r="D677" s="1" t="str">
        <f>"20220701"</f>
        <v>20220701</v>
      </c>
      <c r="E677" s="1" t="str">
        <f>"许昌学院"</f>
        <v>许昌学院</v>
      </c>
      <c r="F677" s="1" t="str">
        <f>"戏剧影视文学"</f>
        <v>戏剧影视文学</v>
      </c>
      <c r="G677" s="1" t="str">
        <f>"河南省许昌市襄城县"</f>
        <v>河南省许昌市襄城县</v>
      </c>
      <c r="H677" s="1" t="str">
        <f t="shared" si="339"/>
        <v>无</v>
      </c>
      <c r="I677" s="1" t="str">
        <f>"201809-202207许昌学院文史与传媒学院戏剧影视文学专业就读
202207-202507待业（个人档案存放于襄城县人才市场）"</f>
        <v>201809-202207许昌学院文史与传媒学院戏剧影视文学专业就读
202207-202507待业（个人档案存放于襄城县人才市场）</v>
      </c>
    </row>
    <row r="678" spans="1:9">
      <c r="A678" s="1" t="str">
        <f>"411327199912200094"</f>
        <v>411327199912200094</v>
      </c>
      <c r="B678" s="1" t="str">
        <f t="shared" si="340"/>
        <v>群众</v>
      </c>
      <c r="C678" s="1" t="str">
        <f t="shared" si="335"/>
        <v>本科</v>
      </c>
      <c r="D678" s="1" t="str">
        <f>"2022-07-01"</f>
        <v>2022-07-01</v>
      </c>
      <c r="E678" s="1" t="str">
        <f>"郑州工商学院"</f>
        <v>郑州工商学院</v>
      </c>
      <c r="F678" s="1" t="str">
        <f>"物联网工程"</f>
        <v>物联网工程</v>
      </c>
      <c r="G678" s="1" t="str">
        <f>"河南省内乡县城关镇大成路文庙组"</f>
        <v>河南省内乡县城关镇大成路文庙组</v>
      </c>
      <c r="H678" s="1" t="str">
        <f t="shared" si="339"/>
        <v>无</v>
      </c>
      <c r="I678" s="1" t="str">
        <f>"201809-202207 郑州工商学院就读 物联网工程 全日制
202209-202409 中国人民武装警察部队湖南总队湘潭支队 服役
202409-至今 待业"</f>
        <v>201809-202207 郑州工商学院就读 物联网工程 全日制
202209-202409 中国人民武装警察部队湖南总队湘潭支队 服役
202409-至今 待业</v>
      </c>
    </row>
    <row r="679" spans="1:9">
      <c r="A679" s="1" t="str">
        <f>"411327199807274251"</f>
        <v>411327199807274251</v>
      </c>
      <c r="B679" s="1" t="str">
        <f t="shared" si="341"/>
        <v>中共党员</v>
      </c>
      <c r="C679" s="1" t="str">
        <f t="shared" ref="C679:C684" si="342">"专科"</f>
        <v>专科</v>
      </c>
      <c r="D679" s="1" t="str">
        <f>"2018.07"</f>
        <v>2018.07</v>
      </c>
      <c r="E679" s="1" t="str">
        <f>"黄河交通学院"</f>
        <v>黄河交通学院</v>
      </c>
      <c r="F679" s="1" t="str">
        <f>"汽车运用技术与维修"</f>
        <v>汽车运用技术与维修</v>
      </c>
      <c r="G679" s="1" t="str">
        <f>"内乡县湍东镇罗岗村"</f>
        <v>内乡县湍东镇罗岗村</v>
      </c>
      <c r="H679" s="1" t="str">
        <f t="shared" si="339"/>
        <v>无</v>
      </c>
      <c r="I679" s="1" t="str">
        <f>"2013.09--2017.07  黄河交通学院汽车运用与技术专业学生（五年一贯制）
2017.07--2017.09  待业
2017.09--2019.09  服役于武警甘肃省总队执勤支队
2019.09--2021.01  待业
2021.01--2024.01  河南省内乡县惠粮粮油购销有限公司灌涨分公司职员
2024.01--至今        河南省内乡县军粮供应链中心职员"</f>
        <v>2013.09--2017.07  黄河交通学院汽车运用与技术专业学生（五年一贯制）
2017.07--2017.09  待业
2017.09--2019.09  服役于武警甘肃省总队执勤支队
2019.09--2021.01  待业
2021.01--2024.01  河南省内乡县惠粮粮油购销有限公司灌涨分公司职员
2024.01--至今        河南省内乡县军粮供应链中心职员</v>
      </c>
    </row>
    <row r="680" spans="1:9">
      <c r="A680" s="1" t="str">
        <f>"41132720001023002X"</f>
        <v>41132720001023002X</v>
      </c>
      <c r="B680" s="1" t="str">
        <f t="shared" ref="B680:B685" si="343">"群众"</f>
        <v>群众</v>
      </c>
      <c r="C680" s="1" t="str">
        <f>"本科"</f>
        <v>本科</v>
      </c>
      <c r="D680" s="1" t="str">
        <f>"20220701"</f>
        <v>20220701</v>
      </c>
      <c r="E680" s="1" t="str">
        <f>"河南科技学院新科学院"</f>
        <v>河南科技学院新科学院</v>
      </c>
      <c r="F680" s="1" t="str">
        <f>"汉语国际教育"</f>
        <v>汉语国际教育</v>
      </c>
      <c r="G680" s="1" t="str">
        <f>"河南省南阳市内乡县城关镇教育路306号"</f>
        <v>河南省南阳市内乡县城关镇教育路306号</v>
      </c>
      <c r="H680" s="1" t="str">
        <f t="shared" si="339"/>
        <v>无</v>
      </c>
      <c r="I680" s="1" t="str">
        <f>"201809-202207 河南科技学院新科学院中文系汉语国际教育专业全日制 就读"</f>
        <v>201809-202207 河南科技学院新科学院中文系汉语国际教育专业全日制 就读</v>
      </c>
    </row>
    <row r="681" spans="1:9">
      <c r="A681" s="1" t="str">
        <f>"411323199105240051"</f>
        <v>411323199105240051</v>
      </c>
      <c r="B681" s="1" t="str">
        <f t="shared" si="341"/>
        <v>中共党员</v>
      </c>
      <c r="C681" s="1" t="str">
        <f t="shared" si="342"/>
        <v>专科</v>
      </c>
      <c r="D681" s="1" t="str">
        <f>"20110701"</f>
        <v>20110701</v>
      </c>
      <c r="E681" s="1" t="str">
        <f>"河南工业大学"</f>
        <v>河南工业大学</v>
      </c>
      <c r="F681" s="1" t="str">
        <f>"机电一体化技术"</f>
        <v>机电一体化技术</v>
      </c>
      <c r="G681" s="1" t="str">
        <f>"河南省淅川县上集镇北塘村"</f>
        <v>河南省淅川县上集镇北塘村</v>
      </c>
      <c r="H681" s="1" t="str">
        <f t="shared" si="339"/>
        <v>无</v>
      </c>
      <c r="I681" s="1" t="str">
        <f>"200809-201107 河南工业大学 化学工业职业学院 机电一体化专业 就读，全日制学历
201107-201908 淅川县粉末冶金厂
201909-至今 淅川县公安局 "</f>
        <v>200809-201107 河南工业大学 化学工业职业学院 机电一体化专业 就读，全日制学历
201107-201908 淅川县粉末冶金厂
201909-至今 淅川县公安局 </v>
      </c>
    </row>
    <row r="682" spans="1:9">
      <c r="A682" s="1" t="str">
        <f>"411326200101132410"</f>
        <v>411326200101132410</v>
      </c>
      <c r="B682" s="1" t="str">
        <f t="shared" ref="B682:B688" si="344">"共青团员"</f>
        <v>共青团员</v>
      </c>
      <c r="C682" s="1" t="str">
        <f t="shared" ref="C682:C688" si="345">"本科"</f>
        <v>本科</v>
      </c>
      <c r="D682" s="1" t="str">
        <f>"20220630"</f>
        <v>20220630</v>
      </c>
      <c r="E682" s="1" t="str">
        <f>"空军军医大学"</f>
        <v>空军军医大学</v>
      </c>
      <c r="F682" s="1" t="str">
        <f>"药学"</f>
        <v>药学</v>
      </c>
      <c r="G682" s="1" t="str">
        <f>"南召县城关镇健康路健康小区"</f>
        <v>南召县城关镇健康路健康小区</v>
      </c>
      <c r="H682" s="1" t="str">
        <f>"执业药师 "</f>
        <v>执业药师 </v>
      </c>
      <c r="I682" s="1" t="str">
        <f>"201809-202206 空军军医大学药学系药学专业就读 全日制"</f>
        <v>201809-202206 空军军医大学药学系药学专业就读 全日制</v>
      </c>
    </row>
    <row r="683" spans="1:9">
      <c r="A683" s="1" t="str">
        <f>"411327200111190063"</f>
        <v>411327200111190063</v>
      </c>
      <c r="B683" s="1" t="str">
        <f t="shared" si="343"/>
        <v>群众</v>
      </c>
      <c r="C683" s="1" t="str">
        <f t="shared" si="342"/>
        <v>专科</v>
      </c>
      <c r="D683" s="1" t="str">
        <f>"20230701"</f>
        <v>20230701</v>
      </c>
      <c r="E683" s="1" t="str">
        <f>"洛阳职业技术学院"</f>
        <v>洛阳职业技术学院</v>
      </c>
      <c r="F683" s="1" t="str">
        <f>"医学检验技术"</f>
        <v>医学检验技术</v>
      </c>
      <c r="G683" s="1" t="str">
        <f>"河南省南阳市内乡县"</f>
        <v>河南省南阳市内乡县</v>
      </c>
      <c r="H683" s="1" t="str">
        <f t="shared" ref="H683:H685" si="346">"无"</f>
        <v>无</v>
      </c>
      <c r="I683" s="1" t="str">
        <f>"202010-202307就读于洛阳职业技术学院医学检验技术专业
"</f>
        <v>202010-202307就读于洛阳职业技术学院医学检验技术专业
</v>
      </c>
    </row>
    <row r="684" spans="1:9">
      <c r="A684" s="1" t="str">
        <f>"411330199410300034"</f>
        <v>411330199410300034</v>
      </c>
      <c r="B684" s="1" t="str">
        <f t="shared" si="343"/>
        <v>群众</v>
      </c>
      <c r="C684" s="1" t="str">
        <f t="shared" si="342"/>
        <v>专科</v>
      </c>
      <c r="D684" s="1" t="str">
        <f>"20160701"</f>
        <v>20160701</v>
      </c>
      <c r="E684" s="1" t="str">
        <f>"河南水利与环境职业学院"</f>
        <v>河南水利与环境职业学院</v>
      </c>
      <c r="F684" s="1" t="str">
        <f>"水利工程"</f>
        <v>水利工程</v>
      </c>
      <c r="G684" s="1" t="str">
        <f>"河南省南阳市西峡县丹水镇丹水村"</f>
        <v>河南省南阳市西峡县丹水镇丹水村</v>
      </c>
      <c r="H684" s="1" t="str">
        <f t="shared" si="346"/>
        <v>无</v>
      </c>
      <c r="I684" s="1" t="str">
        <f>"201309-201607 河南水利与环境职业学院，专业：水利工程，全日制学历。"</f>
        <v>201309-201607 河南水利与环境职业学院，专业：水利工程，全日制学历。</v>
      </c>
    </row>
    <row r="685" spans="1:9">
      <c r="A685" s="1" t="str">
        <f>"370921200001152729"</f>
        <v>370921200001152729</v>
      </c>
      <c r="B685" s="1" t="str">
        <f t="shared" si="343"/>
        <v>群众</v>
      </c>
      <c r="C685" s="1" t="str">
        <f>"硕士研究生"</f>
        <v>硕士研究生</v>
      </c>
      <c r="D685" s="1" t="str">
        <f>"2025-06-30"</f>
        <v>2025-06-30</v>
      </c>
      <c r="E685" s="1" t="str">
        <f>"海南大学"</f>
        <v>海南大学</v>
      </c>
      <c r="F685" s="1" t="str">
        <f>"资源利用与植物保护"</f>
        <v>资源利用与植物保护</v>
      </c>
      <c r="G685" s="1" t="str">
        <f>"山东省泰安市宁阳县东疏镇老王庄75号"</f>
        <v>山东省泰安市宁阳县东疏镇老王庄75号</v>
      </c>
      <c r="H685" s="1" t="str">
        <f t="shared" si="346"/>
        <v>无</v>
      </c>
      <c r="I685" s="1" t="str">
        <f>"201809-202206  潍坊科技学院贾思勰农学院 园艺专业
202209-202506 海南大学热带农林学院 资源利用与植物保护专业"</f>
        <v>201809-202206  潍坊科技学院贾思勰农学院 园艺专业
202209-202506 海南大学热带农林学院 资源利用与植物保护专业</v>
      </c>
    </row>
    <row r="686" spans="1:9">
      <c r="A686" s="1" t="str">
        <f>"411327200111082011"</f>
        <v>411327200111082011</v>
      </c>
      <c r="B686" s="1" t="str">
        <f t="shared" si="344"/>
        <v>共青团员</v>
      </c>
      <c r="C686" s="1" t="str">
        <f t="shared" si="345"/>
        <v>本科</v>
      </c>
      <c r="D686" s="1" t="str">
        <f>"20250607"</f>
        <v>20250607</v>
      </c>
      <c r="E686" s="1" t="str">
        <f>"河南农业大学"</f>
        <v>河南农业大学</v>
      </c>
      <c r="F686" s="1" t="str">
        <f>"财务管理（大数据财务决策）"</f>
        <v>财务管理（大数据财务决策）</v>
      </c>
      <c r="G686" s="1" t="str">
        <f>"河南省南阳市内乡县"</f>
        <v>河南省南阳市内乡县</v>
      </c>
      <c r="H686" s="1" t="str">
        <f>"初级会计证书"</f>
        <v>初级会计证书</v>
      </c>
      <c r="I686" s="1" t="str">
        <f>"202109-202506河南农业大学财务管理（大数据财务决策）专业就读，全日制
201709-202106内乡县高级中学就读"</f>
        <v>202109-202506河南农业大学财务管理（大数据财务决策）专业就读，全日制
201709-202106内乡县高级中学就读</v>
      </c>
    </row>
    <row r="687" spans="1:9">
      <c r="A687" s="1" t="str">
        <f>"410223200303123525"</f>
        <v>410223200303123525</v>
      </c>
      <c r="B687" s="1" t="str">
        <f t="shared" si="344"/>
        <v>共青团员</v>
      </c>
      <c r="C687" s="1" t="str">
        <f t="shared" si="345"/>
        <v>本科</v>
      </c>
      <c r="D687" s="1" t="str">
        <f>"20250620"</f>
        <v>20250620</v>
      </c>
      <c r="E687" s="1" t="str">
        <f>"吉林工商学院"</f>
        <v>吉林工商学院</v>
      </c>
      <c r="F687" s="1" t="str">
        <f>"税收学"</f>
        <v>税收学</v>
      </c>
      <c r="G687" s="1" t="str">
        <f>"河南省开封市尉氏县南曹乡东黄庄村"</f>
        <v>河南省开封市尉氏县南曹乡东黄庄村</v>
      </c>
      <c r="H687" s="1" t="str">
        <f>"初级会计证书"</f>
        <v>初级会计证书</v>
      </c>
      <c r="I687" s="1" t="str">
        <f>"202109-202506 吉林工商学院 就读 全日制"</f>
        <v>202109-202506 吉林工商学院 就读 全日制</v>
      </c>
    </row>
    <row r="688" spans="1:9">
      <c r="A688" s="1" t="str">
        <f>"411121199811050032"</f>
        <v>411121199811050032</v>
      </c>
      <c r="B688" s="1" t="str">
        <f t="shared" si="344"/>
        <v>共青团员</v>
      </c>
      <c r="C688" s="1" t="str">
        <f t="shared" si="345"/>
        <v>本科</v>
      </c>
      <c r="D688" s="1" t="str">
        <f>"20200630"</f>
        <v>20200630</v>
      </c>
      <c r="E688" s="1" t="str">
        <f>"赣南师范大学"</f>
        <v>赣南师范大学</v>
      </c>
      <c r="F688" s="1" t="str">
        <f>"环境设计"</f>
        <v>环境设计</v>
      </c>
      <c r="G688" s="1" t="str">
        <f>"河南省漯河市舞阳县舞泉镇人民路丽苑小区"</f>
        <v>河南省漯河市舞阳县舞泉镇人民路丽苑小区</v>
      </c>
      <c r="H688" s="1" t="str">
        <f t="shared" ref="H688:H695" si="347">"无"</f>
        <v>无</v>
      </c>
      <c r="I688" s="1" t="str">
        <f>"201609-202006 赣南师范大学美术学院环境设计专业 全日制学历
202007-202206 待业在家
202207-202506 舞阳县交通运输局从事公益性岗位
202507-至今 待业在家"</f>
        <v>201609-202006 赣南师范大学美术学院环境设计专业 全日制学历
202007-202206 待业在家
202207-202506 舞阳县交通运输局从事公益性岗位
202507-至今 待业在家</v>
      </c>
    </row>
    <row r="689" spans="1:9">
      <c r="A689" s="1" t="str">
        <f>"41132719970702313X"</f>
        <v>41132719970702313X</v>
      </c>
      <c r="B689" s="1" t="str">
        <f t="shared" ref="B689:B692" si="348">"群众"</f>
        <v>群众</v>
      </c>
      <c r="C689" s="1" t="str">
        <f t="shared" ref="C689:C694" si="349">"专科"</f>
        <v>专科</v>
      </c>
      <c r="D689" s="1" t="str">
        <f>"20250701"</f>
        <v>20250701</v>
      </c>
      <c r="E689" s="1" t="str">
        <f>"安阳师范学院"</f>
        <v>安阳师范学院</v>
      </c>
      <c r="F689" s="1" t="str">
        <f>"行政管理"</f>
        <v>行政管理</v>
      </c>
      <c r="G689" s="1" t="str">
        <f>"河南省南阳市内乡县"</f>
        <v>河南省南阳市内乡县</v>
      </c>
      <c r="H689" s="1" t="str">
        <f t="shared" si="347"/>
        <v>无</v>
      </c>
      <c r="I689" s="1" t="str">
        <f>"2016-09-2018-09  71770部队服役
2018-12-2021-03  夏馆派出所
2021-03-2023-02  南阳市示范性综合实践基地
2023-04-2025-07  安阳师范学院 行政管理就读"</f>
        <v>2016-09-2018-09  71770部队服役
2018-12-2021-03  夏馆派出所
2021-03-2023-02  南阳市示范性综合实践基地
2023-04-2025-07  安阳师范学院 行政管理就读</v>
      </c>
    </row>
    <row r="690" spans="1:9">
      <c r="A690" s="1" t="str">
        <f>"410527200110039812"</f>
        <v>410527200110039812</v>
      </c>
      <c r="B690" s="1" t="str">
        <f t="shared" si="348"/>
        <v>群众</v>
      </c>
      <c r="C690" s="1" t="str">
        <f t="shared" ref="C690:C695" si="350">"本科"</f>
        <v>本科</v>
      </c>
      <c r="D690" s="1" t="str">
        <f>"20230701"</f>
        <v>20230701</v>
      </c>
      <c r="E690" s="1" t="str">
        <f>"河南城建学院"</f>
        <v>河南城建学院</v>
      </c>
      <c r="F690" s="1" t="str">
        <f>"城乡规划（城市设计方向）"</f>
        <v>城乡规划（城市设计方向）</v>
      </c>
      <c r="G690" s="1" t="str">
        <f>"河南省安阳市内黄县东庄镇"</f>
        <v>河南省安阳市内黄县东庄镇</v>
      </c>
      <c r="H690" s="1" t="str">
        <f t="shared" si="347"/>
        <v>无</v>
      </c>
      <c r="I690" s="1" t="str">
        <f>"201809-202307 河南城建学院 就读
202307-202501 中铁十五局 就业
202501-至今 安阳市内黄县待业"</f>
        <v>201809-202307 河南城建学院 就读
202307-202501 中铁十五局 就业
202501-至今 安阳市内黄县待业</v>
      </c>
    </row>
    <row r="691" spans="1:9">
      <c r="A691" s="1" t="str">
        <f>"410324199912083713"</f>
        <v>410324199912083713</v>
      </c>
      <c r="B691" s="1" t="str">
        <f t="shared" si="348"/>
        <v>群众</v>
      </c>
      <c r="C691" s="1" t="str">
        <f t="shared" si="349"/>
        <v>专科</v>
      </c>
      <c r="D691" s="1" t="str">
        <f>"20200701"</f>
        <v>20200701</v>
      </c>
      <c r="E691" s="1" t="str">
        <f>"洛阳科技职业学院"</f>
        <v>洛阳科技职业学院</v>
      </c>
      <c r="F691" s="1" t="str">
        <f>"数控技术与应用"</f>
        <v>数控技术与应用</v>
      </c>
      <c r="G691" s="1" t="str">
        <f>"河南省洛阳市栾川县石庙镇"</f>
        <v>河南省洛阳市栾川县石庙镇</v>
      </c>
      <c r="H691" s="1" t="str">
        <f t="shared" si="347"/>
        <v>无</v>
      </c>
      <c r="I691" s="1" t="str">
        <f>"2015.9.1-2020.7.1  洛阳科技职业学院（大专）
2020.9.1-2021.8.30 栾川京东售后
2021.9.1-2023.9.1  北京武警
2023.9.1-至今         栾川县公安局"</f>
        <v>2015.9.1-2020.7.1  洛阳科技职业学院（大专）
2020.9.1-2021.8.30 栾川京东售后
2021.9.1-2023.9.1  北京武警
2023.9.1-至今         栾川县公安局</v>
      </c>
    </row>
    <row r="692" spans="1:9">
      <c r="A692" s="1" t="str">
        <f>"411327199504040036"</f>
        <v>411327199504040036</v>
      </c>
      <c r="B692" s="1" t="str">
        <f t="shared" si="348"/>
        <v>群众</v>
      </c>
      <c r="C692" s="1" t="str">
        <f t="shared" si="350"/>
        <v>本科</v>
      </c>
      <c r="D692" s="1" t="str">
        <f>"20190727"</f>
        <v>20190727</v>
      </c>
      <c r="E692" s="1" t="str">
        <f>"河南理工大学"</f>
        <v>河南理工大学</v>
      </c>
      <c r="F692" s="1" t="str">
        <f>"建筑环境与能源应用工程"</f>
        <v>建筑环境与能源应用工程</v>
      </c>
      <c r="G692" s="1" t="str">
        <f>"河南省南阳市内乡县海天楼20巷18号"</f>
        <v>河南省南阳市内乡县海天楼20巷18号</v>
      </c>
      <c r="H692" s="1" t="str">
        <f t="shared" si="347"/>
        <v>无</v>
      </c>
      <c r="I692" s="1" t="str">
        <f>"201409-201907 河南理工大学土木工程学院建筑环境与能源应用工程系建筑环境与能源应用工程专业就读 全日制本科
201908-201910 商丘市睢阳牧原农牧有限公司 就业
201911-201912夏邑县牧原农牧有限公司 就业
202001-202003 宁陵牧原农牧有限公司 就业
202004-202010 内乡县 待业
202011-202406 牧原肉食品有限公司 就业
202407至今 内乡县 待业"</f>
        <v>201409-201907 河南理工大学土木工程学院建筑环境与能源应用工程系建筑环境与能源应用工程专业就读 全日制本科
201908-201910 商丘市睢阳牧原农牧有限公司 就业
201911-201912夏邑县牧原农牧有限公司 就业
202001-202003 宁陵牧原农牧有限公司 就业
202004-202010 内乡县 待业
202011-202406 牧原肉食品有限公司 就业
202407至今 内乡县 待业</v>
      </c>
    </row>
    <row r="693" spans="1:9">
      <c r="A693" s="1" t="str">
        <f>"411327200110130122"</f>
        <v>411327200110130122</v>
      </c>
      <c r="B693" s="1" t="str">
        <f>"共青团员"</f>
        <v>共青团员</v>
      </c>
      <c r="C693" s="1" t="str">
        <f t="shared" si="349"/>
        <v>专科</v>
      </c>
      <c r="D693" s="1" t="str">
        <f>"20220630"</f>
        <v>20220630</v>
      </c>
      <c r="E693" s="1" t="str">
        <f>"南阳市农业职业学院"</f>
        <v>南阳市农业职业学院</v>
      </c>
      <c r="F693" s="1" t="str">
        <f>"园林技术"</f>
        <v>园林技术</v>
      </c>
      <c r="G693" s="1" t="str">
        <f>"河南省内乡县城关镇郦都大道"</f>
        <v>河南省内乡县城关镇郦都大道</v>
      </c>
      <c r="H693" s="1" t="str">
        <f t="shared" si="347"/>
        <v>无</v>
      </c>
      <c r="I693" s="1" t="str">
        <f>"201909-202206在南阳农业职业学院农业科学系园林技术专业就读"</f>
        <v>201909-202206在南阳农业职业学院农业科学系园林技术专业就读</v>
      </c>
    </row>
    <row r="694" spans="1:9">
      <c r="A694" s="1" t="str">
        <f>"411327200211070018"</f>
        <v>411327200211070018</v>
      </c>
      <c r="B694" s="1" t="str">
        <f>"群众"</f>
        <v>群众</v>
      </c>
      <c r="C694" s="1" t="str">
        <f t="shared" si="349"/>
        <v>专科</v>
      </c>
      <c r="D694" s="1" t="str">
        <f>"20250613"</f>
        <v>20250613</v>
      </c>
      <c r="E694" s="1" t="str">
        <f>"河南水利与环境职业学院"</f>
        <v>河南水利与环境职业学院</v>
      </c>
      <c r="F694" s="1" t="str">
        <f>"建筑工程技术"</f>
        <v>建筑工程技术</v>
      </c>
      <c r="G694" s="1" t="str">
        <f>"河南省内乡县城关镇广源路78号"</f>
        <v>河南省内乡县城关镇广源路78号</v>
      </c>
      <c r="H694" s="1" t="str">
        <f t="shared" si="347"/>
        <v>无</v>
      </c>
      <c r="I694" s="1" t="str">
        <f>"202209-202506 河南水利与环境职业学院土木工程系建筑工程技术专业，全日制学历"</f>
        <v>202209-202506 河南水利与环境职业学院土木工程系建筑工程技术专业，全日制学历</v>
      </c>
    </row>
    <row r="695" spans="1:9">
      <c r="A695" s="1" t="str">
        <f>"411327200106281569"</f>
        <v>411327200106281569</v>
      </c>
      <c r="B695" s="1" t="str">
        <f t="shared" ref="B695:B698" si="351">"中共党员"</f>
        <v>中共党员</v>
      </c>
      <c r="C695" s="1" t="str">
        <f t="shared" si="350"/>
        <v>本科</v>
      </c>
      <c r="D695" s="1" t="str">
        <f>"20230701"</f>
        <v>20230701</v>
      </c>
      <c r="E695" s="1" t="str">
        <f>"河南农业大学"</f>
        <v>河南农业大学</v>
      </c>
      <c r="F695" s="1" t="str">
        <f>"行政管理（农村社区管理）"</f>
        <v>行政管理（农村社区管理）</v>
      </c>
      <c r="G695" s="1" t="str">
        <f>"河南省南阳市内乡县新都花苑"</f>
        <v>河南省南阳市内乡县新都花苑</v>
      </c>
      <c r="H695" s="1" t="str">
        <f t="shared" si="347"/>
        <v>无</v>
      </c>
      <c r="I695" s="1" t="str">
        <f>"201909-202307 河南农业大学 许昌校区 行政管理（农村社区管理）专业  全日制
202307-至今  待业"</f>
        <v>201909-202307 河南农业大学 许昌校区 行政管理（农村社区管理）专业  全日制
202307-至今  待业</v>
      </c>
    </row>
    <row r="696" spans="1:9">
      <c r="A696" s="1" t="str">
        <f>"652327199309133822"</f>
        <v>652327199309133822</v>
      </c>
      <c r="B696" s="1" t="str">
        <f t="shared" si="351"/>
        <v>中共党员</v>
      </c>
      <c r="C696" s="1" t="str">
        <f>"硕士研究生"</f>
        <v>硕士研究生</v>
      </c>
      <c r="D696" s="1" t="str">
        <f>"20210722"</f>
        <v>20210722</v>
      </c>
      <c r="E696" s="1" t="str">
        <f>"新疆农业大学"</f>
        <v>新疆农业大学</v>
      </c>
      <c r="F696" s="1" t="str">
        <f>"农村发展"</f>
        <v>农村发展</v>
      </c>
      <c r="G696" s="1" t="str">
        <f>"郑州市二七区西工房社区37号楼"</f>
        <v>郑州市二七区西工房社区37号楼</v>
      </c>
      <c r="H696" s="1" t="str">
        <f>"银行从业证 基金从业证 证券从业证 计算机二级 普通话证书 英语四级"</f>
        <v>银行从业证 基金从业证 证券从业证 计算机二级 普通话证书 英语四级</v>
      </c>
      <c r="I696" s="1" t="str">
        <f>"201509-201907新疆大学科学技术学院就读本科(新疆理工学院)，经贸管理学院，工商管理专业 全日制学历；
201909-202107，新疆农业大学就读硕士研究生，管理学院 农村发展专业 全日制学历；
202110-202410，乌鲁木齐银行股份有限公司工作，正式员工(工作期间人事档案和党员档案都在该单位)；
202411-202504，备考博士；
202505-202507，兼职和备考事业编。"</f>
        <v>201509-201907新疆大学科学技术学院就读本科(新疆理工学院)，经贸管理学院，工商管理专业 全日制学历；
201909-202107，新疆农业大学就读硕士研究生，管理学院 农村发展专业 全日制学历；
202110-202410，乌鲁木齐银行股份有限公司工作，正式员工(工作期间人事档案和党员档案都在该单位)；
202411-202504，备考博士；
202505-202507，兼职和备考事业编。</v>
      </c>
    </row>
    <row r="697" spans="1:9">
      <c r="A697" s="1" t="str">
        <f>"411327200209060312"</f>
        <v>411327200209060312</v>
      </c>
      <c r="B697" s="1" t="str">
        <f>"共青团员"</f>
        <v>共青团员</v>
      </c>
      <c r="C697" s="1" t="str">
        <f t="shared" ref="C697:C703" si="352">"本科"</f>
        <v>本科</v>
      </c>
      <c r="D697" s="1" t="str">
        <f>"20250630"</f>
        <v>20250630</v>
      </c>
      <c r="E697" s="1" t="str">
        <f>"郑州工程技术学院"</f>
        <v>郑州工程技术学院</v>
      </c>
      <c r="F697" s="1" t="str">
        <f>"食品科学与工程"</f>
        <v>食品科学与工程</v>
      </c>
      <c r="G697" s="1" t="str">
        <f>"河南省南阳市内乡县大桥乡"</f>
        <v>河南省南阳市内乡县大桥乡</v>
      </c>
      <c r="H697" s="1" t="str">
        <f>"西式面点师"</f>
        <v>西式面点师</v>
      </c>
      <c r="I697" s="1" t="str">
        <f>"202109-202506 郑州工程技术学院食品与健康工程学院食品科学与工程专业就读，是全日制"</f>
        <v>202109-202506 郑州工程技术学院食品与健康工程学院食品科学与工程专业就读，是全日制</v>
      </c>
    </row>
    <row r="698" spans="1:9">
      <c r="A698" s="1" t="str">
        <f>"411327200102164226"</f>
        <v>411327200102164226</v>
      </c>
      <c r="B698" s="1" t="str">
        <f t="shared" si="351"/>
        <v>中共党员</v>
      </c>
      <c r="C698" s="1" t="str">
        <f t="shared" si="352"/>
        <v>本科</v>
      </c>
      <c r="D698" s="1" t="str">
        <f>"20230701"</f>
        <v>20230701</v>
      </c>
      <c r="E698" s="1" t="str">
        <f>"河南科技学院"</f>
        <v>河南科技学院</v>
      </c>
      <c r="F698" s="1" t="str">
        <f>"动物科学"</f>
        <v>动物科学</v>
      </c>
      <c r="G698" s="1" t="str">
        <f>"河南省南阳市内乡县湍东镇"</f>
        <v>河南省南阳市内乡县湍东镇</v>
      </c>
      <c r="H698" s="1" t="str">
        <f t="shared" ref="H698:H700" si="353">"无"</f>
        <v>无</v>
      </c>
      <c r="I698" s="1" t="str">
        <f>"201909-202306 在河南科技学院动物科学学院动物科学专业就读，是全日制学历。202309-202403 在郑州新融农牧有限公司化验室工作。202404-202503 在漯河双汇有限公司统计岗位工作。202504-至今在内乡县余关乡独树村待业。"</f>
        <v>201909-202306 在河南科技学院动物科学学院动物科学专业就读，是全日制学历。202309-202403 在郑州新融农牧有限公司化验室工作。202404-202503 在漯河双汇有限公司统计岗位工作。202504-至今在内乡县余关乡独树村待业。</v>
      </c>
    </row>
    <row r="699" ht="121.5" spans="1:9">
      <c r="A699" s="1" t="str">
        <f>"411327199505154545"</f>
        <v>411327199505154545</v>
      </c>
      <c r="B699" s="1" t="str">
        <f>"群众"</f>
        <v>群众</v>
      </c>
      <c r="C699" s="1" t="str">
        <f t="shared" si="352"/>
        <v>本科</v>
      </c>
      <c r="D699" s="1" t="str">
        <f>"20170607"</f>
        <v>20170607</v>
      </c>
      <c r="E699" s="1" t="str">
        <f>"重庆工商大学"</f>
        <v>重庆工商大学</v>
      </c>
      <c r="F699" s="1" t="str">
        <f>"环境工程"</f>
        <v>环境工程</v>
      </c>
      <c r="G699" s="1" t="str">
        <f>"内乡县赵店乡张庄村庄东55号"</f>
        <v>内乡县赵店乡张庄村庄东55号</v>
      </c>
      <c r="H699" s="1" t="str">
        <f t="shared" si="353"/>
        <v>无</v>
      </c>
      <c r="I699" s="3" t="s">
        <v>213</v>
      </c>
    </row>
    <row r="700" spans="1:9">
      <c r="A700" s="1" t="str">
        <f>"411327199706154568"</f>
        <v>411327199706154568</v>
      </c>
      <c r="B700" s="1" t="str">
        <f>"中共党员"</f>
        <v>中共党员</v>
      </c>
      <c r="C700" s="1" t="str">
        <f t="shared" si="352"/>
        <v>本科</v>
      </c>
      <c r="D700" s="1" t="str">
        <f>"20110701"</f>
        <v>20110701</v>
      </c>
      <c r="E700" s="1" t="str">
        <f>"河南城建学院"</f>
        <v>河南城建学院</v>
      </c>
      <c r="F700" s="1" t="str">
        <f>"英语"</f>
        <v>英语</v>
      </c>
      <c r="G700" s="1" t="str">
        <f>"南阳市内乡县赵店乡"</f>
        <v>南阳市内乡县赵店乡</v>
      </c>
      <c r="H700" s="1" t="str">
        <f t="shared" si="353"/>
        <v>无</v>
      </c>
      <c r="I700" s="1" t="str">
        <f>"201709-202107河南城建学院就读，202107-202212鹏祥智慧保安有限公司就业，202301-至今天津众拓顺达安保服务有限海南分公司就业"</f>
        <v>201709-202107河南城建学院就读，202107-202212鹏祥智慧保安有限公司就业，202301-至今天津众拓顺达安保服务有限海南分公司就业</v>
      </c>
    </row>
    <row r="701" spans="1:9">
      <c r="A701" s="1" t="str">
        <f>"411327200003281523"</f>
        <v>411327200003281523</v>
      </c>
      <c r="B701" s="1" t="str">
        <f>"中共预备党员"</f>
        <v>中共预备党员</v>
      </c>
      <c r="C701" s="1" t="str">
        <f t="shared" si="352"/>
        <v>本科</v>
      </c>
      <c r="D701" s="1" t="str">
        <f>"20220701"</f>
        <v>20220701</v>
      </c>
      <c r="E701" s="1" t="str">
        <f>"河南财经政法大学"</f>
        <v>河南财经政法大学</v>
      </c>
      <c r="F701" s="1" t="str">
        <f>"会计学"</f>
        <v>会计学</v>
      </c>
      <c r="G701" s="1" t="str">
        <f>"河南省南阳市内乡县湍东镇庞营村八组42号"</f>
        <v>河南省南阳市内乡县湍东镇庞营村八组42号</v>
      </c>
      <c r="H701" s="1" t="str">
        <f>"初级会计师"</f>
        <v>初级会计师</v>
      </c>
      <c r="I701" s="1" t="str">
        <f>"201809-202207 河南财经政法大学 会计学院 会计学专业就读
202207-202303 在河南省内乡县待业
202303-202407 河南牧原建筑工程有限公司就业
202407-202507 在河南省内乡县待业"</f>
        <v>201809-202207 河南财经政法大学 会计学院 会计学专业就读
202207-202303 在河南省内乡县待业
202303-202407 河南牧原建筑工程有限公司就业
202407-202507 在河南省内乡县待业</v>
      </c>
    </row>
    <row r="702" spans="1:9">
      <c r="A702" s="1" t="str">
        <f>"411323200101140024"</f>
        <v>411323200101140024</v>
      </c>
      <c r="B702" s="1" t="str">
        <f t="shared" ref="B702:B709" si="354">"共青团员"</f>
        <v>共青团员</v>
      </c>
      <c r="C702" s="1" t="str">
        <f t="shared" si="352"/>
        <v>本科</v>
      </c>
      <c r="D702" s="1" t="str">
        <f>"20220701"</f>
        <v>20220701</v>
      </c>
      <c r="E702" s="1" t="str">
        <f>"洛阳理工学院"</f>
        <v>洛阳理工学院</v>
      </c>
      <c r="F702" s="1" t="str">
        <f>"环境工程"</f>
        <v>环境工程</v>
      </c>
      <c r="G702" s="1" t="str">
        <f>"河南省南阳市淅川县城关镇人民路256号"</f>
        <v>河南省南阳市淅川县城关镇人民路256号</v>
      </c>
      <c r="H702" s="1" t="str">
        <f t="shared" ref="H702:H709" si="355">"无"</f>
        <v>无</v>
      </c>
      <c r="I702" s="1" t="str">
        <f>"201809-202207 洛阳理工学院 就读。全日制学历；202207-202507在河南省南阳市淅川县待业。"</f>
        <v>201809-202207 洛阳理工学院 就读。全日制学历；202207-202507在河南省南阳市淅川县待业。</v>
      </c>
    </row>
    <row r="703" spans="1:9">
      <c r="A703" s="1" t="str">
        <f>"411324200204090521"</f>
        <v>411324200204090521</v>
      </c>
      <c r="B703" s="1" t="str">
        <f t="shared" ref="B703:B706" si="356">"群众"</f>
        <v>群众</v>
      </c>
      <c r="C703" s="1" t="str">
        <f t="shared" si="352"/>
        <v>本科</v>
      </c>
      <c r="D703" s="1" t="str">
        <f>"20250617"</f>
        <v>20250617</v>
      </c>
      <c r="E703" s="1" t="str">
        <f>"商丘学院"</f>
        <v>商丘学院</v>
      </c>
      <c r="F703" s="1" t="str">
        <f>"学前教育（师范）"</f>
        <v>学前教育（师范）</v>
      </c>
      <c r="G703" s="1" t="str">
        <f>"河南省镇平县东青颐和府"</f>
        <v>河南省镇平县东青颐和府</v>
      </c>
      <c r="H703" s="1" t="str">
        <f>"保育师三级"</f>
        <v>保育师三级</v>
      </c>
      <c r="I703" s="1" t="str">
        <f>"202009-202306 商丘学院人文学院语文教育（师范）专业就读，全日制学历，专科；
202309-202506 商丘学院文学与教育学部学前教育（师范）专业就读，全日制学历，本科；"</f>
        <v>202009-202306 商丘学院人文学院语文教育（师范）专业就读，全日制学历，专科；
202309-202506 商丘学院文学与教育学部学前教育（师范）专业就读，全日制学历，本科；</v>
      </c>
    </row>
    <row r="704" spans="1:9">
      <c r="A704" s="1" t="str">
        <f>"411722200401200522"</f>
        <v>411722200401200522</v>
      </c>
      <c r="B704" s="1" t="str">
        <f t="shared" si="354"/>
        <v>共青团员</v>
      </c>
      <c r="C704" s="1" t="str">
        <f>"专科"</f>
        <v>专科</v>
      </c>
      <c r="D704" s="1" t="str">
        <f>"20240628"</f>
        <v>20240628</v>
      </c>
      <c r="E704" s="1" t="str">
        <f>"漯河职业技术学院"</f>
        <v>漯河职业技术学院</v>
      </c>
      <c r="F704" s="1" t="str">
        <f>"小学教育（师范）"</f>
        <v>小学教育（师范）</v>
      </c>
      <c r="G704" s="1" t="str">
        <f>"河南省驻马店市驿城区金河街道谷邢庄小区"</f>
        <v>河南省驻马店市驿城区金河街道谷邢庄小区</v>
      </c>
      <c r="H704" s="1" t="str">
        <f t="shared" si="355"/>
        <v>无</v>
      </c>
      <c r="I704" s="1" t="str">
        <f>"202109－202406    漯河职业技术学院  小学教育专业就读，全日制大专
202407－202506    河南省驻马店市上蔡县吴桥小学代课"</f>
        <v>202109－202406    漯河职业技术学院  小学教育专业就读，全日制大专
202407－202506    河南省驻马店市上蔡县吴桥小学代课</v>
      </c>
    </row>
    <row r="705" spans="1:9">
      <c r="A705" s="1" t="str">
        <f>"411327199609112518"</f>
        <v>411327199609112518</v>
      </c>
      <c r="B705" s="1" t="str">
        <f t="shared" si="356"/>
        <v>群众</v>
      </c>
      <c r="C705" s="1" t="str">
        <f t="shared" ref="C705:C710" si="357">"本科"</f>
        <v>本科</v>
      </c>
      <c r="D705" s="1" t="str">
        <f>"20190701"</f>
        <v>20190701</v>
      </c>
      <c r="E705" s="1" t="str">
        <f>"河南工业大学"</f>
        <v>河南工业大学</v>
      </c>
      <c r="F705" s="1" t="str">
        <f>"粮食工程"</f>
        <v>粮食工程</v>
      </c>
      <c r="G705" s="1" t="str">
        <f>"河南省南阳市内乡县王店镇河东村"</f>
        <v>河南省南阳市内乡县王店镇河东村</v>
      </c>
      <c r="H705" s="1" t="str">
        <f t="shared" si="355"/>
        <v>无</v>
      </c>
      <c r="I705" s="1" t="str">
        <f>"201509-201906 河南工业大学粮油食品学院粮食工程专业 就读，全日制学历；
"</f>
        <v>201509-201906 河南工业大学粮油食品学院粮食工程专业 就读，全日制学历；
</v>
      </c>
    </row>
    <row r="706" spans="1:9">
      <c r="A706" s="1" t="str">
        <f>"411327199502064552"</f>
        <v>411327199502064552</v>
      </c>
      <c r="B706" s="1" t="str">
        <f t="shared" si="356"/>
        <v>群众</v>
      </c>
      <c r="C706" s="1" t="str">
        <f t="shared" si="357"/>
        <v>本科</v>
      </c>
      <c r="D706" s="1" t="str">
        <f>"20210701"</f>
        <v>20210701</v>
      </c>
      <c r="E706" s="1" t="str">
        <f>"河南师范大学"</f>
        <v>河南师范大学</v>
      </c>
      <c r="F706" s="1" t="str">
        <f>"体育教育"</f>
        <v>体育教育</v>
      </c>
      <c r="G706" s="1" t="str">
        <f>"河南省内乡县赵店乡聂岗村彭岗"</f>
        <v>河南省内乡县赵店乡聂岗村彭岗</v>
      </c>
      <c r="H706" s="1" t="str">
        <f t="shared" si="355"/>
        <v>无</v>
      </c>
      <c r="I706" s="1" t="str">
        <f>"201709-202107 河南师范大学体育学院体育教育专业就读，是全日制。
202107-202207 在家待业
202207-至今 内乡郦都学校担任体育教师
"</f>
        <v>201709-202107 河南师范大学体育学院体育教育专业就读，是全日制。
202107-202207 在家待业
202207-至今 内乡郦都学校担任体育教师
</v>
      </c>
    </row>
    <row r="707" spans="1:9">
      <c r="A707" s="1" t="str">
        <f>"411327200403170048"</f>
        <v>411327200403170048</v>
      </c>
      <c r="B707" s="1" t="str">
        <f t="shared" si="354"/>
        <v>共青团员</v>
      </c>
      <c r="C707" s="1" t="str">
        <f t="shared" si="357"/>
        <v>本科</v>
      </c>
      <c r="D707" s="1" t="str">
        <f>"20250701"</f>
        <v>20250701</v>
      </c>
      <c r="E707" s="1" t="str">
        <f>"信阳师范大学"</f>
        <v>信阳师范大学</v>
      </c>
      <c r="F707" s="1" t="str">
        <f>"旅游管理"</f>
        <v>旅游管理</v>
      </c>
      <c r="G707" s="1" t="str">
        <f>"河南省南阳市内乡县天春苑小区"</f>
        <v>河南省南阳市内乡县天春苑小区</v>
      </c>
      <c r="H707" s="1" t="str">
        <f t="shared" si="355"/>
        <v>无</v>
      </c>
      <c r="I707" s="1" t="str">
        <f>"202109-202507 信阳师范大学学校 就读。2021年9月至2025年7月在信阳师范大学旅游学院旅游管理专业就读，是全日制学历"</f>
        <v>202109-202507 信阳师范大学学校 就读。2021年9月至2025年7月在信阳师范大学旅游学院旅游管理专业就读，是全日制学历</v>
      </c>
    </row>
    <row r="708" spans="1:9">
      <c r="A708" s="1" t="str">
        <f>"411327200106122517"</f>
        <v>411327200106122517</v>
      </c>
      <c r="B708" s="1" t="str">
        <f t="shared" si="354"/>
        <v>共青团员</v>
      </c>
      <c r="C708" s="1" t="str">
        <f t="shared" si="357"/>
        <v>本科</v>
      </c>
      <c r="D708" s="1" t="str">
        <f>"20240715"</f>
        <v>20240715</v>
      </c>
      <c r="E708" s="1" t="str">
        <f>"江西理工大学"</f>
        <v>江西理工大学</v>
      </c>
      <c r="F708" s="1" t="str">
        <f>"机械设计制造及其自动化"</f>
        <v>机械设计制造及其自动化</v>
      </c>
      <c r="G708" s="1" t="str">
        <f>"河南省南阳市内乡县王店镇石桥村任沟西465号"</f>
        <v>河南省南阳市内乡县王店镇石桥村任沟西465号</v>
      </c>
      <c r="H708" s="1" t="str">
        <f t="shared" si="355"/>
        <v>无</v>
      </c>
      <c r="I708" s="1" t="str">
        <f>"201909-202407江西理工大学机电工程学院机械设计制造及其自动化就读，是全日制学历。202407至今在内乡县王店镇石桥村任沟待业"</f>
        <v>201909-202407江西理工大学机电工程学院机械设计制造及其自动化就读，是全日制学历。202407至今在内乡县王店镇石桥村任沟待业</v>
      </c>
    </row>
    <row r="709" spans="1:9">
      <c r="A709" s="1" t="str">
        <f>"411327200109120621"</f>
        <v>411327200109120621</v>
      </c>
      <c r="B709" s="1" t="str">
        <f t="shared" si="354"/>
        <v>共青团员</v>
      </c>
      <c r="C709" s="1" t="str">
        <f t="shared" si="357"/>
        <v>本科</v>
      </c>
      <c r="D709" s="1" t="str">
        <f>"20250606"</f>
        <v>20250606</v>
      </c>
      <c r="E709" s="1" t="str">
        <f>"南阳师范学院"</f>
        <v>南阳师范学院</v>
      </c>
      <c r="F709" s="1" t="str">
        <f>"视觉传达设计"</f>
        <v>视觉传达设计</v>
      </c>
      <c r="G709" s="1" t="str">
        <f>"河南省内乡县马山口镇王场村"</f>
        <v>河南省内乡县马山口镇王场村</v>
      </c>
      <c r="H709" s="1" t="str">
        <f t="shared" si="355"/>
        <v>无</v>
      </c>
      <c r="I709" s="1" t="str">
        <f>"202009-202306 郑州师范学院 就读
202309-202506 南阳师范学院 就读"</f>
        <v>202009-202306 郑州师范学院 就读
202309-202506 南阳师范学院 就读</v>
      </c>
    </row>
    <row r="710" spans="1:9">
      <c r="A710" s="1" t="str">
        <f>"411327199507280051"</f>
        <v>411327199507280051</v>
      </c>
      <c r="B710" s="1" t="str">
        <f t="shared" ref="B710:B714" si="358">"群众"</f>
        <v>群众</v>
      </c>
      <c r="C710" s="1" t="str">
        <f t="shared" si="357"/>
        <v>本科</v>
      </c>
      <c r="D710" s="1" t="str">
        <f>"201807"</f>
        <v>201807</v>
      </c>
      <c r="E710" s="1" t="str">
        <f>"南阳师范学院"</f>
        <v>南阳师范学院</v>
      </c>
      <c r="F710" s="1" t="str">
        <f>"土木工程"</f>
        <v>土木工程</v>
      </c>
      <c r="G710" s="1" t="str">
        <f>"河南省南阳市内乡县城关镇书院村四组"</f>
        <v>河南省南阳市内乡县城关镇书院村四组</v>
      </c>
      <c r="H710" s="1" t="str">
        <f>"二级建造师"</f>
        <v>二级建造师</v>
      </c>
      <c r="I710" s="1" t="str">
        <f>"201309-201607河南交通职业技术学院
201609-201807南阳师范学院
201807-201912内乡待业 
201912-202010中建科技有限公司
202010-202203中建七局
202203-至今 内乡盐业有限公司"</f>
        <v>201309-201607河南交通职业技术学院
201609-201807南阳师范学院
201807-201912内乡待业 
201912-202010中建科技有限公司
202010-202203中建七局
202203-至今 内乡盐业有限公司</v>
      </c>
    </row>
    <row r="711" spans="1:9">
      <c r="A711" s="1" t="str">
        <f>"370802199804041213"</f>
        <v>370802199804041213</v>
      </c>
      <c r="B711" s="1" t="str">
        <f t="shared" si="358"/>
        <v>群众</v>
      </c>
      <c r="C711" s="1" t="str">
        <f t="shared" ref="C711:C714" si="359">"专科"</f>
        <v>专科</v>
      </c>
      <c r="D711" s="1" t="str">
        <f>"2022.06"</f>
        <v>2022.06</v>
      </c>
      <c r="E711" s="1" t="str">
        <f>"山东理工职业学院"</f>
        <v>山东理工职业学院</v>
      </c>
      <c r="F711" s="1" t="str">
        <f>"无人机应用技术"</f>
        <v>无人机应用技术</v>
      </c>
      <c r="G711" s="1" t="str">
        <f>"山东省济宁市任城区南苑街道凤凰城社区a区30号楼二单元302"</f>
        <v>山东省济宁市任城区南苑街道凤凰城社区a区30号楼二单元302</v>
      </c>
      <c r="H711" s="1" t="str">
        <f t="shared" ref="H711:H714" si="360">"无"</f>
        <v>无</v>
      </c>
      <c r="I711" s="1" t="str">
        <f>"2013.09-2015.09 山东山推高级技工学校 焊接应用专业学生 
2015.09- 2017.09陆军78集团军 战士
2017.09-2019.09济宁市特警大队110接处警中队 辅警
2019.09-2022.06 山东理工职业学院 无人机应用技术专业学生
2022.06-2024.06待业
2024.06-2024.12长沟派出所 辅警(2023.01- 2025.07通化师范学院 函授法学专业 学生 )
2024.12-2025.07至今待业"</f>
        <v>2013.09-2015.09 山东山推高级技工学校 焊接应用专业学生 
2015.09- 2017.09陆军78集团军 战士
2017.09-2019.09济宁市特警大队110接处警中队 辅警
2019.09-2022.06 山东理工职业学院 无人机应用技术专业学生
2022.06-2024.06待业
2024.06-2024.12长沟派出所 辅警(2023.01- 2025.07通化师范学院 函授法学专业 学生 )
2024.12-2025.07至今待业</v>
      </c>
    </row>
    <row r="712" spans="1:9">
      <c r="A712" s="1" t="str">
        <f>"411327200009181515"</f>
        <v>411327200009181515</v>
      </c>
      <c r="B712" s="1" t="str">
        <f>"中共党员"</f>
        <v>中共党员</v>
      </c>
      <c r="C712" s="1" t="str">
        <f t="shared" ref="C712:C721" si="361">"本科"</f>
        <v>本科</v>
      </c>
      <c r="D712" s="1" t="str">
        <f>"20220701"</f>
        <v>20220701</v>
      </c>
      <c r="E712" s="1" t="str">
        <f>"郑州工业应用技术学院"</f>
        <v>郑州工业应用技术学院</v>
      </c>
      <c r="F712" s="1" t="str">
        <f>"计算机科学与技术"</f>
        <v>计算机科学与技术</v>
      </c>
      <c r="G712" s="1" t="str">
        <f>"河南省内乡县湍东镇飞龙大道雅迪电动车专卖店"</f>
        <v>河南省内乡县湍东镇飞龙大道雅迪电动车专卖店</v>
      </c>
      <c r="H712" s="1" t="str">
        <f t="shared" si="360"/>
        <v>无</v>
      </c>
      <c r="I712" s="1" t="str">
        <f>"201809-202207 郑州工业应用技术学院 学生
202202-20225 成都理奥软件有限公司 数据库管理员
202208-202302 内乡牧原股份有限公司 生物安全专员
202302-202406  待业
202407-202503 内乡县公安局看护支队 辅警
202503-至今 待业
"</f>
        <v>201809-202207 郑州工业应用技术学院 学生
202202-20225 成都理奥软件有限公司 数据库管理员
202208-202302 内乡牧原股份有限公司 生物安全专员
202302-202406  待业
202407-202503 内乡县公安局看护支队 辅警
202503-至今 待业
</v>
      </c>
    </row>
    <row r="713" spans="1:9">
      <c r="A713" s="1" t="str">
        <f>"411327200107064566"</f>
        <v>411327200107064566</v>
      </c>
      <c r="B713" s="1" t="str">
        <f t="shared" si="358"/>
        <v>群众</v>
      </c>
      <c r="C713" s="1" t="str">
        <f t="shared" si="359"/>
        <v>专科</v>
      </c>
      <c r="D713" s="1" t="str">
        <f>"20190701"</f>
        <v>20190701</v>
      </c>
      <c r="E713" s="1" t="str">
        <f>"南阳医学高等专科学校"</f>
        <v>南阳医学高等专科学校</v>
      </c>
      <c r="F713" s="1" t="str">
        <f>"护理"</f>
        <v>护理</v>
      </c>
      <c r="G713" s="1" t="str">
        <f>"河南省南阳市内乡县"</f>
        <v>河南省南阳市内乡县</v>
      </c>
      <c r="H713" s="1" t="str">
        <f>"护士资格证"</f>
        <v>护士资格证</v>
      </c>
      <c r="I713" s="1" t="str">
        <f>"201909-202207南阳医学高等专科学校护理系全日制
201609-201907内乡县实验高中
201309-201607内乡实验初中
200809-201307赵店乡第一小学"</f>
        <v>201909-202207南阳医学高等专科学校护理系全日制
201609-201907内乡县实验高中
201309-201607内乡实验初中
200809-201307赵店乡第一小学</v>
      </c>
    </row>
    <row r="714" spans="1:9">
      <c r="A714" s="1" t="str">
        <f>"411381200211093031"</f>
        <v>411381200211093031</v>
      </c>
      <c r="B714" s="1" t="str">
        <f t="shared" si="358"/>
        <v>群众</v>
      </c>
      <c r="C714" s="1" t="str">
        <f t="shared" si="359"/>
        <v>专科</v>
      </c>
      <c r="D714" s="1" t="str">
        <f>"20250601"</f>
        <v>20250601</v>
      </c>
      <c r="E714" s="1" t="str">
        <f>"郑州电力高等专科学校"</f>
        <v>郑州电力高等专科学校</v>
      </c>
      <c r="F714" s="1" t="str">
        <f>"电力系统自动化技术"</f>
        <v>电力系统自动化技术</v>
      </c>
      <c r="G714" s="1" t="str">
        <f>"河南省郑州市中牟县郑州电力高等专科学校"</f>
        <v>河南省郑州市中牟县郑州电力高等专科学校</v>
      </c>
      <c r="H714" s="1" t="str">
        <f t="shared" si="360"/>
        <v>无</v>
      </c>
      <c r="I714" s="1" t="str">
        <f>"202209-202506 郑州电力高等专科学校就读"</f>
        <v>202209-202506 郑州电力高等专科学校就读</v>
      </c>
    </row>
    <row r="715" spans="1:9">
      <c r="A715" s="1" t="str">
        <f>"412702199901208176"</f>
        <v>412702199901208176</v>
      </c>
      <c r="B715" s="1" t="str">
        <f>"中共党员"</f>
        <v>中共党员</v>
      </c>
      <c r="C715" s="1" t="str">
        <f t="shared" si="361"/>
        <v>本科</v>
      </c>
      <c r="D715" s="1" t="str">
        <f>"2022-07-01"</f>
        <v>2022-07-01</v>
      </c>
      <c r="E715" s="1" t="str">
        <f>"黄河科技学院法学"</f>
        <v>黄河科技学院法学</v>
      </c>
      <c r="F715" s="1" t="str">
        <f>"法学"</f>
        <v>法学</v>
      </c>
      <c r="G715" s="1" t="str">
        <f>"河南省郑州市金水区永威五月花城"</f>
        <v>河南省郑州市金水区永威五月花城</v>
      </c>
      <c r="H715" s="1" t="str">
        <f>"大学英语四级证书"</f>
        <v>大学英语四级证书</v>
      </c>
      <c r="I715" s="1" t="str">
        <f>"201809-202207 黄河科技学院商学院法学就读 全日制"</f>
        <v>201809-202207 黄河科技学院商学院法学就读 全日制</v>
      </c>
    </row>
    <row r="716" spans="1:9">
      <c r="A716" s="1" t="str">
        <f>"411327200104283528"</f>
        <v>411327200104283528</v>
      </c>
      <c r="B716" s="1" t="str">
        <f>"群众"</f>
        <v>群众</v>
      </c>
      <c r="C716" s="1" t="str">
        <f t="shared" si="361"/>
        <v>本科</v>
      </c>
      <c r="D716" s="1" t="str">
        <f>"20230701"</f>
        <v>20230701</v>
      </c>
      <c r="E716" s="1" t="str">
        <f>"河南师范大学新联学院"</f>
        <v>河南师范大学新联学院</v>
      </c>
      <c r="F716" s="1" t="str">
        <f>"学前教育"</f>
        <v>学前教育</v>
      </c>
      <c r="G716" s="1" t="str">
        <f>"河南省南阳市内乡县板场乡"</f>
        <v>河南省南阳市内乡县板场乡</v>
      </c>
      <c r="H716" s="1" t="str">
        <f t="shared" ref="H716:H728" si="362">"无"</f>
        <v>无</v>
      </c>
      <c r="I716" s="1" t="str">
        <f>"201909-202307就读于河南师范大学新联学院学前教育专业，是全日制学历
202308-202406任职于黄店镇第一初级中学
202309-202506任职于菊潭小学"</f>
        <v>201909-202307就读于河南师范大学新联学院学前教育专业，是全日制学历
202308-202406任职于黄店镇第一初级中学
202309-202506任职于菊潭小学</v>
      </c>
    </row>
    <row r="717" spans="1:9">
      <c r="A717" s="1" t="str">
        <f>"41132719930624031X"</f>
        <v>41132719930624031X</v>
      </c>
      <c r="B717" s="1" t="str">
        <f>"群众"</f>
        <v>群众</v>
      </c>
      <c r="C717" s="1" t="str">
        <f t="shared" si="361"/>
        <v>本科</v>
      </c>
      <c r="D717" s="1" t="str">
        <f>"20150701"</f>
        <v>20150701</v>
      </c>
      <c r="E717" s="1" t="str">
        <f>"河南大学"</f>
        <v>河南大学</v>
      </c>
      <c r="F717" s="1" t="str">
        <f>"数学与应用数学"</f>
        <v>数学与应用数学</v>
      </c>
      <c r="G717" s="1" t="str">
        <f>"河南省南阳市内乡县城关镇金桂苑小区"</f>
        <v>河南省南阳市内乡县城关镇金桂苑小区</v>
      </c>
      <c r="H717" s="1" t="str">
        <f t="shared" si="362"/>
        <v>无</v>
      </c>
      <c r="I717" s="1" t="str">
        <f>"201109-201507 就读于河南大学 数学与信息科学学院 数学与应用数学专业，全日制学历；
201510-201705 技鹏新能源汽车有限公司 销售内勤
201710-202008 中国平安保险河南分公司 一处九课课长助理
202008-202110 内乡县城关镇金桂苑小区 待业
202110-至     今 内乡县公安局机关纪委内勤辅警"</f>
        <v>201109-201507 就读于河南大学 数学与信息科学学院 数学与应用数学专业，全日制学历；
201510-201705 技鹏新能源汽车有限公司 销售内勤
201710-202008 中国平安保险河南分公司 一处九课课长助理
202008-202110 内乡县城关镇金桂苑小区 待业
202110-至     今 内乡县公安局机关纪委内勤辅警</v>
      </c>
    </row>
    <row r="718" spans="1:9">
      <c r="A718" s="1" t="str">
        <f>"411327200203180057"</f>
        <v>411327200203180057</v>
      </c>
      <c r="B718" s="1" t="str">
        <f t="shared" ref="B718:B720" si="363">"共青团员"</f>
        <v>共青团员</v>
      </c>
      <c r="C718" s="1" t="str">
        <f t="shared" si="361"/>
        <v>本科</v>
      </c>
      <c r="D718" s="1" t="str">
        <f>"20250701"</f>
        <v>20250701</v>
      </c>
      <c r="E718" s="1" t="str">
        <f>"河南师范大学"</f>
        <v>河南师范大学</v>
      </c>
      <c r="F718" s="1" t="str">
        <f>"法学"</f>
        <v>法学</v>
      </c>
      <c r="G718" s="1" t="str">
        <f>"河南省南阳市内乡县湍东镇罗岗村"</f>
        <v>河南省南阳市内乡县湍东镇罗岗村</v>
      </c>
      <c r="H718" s="1" t="str">
        <f t="shared" si="362"/>
        <v>无</v>
      </c>
      <c r="I718" s="1" t="str">
        <f>"202110-202507 河南师范大学 就读
2021年10月-2025年7月在本校计算机科学与技术专业四年制全日制本科学习
2022年9月-2025年7月在本校辅修法学专业"</f>
        <v>202110-202507 河南师范大学 就读
2021年10月-2025年7月在本校计算机科学与技术专业四年制全日制本科学习
2022年9月-2025年7月在本校辅修法学专业</v>
      </c>
    </row>
    <row r="719" spans="1:9">
      <c r="A719" s="1" t="str">
        <f>"411725200408151523"</f>
        <v>411725200408151523</v>
      </c>
      <c r="B719" s="1" t="str">
        <f t="shared" si="363"/>
        <v>共青团员</v>
      </c>
      <c r="C719" s="1" t="str">
        <f t="shared" si="361"/>
        <v>本科</v>
      </c>
      <c r="D719" s="1" t="str">
        <f>"20240601"</f>
        <v>20240601</v>
      </c>
      <c r="E719" s="1" t="str">
        <f>"南阳师范学院"</f>
        <v>南阳师范学院</v>
      </c>
      <c r="F719" s="1" t="str">
        <f>"化学"</f>
        <v>化学</v>
      </c>
      <c r="G719" s="1" t="str">
        <f>"河南省驻马店市确山县留庄镇"</f>
        <v>河南省驻马店市确山县留庄镇</v>
      </c>
      <c r="H719" s="1" t="str">
        <f t="shared" si="362"/>
        <v>无</v>
      </c>
      <c r="I719" s="1" t="str">
        <f>"202009-202406 南阳师范学院化学与制药工程学院化学专业就读，是全日制学历"</f>
        <v>202009-202406 南阳师范学院化学与制药工程学院化学专业就读，是全日制学历</v>
      </c>
    </row>
    <row r="720" spans="1:9">
      <c r="A720" s="1" t="str">
        <f>"411324200109240034"</f>
        <v>411324200109240034</v>
      </c>
      <c r="B720" s="1" t="str">
        <f t="shared" si="363"/>
        <v>共青团员</v>
      </c>
      <c r="C720" s="1" t="str">
        <f t="shared" si="361"/>
        <v>本科</v>
      </c>
      <c r="D720" s="1" t="str">
        <f>"20230625"</f>
        <v>20230625</v>
      </c>
      <c r="E720" s="1" t="str">
        <f>"西北大学"</f>
        <v>西北大学</v>
      </c>
      <c r="F720" s="1" t="str">
        <f>"电子信息工程"</f>
        <v>电子信息工程</v>
      </c>
      <c r="G720" s="1" t="str">
        <f>"河南省镇平县碾坊庄村委会"</f>
        <v>河南省镇平县碾坊庄村委会</v>
      </c>
      <c r="H720" s="1" t="str">
        <f t="shared" si="362"/>
        <v>无</v>
      </c>
      <c r="I720" s="1" t="str">
        <f>"201909-202306 西北大学信息科学与技术学院电子信息工程专业就读 全日制学历 
202306-至今 于镇平县待业"</f>
        <v>201909-202306 西北大学信息科学与技术学院电子信息工程专业就读 全日制学历 
202306-至今 于镇平县待业</v>
      </c>
    </row>
    <row r="721" spans="1:9">
      <c r="A721" s="1" t="str">
        <f>"411327200009190024"</f>
        <v>411327200009190024</v>
      </c>
      <c r="B721" s="1" t="str">
        <f>"中共党员"</f>
        <v>中共党员</v>
      </c>
      <c r="C721" s="1" t="str">
        <f t="shared" si="361"/>
        <v>本科</v>
      </c>
      <c r="D721" s="1" t="str">
        <f>"20220610"</f>
        <v>20220610</v>
      </c>
      <c r="E721" s="1" t="str">
        <f>"新乡学院"</f>
        <v>新乡学院</v>
      </c>
      <c r="F721" s="1" t="str">
        <f>"生物技术"</f>
        <v>生物技术</v>
      </c>
      <c r="G721" s="1" t="str">
        <f>"河南省内乡县西关宏达路中原饭店"</f>
        <v>河南省内乡县西关宏达路中原饭店</v>
      </c>
      <c r="H721" s="1" t="str">
        <f t="shared" si="362"/>
        <v>无</v>
      </c>
      <c r="I721" s="1" t="str">
        <f>"201809-202206 新乡学院生物技术专业 全日制
202206-202211 待业
202211-至今 内乡县医保局"</f>
        <v>201809-202206 新乡学院生物技术专业 全日制
202206-202211 待业
202211-至今 内乡县医保局</v>
      </c>
    </row>
    <row r="722" spans="1:9">
      <c r="A722" s="1" t="str">
        <f>"411327199502074523"</f>
        <v>411327199502074523</v>
      </c>
      <c r="B722" s="1" t="str">
        <f t="shared" ref="B722:B724" si="364">"群众"</f>
        <v>群众</v>
      </c>
      <c r="C722" s="1" t="str">
        <f>"专科"</f>
        <v>专科</v>
      </c>
      <c r="D722" s="1" t="str">
        <f>"20160701"</f>
        <v>20160701</v>
      </c>
      <c r="E722" s="1" t="str">
        <f>"郑州工业应用技术学院"</f>
        <v>郑州工业应用技术学院</v>
      </c>
      <c r="F722" s="1" t="str">
        <f>"物流管理"</f>
        <v>物流管理</v>
      </c>
      <c r="G722" s="1" t="str">
        <f>"河南省南阳市内乡县新都花苑北门"</f>
        <v>河南省南阳市内乡县新都花苑北门</v>
      </c>
      <c r="H722" s="1" t="str">
        <f t="shared" si="362"/>
        <v>无</v>
      </c>
      <c r="I722" s="1" t="str">
        <f>"2013年9月至2016年7月，郑州工业应用技术学院管理学院，物流管理专业，全日制大专。
2021年10月至2024年1月， 待业。
2024年1月至今，南阳和信农牧科技有限公司，文员。"</f>
        <v>2013年9月至2016年7月，郑州工业应用技术学院管理学院，物流管理专业，全日制大专。
2021年10月至2024年1月， 待业。
2024年1月至今，南阳和信农牧科技有限公司，文员。</v>
      </c>
    </row>
    <row r="723" spans="1:9">
      <c r="A723" s="1" t="str">
        <f>"371424200702234826"</f>
        <v>371424200702234826</v>
      </c>
      <c r="B723" s="1" t="str">
        <f t="shared" si="364"/>
        <v>群众</v>
      </c>
      <c r="C723" s="1" t="str">
        <f t="shared" ref="C723:C728" si="365">"本科"</f>
        <v>本科</v>
      </c>
      <c r="D723" s="1" t="str">
        <f>"2024年6月30日"</f>
        <v>2024年6月30日</v>
      </c>
      <c r="E723" s="1" t="str">
        <f>"商丘师范学院"</f>
        <v>商丘师范学院</v>
      </c>
      <c r="F723" s="1" t="str">
        <f>"投资学"</f>
        <v>投资学</v>
      </c>
      <c r="G723" s="1" t="str">
        <f>"山东德州"</f>
        <v>山东德州</v>
      </c>
      <c r="H723" s="1" t="str">
        <f t="shared" si="362"/>
        <v>无</v>
      </c>
      <c r="I723" s="1" t="str">
        <f>"202009-202406商丘师范学院就读于经济管理学院投资系投资学专业，全日制本科.
202406-至今待业于山东省德州市临邑县兴隆镇王芳三十里社区"</f>
        <v>202009-202406商丘师范学院就读于经济管理学院投资系投资学专业，全日制本科.
202406-至今待业于山东省德州市临邑县兴隆镇王芳三十里社区</v>
      </c>
    </row>
    <row r="724" spans="1:9">
      <c r="A724" s="1" t="str">
        <f>"411324199803103042"</f>
        <v>411324199803103042</v>
      </c>
      <c r="B724" s="1" t="str">
        <f t="shared" si="364"/>
        <v>群众</v>
      </c>
      <c r="C724" s="1" t="str">
        <f>"专科"</f>
        <v>专科</v>
      </c>
      <c r="D724" s="1" t="str">
        <f>"2015年"</f>
        <v>2015年</v>
      </c>
      <c r="E724" s="1" t="str">
        <f>"南阳幼儿师范学院"</f>
        <v>南阳幼儿师范学院</v>
      </c>
      <c r="F724" s="1" t="str">
        <f>"学前专业"</f>
        <v>学前专业</v>
      </c>
      <c r="G724" s="1" t="str">
        <f>"内乡县城关镇建业森林半岛"</f>
        <v>内乡县城关镇建业森林半岛</v>
      </c>
      <c r="H724" s="1" t="str">
        <f t="shared" si="362"/>
        <v>无</v>
      </c>
      <c r="I724" s="1" t="str">
        <f>"2012年9月——2015年在南阳幼儿师范学院
2015年——2019年在县直幼儿园工作"</f>
        <v>2012年9月——2015年在南阳幼儿师范学院
2015年——2019年在县直幼儿园工作</v>
      </c>
    </row>
    <row r="725" spans="1:9">
      <c r="A725" s="1" t="str">
        <f>"411327199703220646"</f>
        <v>411327199703220646</v>
      </c>
      <c r="B725" s="1" t="str">
        <f>"中共党员"</f>
        <v>中共党员</v>
      </c>
      <c r="C725" s="1" t="str">
        <f t="shared" si="365"/>
        <v>本科</v>
      </c>
      <c r="D725" s="1" t="str">
        <f>"2020年7月"</f>
        <v>2020年7月</v>
      </c>
      <c r="E725" s="1" t="str">
        <f>"河南警察学院"</f>
        <v>河南警察学院</v>
      </c>
      <c r="F725" s="1" t="str">
        <f>"应用心理学"</f>
        <v>应用心理学</v>
      </c>
      <c r="G725" s="1" t="str">
        <f>"河南省南阳市内乡县马山口镇车站街"</f>
        <v>河南省南阳市内乡县马山口镇车站街</v>
      </c>
      <c r="H725" s="1" t="str">
        <f t="shared" si="362"/>
        <v>无</v>
      </c>
      <c r="I725" s="1" t="str">
        <f>"201609-202007 河南警察学院 公共基础教学部应用心理学专业就读
202007-202302 内乡县待业
202302-202506 内乡郦都学校任教"</f>
        <v>201609-202007 河南警察学院 公共基础教学部应用心理学专业就读
202007-202302 内乡县待业
202302-202506 内乡郦都学校任教</v>
      </c>
    </row>
    <row r="726" spans="1:9">
      <c r="A726" s="1" t="str">
        <f>"410182199709136528"</f>
        <v>410182199709136528</v>
      </c>
      <c r="B726" s="1" t="str">
        <f t="shared" ref="B726:B729" si="366">"群众"</f>
        <v>群众</v>
      </c>
      <c r="C726" s="1" t="str">
        <f t="shared" si="365"/>
        <v>本科</v>
      </c>
      <c r="D726" s="1" t="str">
        <f>"202207"</f>
        <v>202207</v>
      </c>
      <c r="E726" s="1" t="str">
        <f>"郑州大学"</f>
        <v>郑州大学</v>
      </c>
      <c r="F726" s="1" t="str">
        <f>"土木工程"</f>
        <v>土木工程</v>
      </c>
      <c r="G726" s="1" t="str">
        <f>"河南省郑州市新密市青屏街街道办翰林茗郡"</f>
        <v>河南省郑州市新密市青屏街街道办翰林茗郡</v>
      </c>
      <c r="H726" s="1" t="str">
        <f t="shared" si="362"/>
        <v>无</v>
      </c>
      <c r="I726" s="1" t="str">
        <f>"201509-201806于河南财政金融学院建筑工程管理系就读，专业为工程造价，全日制专科学历；
202003-202206于郑州大学远程教育学院就读，专业为土木工程，非全日制本科学历。"</f>
        <v>201509-201806于河南财政金融学院建筑工程管理系就读，专业为工程造价，全日制专科学历；
202003-202206于郑州大学远程教育学院就读，专业为土木工程，非全日制本科学历。</v>
      </c>
    </row>
    <row r="727" spans="1:9">
      <c r="A727" s="1" t="str">
        <f>"411327200111254215"</f>
        <v>411327200111254215</v>
      </c>
      <c r="B727" s="1" t="str">
        <f>"共青团员"</f>
        <v>共青团员</v>
      </c>
      <c r="C727" s="1" t="str">
        <f t="shared" si="365"/>
        <v>本科</v>
      </c>
      <c r="D727" s="1" t="str">
        <f>"20240605"</f>
        <v>20240605</v>
      </c>
      <c r="E727" s="1" t="str">
        <f>"中原科技学院"</f>
        <v>中原科技学院</v>
      </c>
      <c r="F727" s="1" t="str">
        <f>"财务管理"</f>
        <v>财务管理</v>
      </c>
      <c r="G727" s="1" t="str">
        <f>"河南省南阳市内乡县城关镇明珠花园"</f>
        <v>河南省南阳市内乡县城关镇明珠花园</v>
      </c>
      <c r="H727" s="1" t="str">
        <f t="shared" si="362"/>
        <v>无</v>
      </c>
      <c r="I727" s="1" t="str">
        <f>"202209-202406 中原科技学院商学院财务管理专业就读，是全日制学历"</f>
        <v>202209-202406 中原科技学院商学院财务管理专业就读，是全日制学历</v>
      </c>
    </row>
    <row r="728" spans="1:9">
      <c r="A728" s="1" t="str">
        <f>"412822199204195868"</f>
        <v>412822199204195868</v>
      </c>
      <c r="B728" s="1" t="str">
        <f t="shared" si="366"/>
        <v>群众</v>
      </c>
      <c r="C728" s="1" t="str">
        <f t="shared" si="365"/>
        <v>本科</v>
      </c>
      <c r="D728" s="1" t="str">
        <f>"20170701"</f>
        <v>20170701</v>
      </c>
      <c r="E728" s="1" t="str">
        <f>"河南财经政法大学"</f>
        <v>河南财经政法大学</v>
      </c>
      <c r="F728" s="1" t="str">
        <f>"会计学"</f>
        <v>会计学</v>
      </c>
      <c r="G728" s="1" t="str">
        <f>"河南省内乡县城关镇南园村"</f>
        <v>河南省内乡县城关镇南园村</v>
      </c>
      <c r="H728" s="1" t="str">
        <f t="shared" si="362"/>
        <v>无</v>
      </c>
      <c r="I728" s="1" t="str">
        <f>"201309-201707在河南财经政法大学就读，
在河南财经政法大学会计学院学习会计学专业，
是全日制学历，中间没有间断
"</f>
        <v>201309-201707在河南财经政法大学就读，
在河南财经政法大学会计学院学习会计学专业，
是全日制学历，中间没有间断
</v>
      </c>
    </row>
    <row r="729" spans="1:9">
      <c r="A729" s="1" t="str">
        <f>"411324199001053493"</f>
        <v>411324199001053493</v>
      </c>
      <c r="B729" s="1" t="str">
        <f t="shared" si="366"/>
        <v>群众</v>
      </c>
      <c r="C729" s="1" t="str">
        <f>"专科"</f>
        <v>专科</v>
      </c>
      <c r="D729" s="1" t="str">
        <f>"20141230"</f>
        <v>20141230</v>
      </c>
      <c r="E729" s="1" t="str">
        <f>"中国人民武装警察工程大学"</f>
        <v>中国人民武装警察工程大学</v>
      </c>
      <c r="F729" s="1" t="str">
        <f>"武警指挥与管理"</f>
        <v>武警指挥与管理</v>
      </c>
      <c r="G729" s="1" t="str">
        <f>"河南省南阳市镇平县新民东路290号石佛寺公安分局"</f>
        <v>河南省南阳市镇平县新民东路290号石佛寺公安分局</v>
      </c>
      <c r="H729" s="1" t="str">
        <f>"特种作业操作证，初级"</f>
        <v>特种作业操作证，初级</v>
      </c>
      <c r="I729" s="1" t="str">
        <f>"2008年11月-2013年12月服役于中国人民武装警察部队贵州省总队。
2010年9月-2014年12月就读于中国人民武装警察部队工程大学（非全日制）。
2013年12月-2024年6月在家待业。
2024年6月-2024年10月参加2024年南阳市公安机关警务辅助人员招聘考试。
2024年10月至今在南阳市镇平县公安局石佛寺直属分局案件队工作。"</f>
        <v>2008年11月-2013年12月服役于中国人民武装警察部队贵州省总队。
2010年9月-2014年12月就读于中国人民武装警察部队工程大学（非全日制）。
2013年12月-2024年6月在家待业。
2024年6月-2024年10月参加2024年南阳市公安机关警务辅助人员招聘考试。
2024年10月至今在南阳市镇平县公安局石佛寺直属分局案件队工作。</v>
      </c>
    </row>
    <row r="730" spans="1:9">
      <c r="A730" s="1" t="str">
        <f>"411327200507011359"</f>
        <v>411327200507011359</v>
      </c>
      <c r="B730" s="1" t="str">
        <f>"共青团员"</f>
        <v>共青团员</v>
      </c>
      <c r="C730" s="1" t="str">
        <f>"专科"</f>
        <v>专科</v>
      </c>
      <c r="D730" s="1" t="str">
        <f>"20250820"</f>
        <v>20250820</v>
      </c>
      <c r="E730" s="1" t="str">
        <f>"郑州工业贸易职业学院"</f>
        <v>郑州工业贸易职业学院</v>
      </c>
      <c r="F730" s="1" t="str">
        <f>"大数据与会计"</f>
        <v>大数据与会计</v>
      </c>
      <c r="G730" s="1" t="str">
        <f>"社旗县御林金湾"</f>
        <v>社旗县御林金湾</v>
      </c>
      <c r="H730" s="1" t="str">
        <f t="shared" ref="H730:H735" si="367">"无"</f>
        <v>无</v>
      </c>
      <c r="I730" s="1" t="str">
        <f>"202309-202508"</f>
        <v>202309-202508</v>
      </c>
    </row>
    <row r="731" spans="1:9">
      <c r="A731" s="1" t="str">
        <f>"411327199812042025"</f>
        <v>411327199812042025</v>
      </c>
      <c r="B731" s="1" t="str">
        <f>"中共党员"</f>
        <v>中共党员</v>
      </c>
      <c r="C731" s="1" t="str">
        <f t="shared" ref="C731:C735" si="368">"本科"</f>
        <v>本科</v>
      </c>
      <c r="D731" s="1" t="str">
        <f>"20200701"</f>
        <v>20200701</v>
      </c>
      <c r="E731" s="1" t="str">
        <f>"郑州大学西亚斯国际学院"</f>
        <v>郑州大学西亚斯国际学院</v>
      </c>
      <c r="F731" s="1" t="str">
        <f>"会计学"</f>
        <v>会计学</v>
      </c>
      <c r="G731" s="1" t="str">
        <f>"河南省南阳市内乡县师岗镇师岗村西南19号"</f>
        <v>河南省南阳市内乡县师岗镇师岗村西南19号</v>
      </c>
      <c r="H731" s="1" t="str">
        <f>"初级会计师资格证、教师资格证（小学语文）"</f>
        <v>初级会计师资格证、教师资格证（小学语文）</v>
      </c>
      <c r="I731" s="1" t="str">
        <f>"201609-202007郑州大学西亚斯国际学院就读会计学专业，全日制本科；202008-202106在家待业；202107-至今在中国建设银行南阳分行任职"</f>
        <v>201609-202007郑州大学西亚斯国际学院就读会计学专业，全日制本科；202008-202106在家待业；202107-至今在中国建设银行南阳分行任职</v>
      </c>
    </row>
    <row r="732" spans="1:9">
      <c r="A732" s="1" t="str">
        <f>"41132720030515006X"</f>
        <v>41132720030515006X</v>
      </c>
      <c r="B732" s="1" t="str">
        <f>"中共党员"</f>
        <v>中共党员</v>
      </c>
      <c r="C732" s="1" t="str">
        <f t="shared" si="368"/>
        <v>本科</v>
      </c>
      <c r="D732" s="1" t="str">
        <f>"20250606"</f>
        <v>20250606</v>
      </c>
      <c r="E732" s="1" t="str">
        <f>"南阳师范学院"</f>
        <v>南阳师范学院</v>
      </c>
      <c r="F732" s="1" t="str">
        <f>"美术学"</f>
        <v>美术学</v>
      </c>
      <c r="G732" s="1" t="str">
        <f>"河南省南阳市内乡县林场小区 "</f>
        <v>河南省南阳市内乡县林场小区 </v>
      </c>
      <c r="H732" s="1" t="str">
        <f t="shared" si="367"/>
        <v>无</v>
      </c>
      <c r="I732" s="1" t="str">
        <f>"202109-202506南阳师范学院美术学专业就读 是全日制本科"</f>
        <v>202109-202506南阳师范学院美术学专业就读 是全日制本科</v>
      </c>
    </row>
    <row r="733" spans="1:9">
      <c r="A733" s="1" t="str">
        <f>"410482199812030023"</f>
        <v>410482199812030023</v>
      </c>
      <c r="B733" s="1" t="str">
        <f t="shared" ref="B733:B736" si="369">"群众"</f>
        <v>群众</v>
      </c>
      <c r="C733" s="1" t="str">
        <f t="shared" si="368"/>
        <v>本科</v>
      </c>
      <c r="D733" s="1" t="str">
        <f>"20210701"</f>
        <v>20210701</v>
      </c>
      <c r="E733" s="1" t="str">
        <f>"南阳师范学院"</f>
        <v>南阳师范学院</v>
      </c>
      <c r="F733" s="1" t="str">
        <f>"财务管理"</f>
        <v>财务管理</v>
      </c>
      <c r="G733" s="1" t="str">
        <f>"河南省汝州市西关南拐"</f>
        <v>河南省汝州市西关南拐</v>
      </c>
      <c r="H733" s="1" t="str">
        <f>"初级会计证书"</f>
        <v>初级会计证书</v>
      </c>
      <c r="I733" s="1" t="str">
        <f>"201609—201906  河南经贸职业学院 财税金融院 会计（注会方向）专业就读
201909—202107 南阳师范学院  经管院  财务管理专业就读"</f>
        <v>201609—201906  河南经贸职业学院 财税金融院 会计（注会方向）专业就读
201909—202107 南阳师范学院  经管院  财务管理专业就读</v>
      </c>
    </row>
    <row r="734" spans="1:9">
      <c r="A734" s="1" t="str">
        <f>"411327200202052010"</f>
        <v>411327200202052010</v>
      </c>
      <c r="B734" s="1" t="str">
        <f t="shared" si="369"/>
        <v>群众</v>
      </c>
      <c r="C734" s="1" t="str">
        <f t="shared" si="368"/>
        <v>本科</v>
      </c>
      <c r="D734" s="1" t="str">
        <f>"20250701"</f>
        <v>20250701</v>
      </c>
      <c r="E734" s="1" t="str">
        <f>"河南师范大学软件学院"</f>
        <v>河南师范大学软件学院</v>
      </c>
      <c r="F734" s="1" t="str">
        <f>"计算机科学与技术"</f>
        <v>计算机科学与技术</v>
      </c>
      <c r="G734" s="1" t="str">
        <f>"河南省南阳市内乡县师岗镇付王苗村"</f>
        <v>河南省南阳市内乡县师岗镇付王苗村</v>
      </c>
      <c r="H734" s="1" t="str">
        <f>"计算机软件测试员三级"</f>
        <v>计算机软件测试员三级</v>
      </c>
      <c r="I734" s="1" t="str">
        <f>"202109-202507在河南师范大学软件学院就读，是全日制学历。"</f>
        <v>202109-202507在河南师范大学软件学院就读，是全日制学历。</v>
      </c>
    </row>
    <row r="735" spans="1:9">
      <c r="A735" s="1" t="str">
        <f>"411527200106150025"</f>
        <v>411527200106150025</v>
      </c>
      <c r="B735" s="1" t="str">
        <f t="shared" ref="B735:B739" si="370">"共青团员"</f>
        <v>共青团员</v>
      </c>
      <c r="C735" s="1" t="str">
        <f t="shared" si="368"/>
        <v>本科</v>
      </c>
      <c r="D735" s="1" t="str">
        <f>"20230701"</f>
        <v>20230701</v>
      </c>
      <c r="E735" s="1" t="str">
        <f>"郑州工业应用技术学院"</f>
        <v>郑州工业应用技术学院</v>
      </c>
      <c r="F735" s="1" t="str">
        <f>"视觉传达设计"</f>
        <v>视觉传达设计</v>
      </c>
      <c r="G735" s="1" t="str">
        <f>"河南省信阳市淮滨县顺河街到办事处南大街108-2"</f>
        <v>河南省信阳市淮滨县顺河街到办事处南大街108-2</v>
      </c>
      <c r="H735" s="1" t="str">
        <f t="shared" si="367"/>
        <v>无</v>
      </c>
      <c r="I735" s="1" t="str">
        <f>"201909-202307 郑州工业应用技术学院 艺术设计学院 视觉传达设计专业就读；
202307-至今在河南省信阳市淮滨县待业"</f>
        <v>201909-202307 郑州工业应用技术学院 艺术设计学院 视觉传达设计专业就读；
202307-至今在河南省信阳市淮滨县待业</v>
      </c>
    </row>
    <row r="736" spans="1:9">
      <c r="A736" s="1" t="str">
        <f>"411327200006100062"</f>
        <v>411327200006100062</v>
      </c>
      <c r="B736" s="1" t="str">
        <f t="shared" si="369"/>
        <v>群众</v>
      </c>
      <c r="C736" s="1" t="str">
        <f>"专科"</f>
        <v>专科</v>
      </c>
      <c r="D736" s="1" t="str">
        <f>"20220630"</f>
        <v>20220630</v>
      </c>
      <c r="E736" s="1" t="str">
        <f>"南阳农业职业学院"</f>
        <v>南阳农业职业学院</v>
      </c>
      <c r="F736" s="1" t="str">
        <f>"会计"</f>
        <v>会计</v>
      </c>
      <c r="G736" s="1" t="str">
        <f>"内乡县高杆灯鼎融华府"</f>
        <v>内乡县高杆灯鼎融华府</v>
      </c>
      <c r="H736" s="1" t="str">
        <f>"初级会计专业技术资格证书"</f>
        <v>初级会计专业技术资格证书</v>
      </c>
      <c r="I736" s="1" t="str">
        <f>"202909-202206在南阳农业职业学院商学院会计专业就读，是全日制。
202304在内乡县电影发行放映公司财务部就职。"</f>
        <v>202909-202206在南阳农业职业学院商学院会计专业就读，是全日制。
202304在内乡县电影发行放映公司财务部就职。</v>
      </c>
    </row>
    <row r="737" spans="1:9">
      <c r="A737" s="1" t="str">
        <f>"410324200007050626"</f>
        <v>410324200007050626</v>
      </c>
      <c r="B737" s="1" t="str">
        <f t="shared" si="370"/>
        <v>共青团员</v>
      </c>
      <c r="C737" s="1" t="str">
        <f t="shared" ref="C737:C739" si="371">"本科"</f>
        <v>本科</v>
      </c>
      <c r="D737" s="1" t="str">
        <f>"2023.07"</f>
        <v>2023.07</v>
      </c>
      <c r="E737" s="1" t="str">
        <f>"河南城建学院"</f>
        <v>河南城建学院</v>
      </c>
      <c r="F737" s="1" t="str">
        <f>"环境设计"</f>
        <v>环境设计</v>
      </c>
      <c r="G737" s="1" t="str">
        <f>"河南省洛阳市栾川县城关镇上河南城子沟路口站牌处"</f>
        <v>河南省洛阳市栾川县城关镇上河南城子沟路口站牌处</v>
      </c>
      <c r="H737" s="1" t="str">
        <f>"小学美术教师资格证 小学语文教师资格证 计算机二级证书"</f>
        <v>小学美术教师资格证 小学语文教师资格证 计算机二级证书</v>
      </c>
      <c r="I737" s="1" t="str">
        <f>"2018年9月-2021年6月，信阳农林学院，心理委员
2021年9月-2023年6月，河南城建学院，心理健康班长
2023年9月-2024年5月，千语童话，主讲教师"</f>
        <v>2018年9月-2021年6月，信阳农林学院，心理委员
2021年9月-2023年6月，河南城建学院，心理健康班长
2023年9月-2024年5月，千语童话，主讲教师</v>
      </c>
    </row>
    <row r="738" spans="1:9">
      <c r="A738" s="1" t="str">
        <f>"411327200106290617"</f>
        <v>411327200106290617</v>
      </c>
      <c r="B738" s="1" t="str">
        <f t="shared" ref="B738:B742" si="372">"群众"</f>
        <v>群众</v>
      </c>
      <c r="C738" s="1" t="str">
        <f t="shared" si="371"/>
        <v>本科</v>
      </c>
      <c r="D738" s="1" t="str">
        <f>"20250619"</f>
        <v>20250619</v>
      </c>
      <c r="E738" s="1" t="str">
        <f>"中原工学院"</f>
        <v>中原工学院</v>
      </c>
      <c r="F738" s="1" t="str">
        <f>"软件工程"</f>
        <v>软件工程</v>
      </c>
      <c r="G738" s="1" t="str">
        <f>"河南省南阳市内乡县马山口镇大寨村十五组"</f>
        <v>河南省南阳市内乡县马山口镇大寨村十五组</v>
      </c>
      <c r="H738" s="1" t="str">
        <f t="shared" ref="H738:H750" si="373">"无"</f>
        <v>无</v>
      </c>
      <c r="I738" s="1" t="str">
        <f>"2021年09 -2025年06 中原工学院 软件学院 全日制 就读"</f>
        <v>2021年09 -2025年06 中原工学院 软件学院 全日制 就读</v>
      </c>
    </row>
    <row r="739" spans="1:9">
      <c r="A739" s="1" t="str">
        <f>"411403199907226016"</f>
        <v>411403199907226016</v>
      </c>
      <c r="B739" s="1" t="str">
        <f t="shared" si="370"/>
        <v>共青团员</v>
      </c>
      <c r="C739" s="1" t="str">
        <f t="shared" si="371"/>
        <v>本科</v>
      </c>
      <c r="D739" s="1" t="str">
        <f>"20210701"</f>
        <v>20210701</v>
      </c>
      <c r="E739" s="1" t="str">
        <f>"郑州工商学院"</f>
        <v>郑州工商学院</v>
      </c>
      <c r="F739" s="1" t="str">
        <f>"环境设计"</f>
        <v>环境设计</v>
      </c>
      <c r="G739" s="1" t="str">
        <f>"河南省商丘市示范区尚都国际小区"</f>
        <v>河南省商丘市示范区尚都国际小区</v>
      </c>
      <c r="H739" s="1" t="str">
        <f t="shared" si="373"/>
        <v>无</v>
      </c>
      <c r="I739" s="1" t="str">
        <f>"201709-202107 郑州工商学院环境设计专业就读 全日制
202107-202203 在家待业
202203-202308 河南省城乡建筑设计院有限公司商丘分公司
202308-202502 河南耀翔建筑工程有限公司
202502-至今 在家待业"</f>
        <v>201709-202107 郑州工商学院环境设计专业就读 全日制
202107-202203 在家待业
202203-202308 河南省城乡建筑设计院有限公司商丘分公司
202308-202502 河南耀翔建筑工程有限公司
202502-至今 在家待业</v>
      </c>
    </row>
    <row r="740" spans="1:9">
      <c r="A740" s="1" t="str">
        <f>"411325200405074532"</f>
        <v>411325200405074532</v>
      </c>
      <c r="B740" s="1" t="str">
        <f t="shared" si="372"/>
        <v>群众</v>
      </c>
      <c r="C740" s="1" t="str">
        <f>"专科"</f>
        <v>专科</v>
      </c>
      <c r="D740" s="1" t="str">
        <f>"20240701"</f>
        <v>20240701</v>
      </c>
      <c r="E740" s="1" t="str">
        <f>"河南财政金融学院"</f>
        <v>河南财政金融学院</v>
      </c>
      <c r="F740" s="1" t="str">
        <f>"软件技术"</f>
        <v>软件技术</v>
      </c>
      <c r="G740" s="1" t="str">
        <f>"河南省南阳市内乡县"</f>
        <v>河南省南阳市内乡县</v>
      </c>
      <c r="H740" s="1" t="str">
        <f t="shared" si="373"/>
        <v>无</v>
      </c>
      <c r="I740" s="1" t="str">
        <f>"20220901-20240901河南财政金融学院就读软件技术专业
全日制学历"</f>
        <v>20220901-20240901河南财政金融学院就读软件技术专业
全日制学历</v>
      </c>
    </row>
    <row r="741" spans="1:9">
      <c r="A741" s="1" t="str">
        <f>"411325199608121516"</f>
        <v>411325199608121516</v>
      </c>
      <c r="B741" s="1" t="str">
        <f>"中共预备党员"</f>
        <v>中共预备党员</v>
      </c>
      <c r="C741" s="1" t="str">
        <f t="shared" ref="C741:C746" si="374">"本科"</f>
        <v>本科</v>
      </c>
      <c r="D741" s="1" t="str">
        <f>"2019-07-01"</f>
        <v>2019-07-01</v>
      </c>
      <c r="E741" s="1" t="str">
        <f>"河南工业大学"</f>
        <v>河南工业大学</v>
      </c>
      <c r="F741" s="1" t="str">
        <f>"物联网工程"</f>
        <v>物联网工程</v>
      </c>
      <c r="G741" s="1" t="str">
        <f>"内乡县湍东镇清凉庙村"</f>
        <v>内乡县湍东镇清凉庙村</v>
      </c>
      <c r="H741" s="1" t="str">
        <f t="shared" si="373"/>
        <v>无</v>
      </c>
      <c r="I741" s="1" t="str">
        <f>"2015.09-2019.07 河南工业大学 物联网工程
2019.08-2022.04 杭州道纪商务咨询有限公司
2022.05-2024.04 美庭世家家具
2024.05-至今 内乡县企业养老保险管理局"</f>
        <v>2015.09-2019.07 河南工业大学 物联网工程
2019.08-2022.04 杭州道纪商务咨询有限公司
2022.05-2024.04 美庭世家家具
2024.05-至今 内乡县企业养老保险管理局</v>
      </c>
    </row>
    <row r="742" spans="1:9">
      <c r="A742" s="1" t="str">
        <f>"411121199112076516"</f>
        <v>411121199112076516</v>
      </c>
      <c r="B742" s="1" t="str">
        <f t="shared" si="372"/>
        <v>群众</v>
      </c>
      <c r="C742" s="1" t="str">
        <f t="shared" si="374"/>
        <v>本科</v>
      </c>
      <c r="D742" s="1" t="str">
        <f>"20160701"</f>
        <v>20160701</v>
      </c>
      <c r="E742" s="1" t="str">
        <f>"洛阳师范学院"</f>
        <v>洛阳师范学院</v>
      </c>
      <c r="F742" s="1" t="str">
        <f>"公共事业管理"</f>
        <v>公共事业管理</v>
      </c>
      <c r="G742" s="1" t="str">
        <f>"河南省漯河市舞阳县姜店乡光国杨村"</f>
        <v>河南省漯河市舞阳县姜店乡光国杨村</v>
      </c>
      <c r="H742" s="1" t="str">
        <f t="shared" si="373"/>
        <v>无</v>
      </c>
      <c r="I742" s="1" t="str">
        <f>"201209-201607，在洛阳师范学院政法与公共管理学院公共事业管理专业就读，全日制学历；
201607-201710，在江苏速度信息科技股份有限公司工作；
201710-201804，在郑州人寿保险股份有限公司工作；
201805-201809在家待业；
201810-201903，在河南万厦物业管理有限公司工作；
201904-202002在家待业；
202003-202110在郑州鸿馨物业管理有限公司工作；
202110至今在驻马店市遂平县莲花湖街道办事处工作。
"</f>
        <v>201209-201607，在洛阳师范学院政法与公共管理学院公共事业管理专业就读，全日制学历；
201607-201710，在江苏速度信息科技股份有限公司工作；
201710-201804，在郑州人寿保险股份有限公司工作；
201805-201809在家待业；
201810-201903，在河南万厦物业管理有限公司工作；
201904-202002在家待业；
202003-202110在郑州鸿馨物业管理有限公司工作；
202110至今在驻马店市遂平县莲花湖街道办事处工作。
</v>
      </c>
    </row>
    <row r="743" spans="1:9">
      <c r="A743" s="1" t="str">
        <f>"412822200105260463"</f>
        <v>412822200105260463</v>
      </c>
      <c r="B743" s="1" t="str">
        <f>"共青团员"</f>
        <v>共青团员</v>
      </c>
      <c r="C743" s="1" t="str">
        <f t="shared" si="374"/>
        <v>本科</v>
      </c>
      <c r="D743" s="1" t="str">
        <f>"20220701"</f>
        <v>20220701</v>
      </c>
      <c r="E743" s="1" t="str">
        <f>"郑州工商学院"</f>
        <v>郑州工商学院</v>
      </c>
      <c r="F743" s="1" t="str">
        <f>"会计学"</f>
        <v>会计学</v>
      </c>
      <c r="G743" s="1" t="str">
        <f>"河南省驻马店市泌阳县花园街道"</f>
        <v>河南省驻马店市泌阳县花园街道</v>
      </c>
      <c r="H743" s="1" t="str">
        <f t="shared" si="373"/>
        <v>无</v>
      </c>
      <c r="I743" s="1" t="str">
        <f>"201809-202207 在郑州工商学院，财税学院，会计学就读，全日制学历；
202207至今在中华人民共和国驻马店海关工作（劳务派遣）。"</f>
        <v>201809-202207 在郑州工商学院，财税学院，会计学就读，全日制学历；
202207至今在中华人民共和国驻马店海关工作（劳务派遣）。</v>
      </c>
    </row>
    <row r="744" spans="1:9">
      <c r="A744" s="1" t="str">
        <f>"411503199905165374"</f>
        <v>411503199905165374</v>
      </c>
      <c r="B744" s="1" t="str">
        <f>"群众"</f>
        <v>群众</v>
      </c>
      <c r="C744" s="1" t="str">
        <f t="shared" si="374"/>
        <v>本科</v>
      </c>
      <c r="D744" s="1" t="str">
        <f>"20230919"</f>
        <v>20230919</v>
      </c>
      <c r="E744" s="1" t="str">
        <f>"洛阳师范学院"</f>
        <v>洛阳师范学院</v>
      </c>
      <c r="F744" s="1" t="str">
        <f>"化学"</f>
        <v>化学</v>
      </c>
      <c r="G744" s="1" t="str">
        <f>"河南省信阳市平桥区恒源翰林院1203"</f>
        <v>河南省信阳市平桥区恒源翰林院1203</v>
      </c>
      <c r="H744" s="1" t="str">
        <f t="shared" si="373"/>
        <v>无</v>
      </c>
      <c r="I744" s="1" t="str">
        <f>"20190901-20230919 洛阳师范学院 化学与化工学院 化学专业就读"</f>
        <v>20190901-20230919 洛阳师范学院 化学与化工学院 化学专业就读</v>
      </c>
    </row>
    <row r="745" spans="1:9">
      <c r="A745" s="1" t="str">
        <f>"411327199901134511"</f>
        <v>411327199901134511</v>
      </c>
      <c r="B745" s="1" t="str">
        <f>"中共预备党员"</f>
        <v>中共预备党员</v>
      </c>
      <c r="C745" s="1" t="str">
        <f t="shared" si="374"/>
        <v>本科</v>
      </c>
      <c r="D745" s="1" t="str">
        <f>"20250620"</f>
        <v>20250620</v>
      </c>
      <c r="E745" s="1" t="str">
        <f>"郑州航空工业管理学院"</f>
        <v>郑州航空工业管理学院</v>
      </c>
      <c r="F745" s="1" t="str">
        <f>"电子信息工程"</f>
        <v>电子信息工程</v>
      </c>
      <c r="G745" s="1" t="str">
        <f>"河南省内乡县赵店乡大峪村南沟23号"</f>
        <v>河南省内乡县赵店乡大峪村南沟23号</v>
      </c>
      <c r="H745" s="1" t="str">
        <f t="shared" si="373"/>
        <v>无</v>
      </c>
      <c r="I745" s="1" t="str">
        <f>"201809-202007 郑州航空工业管理学院就读
202009-202209 新疆伊犁军分区69342部队服役
202209-202506 郑州航空工业管理学院就读"</f>
        <v>201809-202007 郑州航空工业管理学院就读
202009-202209 新疆伊犁军分区69342部队服役
202209-202506 郑州航空工业管理学院就读</v>
      </c>
    </row>
    <row r="746" spans="1:9">
      <c r="A746" s="1" t="str">
        <f>"41090119991118801X"</f>
        <v>41090119991118801X</v>
      </c>
      <c r="B746" s="1" t="str">
        <f t="shared" ref="B746:B749" si="375">"中共党员"</f>
        <v>中共党员</v>
      </c>
      <c r="C746" s="1" t="str">
        <f t="shared" si="374"/>
        <v>本科</v>
      </c>
      <c r="D746" s="1" t="str">
        <f>"2025-01-20"</f>
        <v>2025-01-20</v>
      </c>
      <c r="E746" s="1" t="str">
        <f>"国家开放大学"</f>
        <v>国家开放大学</v>
      </c>
      <c r="F746" s="1" t="str">
        <f>"数学与应用数学"</f>
        <v>数学与应用数学</v>
      </c>
      <c r="G746" s="1" t="str">
        <f>"河南省濮阳市南华花园"</f>
        <v>河南省濮阳市南华花园</v>
      </c>
      <c r="H746" s="1" t="str">
        <f t="shared" si="373"/>
        <v>无</v>
      </c>
      <c r="I746" s="1" t="str">
        <f>"201909-202207 商丘师范学院数学与统计学院数学教育专业就读，全日制专科学历
202207-202209 在濮阳家中待业
202209-202501 国家开放大学数学与应用数学专业就读，非全日制本科学历。"</f>
        <v>201909-202207 商丘师范学院数学与统计学院数学教育专业就读，全日制专科学历
202207-202209 在濮阳家中待业
202209-202501 国家开放大学数学与应用数学专业就读，非全日制本科学历。</v>
      </c>
    </row>
    <row r="747" spans="1:9">
      <c r="A747" s="1" t="str">
        <f>"411327200205022028"</f>
        <v>411327200205022028</v>
      </c>
      <c r="B747" s="1" t="str">
        <f t="shared" ref="B747:B752" si="376">"群众"</f>
        <v>群众</v>
      </c>
      <c r="C747" s="1" t="str">
        <f>"专科"</f>
        <v>专科</v>
      </c>
      <c r="D747" s="1" t="str">
        <f>"20240630"</f>
        <v>20240630</v>
      </c>
      <c r="E747" s="1" t="str">
        <f>"河南工业职业技术学院"</f>
        <v>河南工业职业技术学院</v>
      </c>
      <c r="F747" s="1" t="str">
        <f>"数字媒体技术"</f>
        <v>数字媒体技术</v>
      </c>
      <c r="G747" s="1" t="str">
        <f>"河南省南阳市卧龙区中景北路五里堡文明小区33号楼"</f>
        <v>河南省南阳市卧龙区中景北路五里堡文明小区33号楼</v>
      </c>
      <c r="H747" s="1" t="str">
        <f t="shared" si="373"/>
        <v>无</v>
      </c>
      <c r="I747" s="1" t="str">
        <f>"202110-202406 河南工业职业技术学院文化旅游与国际教育学院数字媒体技术专业就读，全日制学历
202406-202505在河南省内乡县待业
202506至今在南阳市斐乐儿童万悦城店就业"</f>
        <v>202110-202406 河南工业职业技术学院文化旅游与国际教育学院数字媒体技术专业就读，全日制学历
202406-202505在河南省内乡县待业
202506至今在南阳市斐乐儿童万悦城店就业</v>
      </c>
    </row>
    <row r="748" spans="1:9">
      <c r="A748" s="1" t="str">
        <f>"411323199704260054"</f>
        <v>411323199704260054</v>
      </c>
      <c r="B748" s="1" t="str">
        <f t="shared" si="375"/>
        <v>中共党员</v>
      </c>
      <c r="C748" s="1" t="str">
        <f t="shared" ref="C748:C758" si="377">"本科"</f>
        <v>本科</v>
      </c>
      <c r="D748" s="1" t="str">
        <f>"20220630"</f>
        <v>20220630</v>
      </c>
      <c r="E748" s="1" t="str">
        <f>"江汉大学文理学院"</f>
        <v>江汉大学文理学院</v>
      </c>
      <c r="F748" s="1" t="str">
        <f>"医学影像技术"</f>
        <v>医学影像技术</v>
      </c>
      <c r="G748" s="1" t="str">
        <f>"河南省南阳市淅川县"</f>
        <v>河南省南阳市淅川县</v>
      </c>
      <c r="H748" s="1" t="str">
        <f t="shared" si="373"/>
        <v>无</v>
      </c>
      <c r="I748" s="1" t="str">
        <f>"201206-201609 淅川县第一高级中学
201609-201709 江汉大学文理学院护理专业  全日制本科
201709-201909 部队
201909-202206 江汉大学文理学院医学影像技术专业  全日制本科
202209-至今      内乡县疾病预防控制中心"</f>
        <v>201206-201609 淅川县第一高级中学
201609-201709 江汉大学文理学院护理专业  全日制本科
201709-201909 部队
201909-202206 江汉大学文理学院医学影像技术专业  全日制本科
202209-至今      内乡县疾病预防控制中心</v>
      </c>
    </row>
    <row r="749" spans="1:9">
      <c r="A749" s="1" t="str">
        <f>"411327200005133313"</f>
        <v>411327200005133313</v>
      </c>
      <c r="B749" s="1" t="str">
        <f t="shared" si="375"/>
        <v>中共党员</v>
      </c>
      <c r="C749" s="1" t="str">
        <f>"专科"</f>
        <v>专科</v>
      </c>
      <c r="D749" s="1" t="str">
        <f>"20220701"</f>
        <v>20220701</v>
      </c>
      <c r="E749" s="1" t="str">
        <f>"永城职业学院"</f>
        <v>永城职业学院</v>
      </c>
      <c r="F749" s="1" t="str">
        <f>"烹调工艺与营养"</f>
        <v>烹调工艺与营养</v>
      </c>
      <c r="G749" s="1" t="str">
        <f>"河南省南阳市林场小区"</f>
        <v>河南省南阳市林场小区</v>
      </c>
      <c r="H749" s="1" t="str">
        <f t="shared" si="373"/>
        <v>无</v>
      </c>
      <c r="I749" s="1" t="str">
        <f>"201909-202106 永城职业学院就读 全日制学历
202109-202309 武警甘肃省总队机动支队
202309-202409    在家
202409-202507 南阳师范学院"</f>
        <v>201909-202106 永城职业学院就读 全日制学历
202109-202309 武警甘肃省总队机动支队
202309-202409    在家
202409-202507 南阳师范学院</v>
      </c>
    </row>
    <row r="750" spans="1:9">
      <c r="A750" s="1" t="str">
        <f>"411327200304213110"</f>
        <v>411327200304213110</v>
      </c>
      <c r="B750" s="1" t="str">
        <f t="shared" si="376"/>
        <v>群众</v>
      </c>
      <c r="C750" s="1" t="str">
        <f t="shared" si="377"/>
        <v>本科</v>
      </c>
      <c r="D750" s="1" t="str">
        <f>"20250608"</f>
        <v>20250608</v>
      </c>
      <c r="E750" s="1" t="str">
        <f>"郑州轻工业大学"</f>
        <v>郑州轻工业大学</v>
      </c>
      <c r="F750" s="1" t="str">
        <f>"智能物联"</f>
        <v>智能物联</v>
      </c>
      <c r="G750" s="1" t="str">
        <f>"河南省南阳市内乡县夏馆镇大块地村"</f>
        <v>河南省南阳市内乡县夏馆镇大块地村</v>
      </c>
      <c r="H750" s="1" t="str">
        <f t="shared" si="373"/>
        <v>无</v>
      </c>
      <c r="I750" s="1" t="str">
        <f>"202109-202506 郑州轻工业大学计算机科学与技术学院智能物联就读，为全日制学历"</f>
        <v>202109-202506 郑州轻工业大学计算机科学与技术学院智能物联就读，为全日制学历</v>
      </c>
    </row>
    <row r="751" spans="1:9">
      <c r="A751" s="1" t="str">
        <f>"41130319980801053X"</f>
        <v>41130319980801053X</v>
      </c>
      <c r="B751" s="1" t="str">
        <f t="shared" si="376"/>
        <v>群众</v>
      </c>
      <c r="C751" s="1" t="str">
        <f t="shared" si="377"/>
        <v>本科</v>
      </c>
      <c r="D751" s="1" t="str">
        <f>"20200701"</f>
        <v>20200701</v>
      </c>
      <c r="E751" s="1" t="str">
        <f>"河南科技大学"</f>
        <v>河南科技大学</v>
      </c>
      <c r="F751" s="1" t="str">
        <f>"资源环境科学"</f>
        <v>资源环境科学</v>
      </c>
      <c r="G751" s="1" t="str">
        <f>"河南省南阳市卧龙区光武街道白庄"</f>
        <v>河南省南阳市卧龙区光武街道白庄</v>
      </c>
      <c r="H751" s="1" t="str">
        <f>"无2016"</f>
        <v>无2016</v>
      </c>
      <c r="I751" s="1" t="str">
        <f>"201609-202007河南科技大学农学院资源环境科学专业就读，全日制学历；202007-202103在家待业；202003-202010官庄工区公安分局辅警；202010-202410在家待业；202210至今南阳学大教育"</f>
        <v>201609-202007河南科技大学农学院资源环境科学专业就读，全日制学历；202007-202103在家待业；202003-202010官庄工区公安分局辅警；202010-202410在家待业；202210至今南阳学大教育</v>
      </c>
    </row>
    <row r="752" spans="1:9">
      <c r="A752" s="1" t="str">
        <f>"411327199809190625"</f>
        <v>411327199809190625</v>
      </c>
      <c r="B752" s="1" t="str">
        <f t="shared" si="376"/>
        <v>群众</v>
      </c>
      <c r="C752" s="1" t="str">
        <f t="shared" si="377"/>
        <v>本科</v>
      </c>
      <c r="D752" s="1" t="str">
        <f>"20210630"</f>
        <v>20210630</v>
      </c>
      <c r="E752" s="1" t="str">
        <f>"浙江师范大学"</f>
        <v>浙江师范大学</v>
      </c>
      <c r="F752" s="1" t="str">
        <f>"教育技术学"</f>
        <v>教育技术学</v>
      </c>
      <c r="G752" s="1" t="str">
        <f>"河南省南阳市内乡县湍东镇金水港"</f>
        <v>河南省南阳市内乡县湍东镇金水港</v>
      </c>
      <c r="H752" s="1" t="str">
        <f t="shared" ref="H752:H757" si="378">"无"</f>
        <v>无</v>
      </c>
      <c r="I752" s="1" t="str">
        <f>"201709-202107在浙江师范大学教师教育学院教育技术学专业就读
202108-202307在河南省南阳市宛城区言蹊中学担任语文教师
202308至今在河南省南阳市内乡县菊谭高中担任语文教师
"</f>
        <v>201709-202107在浙江师范大学教师教育学院教育技术学专业就读
202108-202307在河南省南阳市宛城区言蹊中学担任语文教师
202308至今在河南省南阳市内乡县菊谭高中担任语文教师
</v>
      </c>
    </row>
    <row r="753" spans="1:9">
      <c r="A753" s="1" t="str">
        <f>"412727200103167421"</f>
        <v>412727200103167421</v>
      </c>
      <c r="B753" s="1" t="str">
        <f>"中共党员"</f>
        <v>中共党员</v>
      </c>
      <c r="C753" s="1" t="str">
        <f t="shared" si="377"/>
        <v>本科</v>
      </c>
      <c r="D753" s="1" t="str">
        <f>"20250611"</f>
        <v>20250611</v>
      </c>
      <c r="E753" s="1" t="str">
        <f>"青海民族大学"</f>
        <v>青海民族大学</v>
      </c>
      <c r="F753" s="1" t="str">
        <f>"人工智能"</f>
        <v>人工智能</v>
      </c>
      <c r="G753" s="1" t="str">
        <f>"河南省周口市川汇区张夏庄村"</f>
        <v>河南省周口市川汇区张夏庄村</v>
      </c>
      <c r="H753" s="1" t="str">
        <f t="shared" si="378"/>
        <v>无</v>
      </c>
      <c r="I753" s="1" t="str">
        <f>"202109-202506 青海民族大学 智能科学与工程学院 人工智能专业 就读
202506-202507 河南省周口市川汇区张夏庄村 待业"</f>
        <v>202109-202506 青海民族大学 智能科学与工程学院 人工智能专业 就读
202506-202507 河南省周口市川汇区张夏庄村 待业</v>
      </c>
    </row>
    <row r="754" spans="1:9">
      <c r="A754" s="1" t="str">
        <f>"411327200009171114"</f>
        <v>411327200009171114</v>
      </c>
      <c r="B754" s="1" t="str">
        <f t="shared" ref="B754:B759" si="379">"群众"</f>
        <v>群众</v>
      </c>
      <c r="C754" s="1" t="str">
        <f t="shared" si="377"/>
        <v>本科</v>
      </c>
      <c r="D754" s="1" t="str">
        <f>"20250709"</f>
        <v>20250709</v>
      </c>
      <c r="E754" s="1" t="str">
        <f>"西安工业大学"</f>
        <v>西安工业大学</v>
      </c>
      <c r="F754" s="1" t="str">
        <f>"汉语言文学"</f>
        <v>汉语言文学</v>
      </c>
      <c r="G754" s="1" t="str">
        <f>"河南省南阳市内乡县中央御景"</f>
        <v>河南省南阳市内乡县中央御景</v>
      </c>
      <c r="H754" s="1" t="str">
        <f t="shared" si="378"/>
        <v>无</v>
      </c>
      <c r="I754" s="1" t="str">
        <f>"201809-202106 无锡工艺职业技术学院 传媒艺术与设计学院 动漫设计 
 就读
202303-202507 西安工业大学 4190系 汉语言文学就读 非全日制函数本科 "</f>
        <v>201809-202106 无锡工艺职业技术学院 传媒艺术与设计学院 动漫设计 
 就读
202303-202507 西安工业大学 4190系 汉语言文学就读 非全日制函数本科 </v>
      </c>
    </row>
    <row r="755" spans="1:9">
      <c r="A755" s="1" t="str">
        <f>"371202199907132626"</f>
        <v>371202199907132626</v>
      </c>
      <c r="B755" s="1" t="str">
        <f>"共青团员"</f>
        <v>共青团员</v>
      </c>
      <c r="C755" s="1" t="str">
        <f t="shared" si="377"/>
        <v>本科</v>
      </c>
      <c r="D755" s="1" t="str">
        <f>"2021-06-30"</f>
        <v>2021-06-30</v>
      </c>
      <c r="E755" s="1" t="str">
        <f>"烟台理工学院"</f>
        <v>烟台理工学院</v>
      </c>
      <c r="F755" s="1" t="str">
        <f>"视觉传达设计"</f>
        <v>视觉传达设计</v>
      </c>
      <c r="G755" s="1" t="str">
        <f>"山东省济南市莱芜区鄂庄康盛鑫区1号楼"</f>
        <v>山东省济南市莱芜区鄂庄康盛鑫区1号楼</v>
      </c>
      <c r="H755" s="1" t="str">
        <f t="shared" si="378"/>
        <v>无</v>
      </c>
      <c r="I755" s="1" t="str">
        <f>"201709-202106在烟台理工学建筑工程系视觉传达设计专业就读，是全日制学历。
202107-202208  待业。
202209-2025.02在济南市莱芜区汶源学校代课 小学美术老师。
2025.03-2025.07 待业。"</f>
        <v>201709-202106在烟台理工学建筑工程系视觉传达设计专业就读，是全日制学历。
202107-202208  待业。
202209-2025.02在济南市莱芜区汶源学校代课 小学美术老师。
2025.03-2025.07 待业。</v>
      </c>
    </row>
    <row r="756" spans="1:9">
      <c r="A756" s="1" t="str">
        <f>"41132319980707385X"</f>
        <v>41132319980707385X</v>
      </c>
      <c r="B756" s="1" t="str">
        <f>"共青团员"</f>
        <v>共青团员</v>
      </c>
      <c r="C756" s="1" t="str">
        <f t="shared" si="377"/>
        <v>本科</v>
      </c>
      <c r="D756" s="1" t="str">
        <f>"20220701"</f>
        <v>20220701</v>
      </c>
      <c r="E756" s="1" t="str">
        <f>"郑州航空工业管理学院"</f>
        <v>郑州航空工业管理学院</v>
      </c>
      <c r="F756" s="1" t="str">
        <f>"电气工程及其自动化"</f>
        <v>电气工程及其自动化</v>
      </c>
      <c r="G756" s="1" t="str">
        <f>"南阳市淅川县宏达小区"</f>
        <v>南阳市淅川县宏达小区</v>
      </c>
      <c r="H756" s="1" t="str">
        <f t="shared" si="378"/>
        <v>无</v>
      </c>
      <c r="I756" s="1" t="str">
        <f>"201709-202207 就读于全日制郑州航空工业管理学院航空工程学院电气工程及其自动化 
202208-202405 就职于洛阳三隆安装有限责任公司
202406-至今 待业于南阳市淅川县"</f>
        <v>201709-202207 就读于全日制郑州航空工业管理学院航空工程学院电气工程及其自动化 
202208-202405 就职于洛阳三隆安装有限责任公司
202406-至今 待业于南阳市淅川县</v>
      </c>
    </row>
    <row r="757" spans="1:9">
      <c r="A757" s="1" t="str">
        <f>"411327200203203968"</f>
        <v>411327200203203968</v>
      </c>
      <c r="B757" s="1" t="str">
        <f t="shared" si="379"/>
        <v>群众</v>
      </c>
      <c r="C757" s="1" t="str">
        <f t="shared" si="377"/>
        <v>本科</v>
      </c>
      <c r="D757" s="1" t="str">
        <f>"20240601"</f>
        <v>20240601</v>
      </c>
      <c r="E757" s="1" t="str">
        <f>"河南财经政法大学"</f>
        <v>河南财经政法大学</v>
      </c>
      <c r="F757" s="1" t="str">
        <f>"经济学"</f>
        <v>经济学</v>
      </c>
      <c r="G757" s="1" t="str">
        <f>"河南省南阳市内乡县城关镇幸福小区"</f>
        <v>河南省南阳市内乡县城关镇幸福小区</v>
      </c>
      <c r="H757" s="1" t="str">
        <f t="shared" si="378"/>
        <v>无</v>
      </c>
      <c r="I757" s="1" t="str">
        <f>"202009-202406 河南财经政法大学经济学院 全日制"</f>
        <v>202009-202406 河南财经政法大学经济学院 全日制</v>
      </c>
    </row>
    <row r="758" spans="1:9">
      <c r="A758" s="1" t="str">
        <f>"411327199212034515"</f>
        <v>411327199212034515</v>
      </c>
      <c r="B758" s="1" t="str">
        <f t="shared" si="379"/>
        <v>群众</v>
      </c>
      <c r="C758" s="1" t="str">
        <f t="shared" si="377"/>
        <v>本科</v>
      </c>
      <c r="D758" s="1" t="str">
        <f>"20160706"</f>
        <v>20160706</v>
      </c>
      <c r="E758" s="1" t="str">
        <f>"新疆大学"</f>
        <v>新疆大学</v>
      </c>
      <c r="F758" s="1" t="str">
        <f>"社会学"</f>
        <v>社会学</v>
      </c>
      <c r="G758" s="1" t="str">
        <f>"内乡县赵店乡张庄村"</f>
        <v>内乡县赵店乡张庄村</v>
      </c>
      <c r="H758" s="1" t="str">
        <f>"市政建筑工程师中级"</f>
        <v>市政建筑工程师中级</v>
      </c>
      <c r="I758" s="1" t="str">
        <f>"201209-201607 新疆大学就读
201607-202201 郑州京翰教育有限公司
202201-202202 待业
202202----          中土大地国际建筑设计有限公司内乡分公司 "</f>
        <v>201209-201607 新疆大学就读
201607-202201 郑州京翰教育有限公司
202201-202202 待业
202202----          中土大地国际建筑设计有限公司内乡分公司 </v>
      </c>
    </row>
    <row r="759" spans="1:9">
      <c r="A759" s="1" t="str">
        <f>"411323199808250029"</f>
        <v>411323199808250029</v>
      </c>
      <c r="B759" s="1" t="str">
        <f t="shared" si="379"/>
        <v>群众</v>
      </c>
      <c r="C759" s="1" t="str">
        <f>"专科"</f>
        <v>专科</v>
      </c>
      <c r="D759" s="1" t="str">
        <f>"20190701"</f>
        <v>20190701</v>
      </c>
      <c r="E759" s="1" t="str">
        <f>"河南财政金融学院"</f>
        <v>河南财政金融学院</v>
      </c>
      <c r="F759" s="1" t="str">
        <f>"工商企业管理"</f>
        <v>工商企业管理</v>
      </c>
      <c r="G759" s="1" t="str">
        <f>"河南省南阳市淅川县体委小区"</f>
        <v>河南省南阳市淅川县体委小区</v>
      </c>
      <c r="H759" s="1" t="str">
        <f t="shared" ref="H759:H764" si="380">"无"</f>
        <v>无</v>
      </c>
      <c r="I759" s="1" t="str">
        <f>"201609-201907河南财政金融学院工商管理学院工商企业管理专业就读是全日制学历
201907至今待业
202003-202207国家开放大学工商管理专业  否全日制"</f>
        <v>201609-201907河南财政金融学院工商管理学院工商企业管理专业就读是全日制学历
201907至今待业
202003-202207国家开放大学工商管理专业  否全日制</v>
      </c>
    </row>
    <row r="760" spans="1:9">
      <c r="A760" s="1" t="str">
        <f>"410704200205161542"</f>
        <v>410704200205161542</v>
      </c>
      <c r="B760" s="1" t="str">
        <f t="shared" ref="B760:B765" si="381">"中共党员"</f>
        <v>中共党员</v>
      </c>
      <c r="C760" s="1" t="str">
        <f t="shared" ref="C760:C762" si="382">"本科"</f>
        <v>本科</v>
      </c>
      <c r="D760" s="1" t="str">
        <f>"20240618"</f>
        <v>20240618</v>
      </c>
      <c r="E760" s="1" t="str">
        <f>"河南农业大学"</f>
        <v>河南农业大学</v>
      </c>
      <c r="F760" s="1" t="str">
        <f>"计算机科学与技术"</f>
        <v>计算机科学与技术</v>
      </c>
      <c r="G760" s="1" t="str">
        <f>"河南省新乡市凤泉区潞王坟乡金灯寺村"</f>
        <v>河南省新乡市凤泉区潞王坟乡金灯寺村</v>
      </c>
      <c r="H760" s="1" t="str">
        <f t="shared" si="380"/>
        <v>无</v>
      </c>
      <c r="I760" s="1" t="str">
        <f>"202009-202406   河南农业大学信息与管理科学学院计算机科学与技术 
  就读   全日制学历；
202406-202507   在新乡待业。"</f>
        <v>202009-202406   河南农业大学信息与管理科学学院计算机科学与技术 
  就读   全日制学历；
202406-202507   在新乡待业。</v>
      </c>
    </row>
    <row r="761" spans="1:9">
      <c r="A761" s="1" t="str">
        <f>"411327199003152566"</f>
        <v>411327199003152566</v>
      </c>
      <c r="B761" s="1" t="str">
        <f t="shared" ref="B761:B766" si="383">"群众"</f>
        <v>群众</v>
      </c>
      <c r="C761" s="1" t="str">
        <f t="shared" si="382"/>
        <v>本科</v>
      </c>
      <c r="D761" s="1" t="str">
        <f>"20240120"</f>
        <v>20240120</v>
      </c>
      <c r="E761" s="1" t="str">
        <f>"国家开放大学"</f>
        <v>国家开放大学</v>
      </c>
      <c r="F761" s="1" t="str">
        <f>"会计学"</f>
        <v>会计学</v>
      </c>
      <c r="G761" s="1" t="str">
        <f>"河南省南阳市内乡县湍东镇罗岗村"</f>
        <v>河南省南阳市内乡县湍东镇罗岗村</v>
      </c>
      <c r="H761" s="1" t="str">
        <f>"初级会计证书"</f>
        <v>初级会计证书</v>
      </c>
      <c r="I761" s="1" t="str">
        <f>"201103-201307南阳师范学院 就读，全日制学历；
202103-202401国开大学，成人本科"</f>
        <v>201103-201307南阳师范学院 就读，全日制学历；
202103-202401国开大学，成人本科</v>
      </c>
    </row>
    <row r="762" spans="1:9">
      <c r="A762" s="1" t="str">
        <f>"411503200111025332"</f>
        <v>411503200111025332</v>
      </c>
      <c r="B762" s="1" t="str">
        <f t="shared" si="383"/>
        <v>群众</v>
      </c>
      <c r="C762" s="1" t="str">
        <f t="shared" si="382"/>
        <v>本科</v>
      </c>
      <c r="D762" s="1" t="str">
        <f>"20240607"</f>
        <v>20240607</v>
      </c>
      <c r="E762" s="1" t="str">
        <f>"黄河交通学院"</f>
        <v>黄河交通学院</v>
      </c>
      <c r="F762" s="1" t="str">
        <f>"能源与动力工程"</f>
        <v>能源与动力工程</v>
      </c>
      <c r="G762" s="1" t="str">
        <f>"河南省信阳市平桥区"</f>
        <v>河南省信阳市平桥区</v>
      </c>
      <c r="H762" s="1" t="str">
        <f t="shared" si="380"/>
        <v>无</v>
      </c>
      <c r="I762" s="1" t="str">
        <f>"202009-202406在黄河交通学院汽车工程学院能源与动力工程专业就读，是全日制学历。"</f>
        <v>202009-202406在黄河交通学院汽车工程学院能源与动力工程专业就读，是全日制学历。</v>
      </c>
    </row>
    <row r="763" spans="1:9">
      <c r="A763" s="1" t="str">
        <f>"411324200108012750"</f>
        <v>411324200108012750</v>
      </c>
      <c r="B763" s="1" t="str">
        <f>"共青团员"</f>
        <v>共青团员</v>
      </c>
      <c r="C763" s="1" t="str">
        <f t="shared" ref="C763:C768" si="384">"专科"</f>
        <v>专科</v>
      </c>
      <c r="D763" s="1" t="str">
        <f>"20220625"</f>
        <v>20220625</v>
      </c>
      <c r="E763" s="1" t="str">
        <f>"天津电子信息职业技术学院"</f>
        <v>天津电子信息职业技术学院</v>
      </c>
      <c r="F763" s="1" t="str">
        <f>"计算机应用技术"</f>
        <v>计算机应用技术</v>
      </c>
      <c r="G763" s="1" t="str">
        <f>"河南省南阳市镇平县高丘镇新庄"</f>
        <v>河南省南阳市镇平县高丘镇新庄</v>
      </c>
      <c r="H763" s="1" t="str">
        <f t="shared" si="380"/>
        <v>无</v>
      </c>
      <c r="I763" s="1" t="str">
        <f>"2019.09-2022.06 天津电子信息职业技术学院计算机与软件技术系计算机应用技术就读 全日制
2021.07-2022.08 天津经纬智图信息技术有限公司 质检
2022.08-2023.03 招商银行股份有限公司信用卡中心 客户经理
2023.03-2024.06南阳城建市政工程有限公司内乡分公司 项目经理助理
2024.06-至今 镇平县公安局 看护大队队员"</f>
        <v>2019.09-2022.06 天津电子信息职业技术学院计算机与软件技术系计算机应用技术就读 全日制
2021.07-2022.08 天津经纬智图信息技术有限公司 质检
2022.08-2023.03 招商银行股份有限公司信用卡中心 客户经理
2023.03-2024.06南阳城建市政工程有限公司内乡分公司 项目经理助理
2024.06-至今 镇平县公安局 看护大队队员</v>
      </c>
    </row>
    <row r="764" spans="1:9">
      <c r="A764" s="1" t="str">
        <f>"411327199010154586"</f>
        <v>411327199010154586</v>
      </c>
      <c r="B764" s="1" t="str">
        <f t="shared" si="381"/>
        <v>中共党员</v>
      </c>
      <c r="C764" s="1" t="str">
        <f t="shared" ref="C764:C767" si="385">"本科"</f>
        <v>本科</v>
      </c>
      <c r="D764" s="1" t="str">
        <f>"20130630"</f>
        <v>20130630</v>
      </c>
      <c r="E764" s="1" t="str">
        <f>"华北水利水电大学"</f>
        <v>华北水利水电大学</v>
      </c>
      <c r="F764" s="1" t="str">
        <f>"通信工程"</f>
        <v>通信工程</v>
      </c>
      <c r="G764" s="1" t="str">
        <f>"河南省内乡县赵店乡红堰村下岗组100号"</f>
        <v>河南省内乡县赵店乡红堰村下岗组100号</v>
      </c>
      <c r="H764" s="1" t="str">
        <f t="shared" si="380"/>
        <v>无</v>
      </c>
      <c r="I764" s="1" t="str">
        <f>"200909-201306 华北水利水电大学 就读
201307-201506 北京恒华伟业科技股份有限公司 需求分析
201506-201607 北京瑞友科技股份有限公司 需求分析
201607-202107 宜信财富 产品经理
202107-202109 轻松筹 产品经理
202110-202201 北京森域网络科技有限公司 产品经理
202201-202411 北京树美天华科技有限公司 产品经理
202412-202507 在北京待业"</f>
        <v>200909-201306 华北水利水电大学 就读
201307-201506 北京恒华伟业科技股份有限公司 需求分析
201506-201607 北京瑞友科技股份有限公司 需求分析
201607-202107 宜信财富 产品经理
202107-202109 轻松筹 产品经理
202110-202201 北京森域网络科技有限公司 产品经理
202201-202411 北京树美天华科技有限公司 产品经理
202412-202507 在北京待业</v>
      </c>
    </row>
    <row r="765" spans="1:9">
      <c r="A765" s="1" t="str">
        <f>"412825200204133880"</f>
        <v>412825200204133880</v>
      </c>
      <c r="B765" s="1" t="str">
        <f t="shared" si="381"/>
        <v>中共党员</v>
      </c>
      <c r="C765" s="1" t="str">
        <f t="shared" si="385"/>
        <v>本科</v>
      </c>
      <c r="D765" s="1" t="str">
        <f>"20240701"</f>
        <v>20240701</v>
      </c>
      <c r="E765" s="1" t="str">
        <f>"河南财经政法大学"</f>
        <v>河南财经政法大学</v>
      </c>
      <c r="F765" s="1" t="str">
        <f>"英语"</f>
        <v>英语</v>
      </c>
      <c r="G765" s="1" t="str">
        <f>"河南省驻马店市上蔡县党店镇"</f>
        <v>河南省驻马店市上蔡县党店镇</v>
      </c>
      <c r="H765" s="1" t="str">
        <f>"英语专业四级 英语专业八级"</f>
        <v>英语专业四级 英语专业八级</v>
      </c>
      <c r="I765" s="1" t="str">
        <f>"202009-202407 河南财经政法大学就读全日制英语专业
202407至今在家待业"</f>
        <v>202009-202407 河南财经政法大学就读全日制英语专业
202407至今在家待业</v>
      </c>
    </row>
    <row r="766" spans="1:9">
      <c r="A766" s="1" t="str">
        <f>"411323199711222611"</f>
        <v>411323199711222611</v>
      </c>
      <c r="B766" s="1" t="str">
        <f t="shared" si="383"/>
        <v>群众</v>
      </c>
      <c r="C766" s="1" t="str">
        <f t="shared" si="384"/>
        <v>专科</v>
      </c>
      <c r="D766" s="1" t="str">
        <f>"20220120"</f>
        <v>20220120</v>
      </c>
      <c r="E766" s="1" t="str">
        <f>"国家开发大学"</f>
        <v>国家开发大学</v>
      </c>
      <c r="F766" s="1" t="str">
        <f>"计算机信息管理"</f>
        <v>计算机信息管理</v>
      </c>
      <c r="G766" s="1" t="str">
        <f>"淅川县"</f>
        <v>淅川县</v>
      </c>
      <c r="H766" s="1" t="str">
        <f t="shared" ref="H766:H780" si="386">"无"</f>
        <v>无</v>
      </c>
      <c r="I766" s="1" t="str">
        <f>"20190901—20220120国家开放大学就读"</f>
        <v>20190901—20220120国家开放大学就读</v>
      </c>
    </row>
    <row r="767" spans="1:9">
      <c r="A767" s="1" t="str">
        <f>"41132720000719331X"</f>
        <v>41132720000719331X</v>
      </c>
      <c r="B767" s="1" t="str">
        <f t="shared" ref="B767:B772" si="387">"共青团员"</f>
        <v>共青团员</v>
      </c>
      <c r="C767" s="1" t="str">
        <f t="shared" si="385"/>
        <v>本科</v>
      </c>
      <c r="D767" s="1" t="str">
        <f>"2024-07-22"</f>
        <v>2024-07-22</v>
      </c>
      <c r="E767" s="1" t="str">
        <f>"信阳师范大学"</f>
        <v>信阳师范大学</v>
      </c>
      <c r="F767" s="1" t="str">
        <f>"土木工程"</f>
        <v>土木工程</v>
      </c>
      <c r="G767" s="1" t="str">
        <f>"河南省南阳市内乡县七里坪乡张洼村南河26号"</f>
        <v>河南省南阳市内乡县七里坪乡张洼村南河26号</v>
      </c>
      <c r="H767" s="1" t="str">
        <f t="shared" si="386"/>
        <v>无</v>
      </c>
      <c r="I767" s="1" t="str">
        <f>"201807-202407 信阳师范大学建筑与土木工程学院土木工程专业就读。全日制本科。"</f>
        <v>201807-202407 信阳师范大学建筑与土木工程学院土木工程专业就读。全日制本科。</v>
      </c>
    </row>
    <row r="768" spans="1:9">
      <c r="A768" s="1" t="str">
        <f>"411327199611161140"</f>
        <v>411327199611161140</v>
      </c>
      <c r="B768" s="1" t="str">
        <f>"群众"</f>
        <v>群众</v>
      </c>
      <c r="C768" s="1" t="str">
        <f t="shared" si="384"/>
        <v>专科</v>
      </c>
      <c r="D768" s="1" t="str">
        <f>"20190701"</f>
        <v>20190701</v>
      </c>
      <c r="E768" s="1" t="str">
        <f>"新乡医学院三全学院"</f>
        <v>新乡医学院三全学院</v>
      </c>
      <c r="F768" s="1" t="str">
        <f>"护理"</f>
        <v>护理</v>
      </c>
      <c r="G768" s="1" t="str">
        <f>"河南省内乡县临湍路状元府"</f>
        <v>河南省内乡县临湍路状元府</v>
      </c>
      <c r="H768" s="1" t="str">
        <f>"202041004670"</f>
        <v>202041004670</v>
      </c>
      <c r="I768" s="1" t="str">
        <f>"201609-201907新乡医学院三全学院就读
201907至今在内乡县第二人民医院上班"</f>
        <v>201609-201907新乡医学院三全学院就读
201907至今在内乡县第二人民医院上班</v>
      </c>
    </row>
    <row r="769" spans="1:9">
      <c r="A769" s="1" t="str">
        <f>"411327200011250022"</f>
        <v>411327200011250022</v>
      </c>
      <c r="B769" s="1" t="str">
        <f>"中共党员"</f>
        <v>中共党员</v>
      </c>
      <c r="C769" s="1" t="str">
        <f t="shared" ref="C769:C773" si="388">"本科"</f>
        <v>本科</v>
      </c>
      <c r="D769" s="1" t="str">
        <f>"20220701"</f>
        <v>20220701</v>
      </c>
      <c r="E769" s="1" t="str">
        <f>"河南财经政法大学"</f>
        <v>河南财经政法大学</v>
      </c>
      <c r="F769" s="1" t="str">
        <f>"音乐学"</f>
        <v>音乐学</v>
      </c>
      <c r="G769" s="1" t="str">
        <f>"河南省南阳市内乡县北关五交化对面"</f>
        <v>河南省南阳市内乡县北关五交化对面</v>
      </c>
      <c r="H769" s="1" t="str">
        <f t="shared" si="386"/>
        <v>无</v>
      </c>
      <c r="I769" s="1" t="str">
        <f>"201809-202207 河南财经政法大学 音乐学专业就读 是全日制
202207-202311 待业
202311-至今      内乡县就业创业服务中心"</f>
        <v>201809-202207 河南财经政法大学 音乐学专业就读 是全日制
202207-202311 待业
202311-至今      内乡县就业创业服务中心</v>
      </c>
    </row>
    <row r="770" spans="1:9">
      <c r="A770" s="1" t="str">
        <f>"410503199904025053"</f>
        <v>410503199904025053</v>
      </c>
      <c r="B770" s="1" t="str">
        <f>"群众"</f>
        <v>群众</v>
      </c>
      <c r="C770" s="1" t="str">
        <f t="shared" si="388"/>
        <v>本科</v>
      </c>
      <c r="D770" s="1" t="str">
        <f>"20220701"</f>
        <v>20220701</v>
      </c>
      <c r="E770" s="1" t="str">
        <f>"安阳师范学院"</f>
        <v>安阳师范学院</v>
      </c>
      <c r="F770" s="1" t="str">
        <f>"会计学"</f>
        <v>会计学</v>
      </c>
      <c r="G770" s="1" t="str">
        <f>"河南省安阳市文峰区"</f>
        <v>河南省安阳市文峰区</v>
      </c>
      <c r="H770" s="1" t="str">
        <f t="shared" si="386"/>
        <v>无</v>
      </c>
      <c r="I770" s="1" t="str">
        <f>"201809-202207 安阳师范学院国际交流与教育学院会计学专业 全日制本科学历"</f>
        <v>201809-202207 安阳师范学院国际交流与教育学院会计学专业 全日制本科学历</v>
      </c>
    </row>
    <row r="771" spans="1:9">
      <c r="A771" s="1" t="str">
        <f>"411327199711071513"</f>
        <v>411327199711071513</v>
      </c>
      <c r="B771" s="1" t="str">
        <f t="shared" si="387"/>
        <v>共青团员</v>
      </c>
      <c r="C771" s="1" t="str">
        <f>"硕士研究生"</f>
        <v>硕士研究生</v>
      </c>
      <c r="D771" s="1" t="str">
        <f>"20250630"</f>
        <v>20250630</v>
      </c>
      <c r="E771" s="1" t="str">
        <f>"苏州大学"</f>
        <v>苏州大学</v>
      </c>
      <c r="F771" s="1" t="str">
        <f>"轻化工程（含皮革、纸张、织物加工等）"</f>
        <v>轻化工程（含皮革、纸张、织物加工等）</v>
      </c>
      <c r="G771" s="1" t="str">
        <f>"河南省南阳市内乡县"</f>
        <v>河南省南阳市内乡县</v>
      </c>
      <c r="H771" s="1" t="str">
        <f t="shared" si="386"/>
        <v>无</v>
      </c>
      <c r="I771" s="1" t="str">
        <f>"201709-202106 武汉纺织大学 就读
202209-202506 苏州大学 就读"</f>
        <v>201709-202106 武汉纺织大学 就读
202209-202506 苏州大学 就读</v>
      </c>
    </row>
    <row r="772" spans="1:9">
      <c r="A772" s="1" t="str">
        <f>"412821200011290067"</f>
        <v>412821200011290067</v>
      </c>
      <c r="B772" s="1" t="str">
        <f t="shared" si="387"/>
        <v>共青团员</v>
      </c>
      <c r="C772" s="1" t="str">
        <f t="shared" si="388"/>
        <v>本科</v>
      </c>
      <c r="D772" s="1" t="str">
        <f>"20220601"</f>
        <v>20220601</v>
      </c>
      <c r="E772" s="1" t="str">
        <f>"河南大学"</f>
        <v>河南大学</v>
      </c>
      <c r="F772" s="1" t="str">
        <f>"金融数学"</f>
        <v>金融数学</v>
      </c>
      <c r="G772" s="1" t="str">
        <f>"河南省驻马店市驿城区琼宇文化小区"</f>
        <v>河南省驻马店市驿城区琼宇文化小区</v>
      </c>
      <c r="H772" s="1" t="str">
        <f t="shared" si="386"/>
        <v>无</v>
      </c>
      <c r="I772" s="1" t="str">
        <f>"201809-202206河南大学数学院金融数学专业就读 全日制学历
202206-202307郑州书亦烧仙草公司店长
202307-202312郑州市交通银行未来路支行大堂经理
202312-202503郑州市赵一鸣零食会计员
202503-至今郑州市待业"</f>
        <v>201809-202206河南大学数学院金融数学专业就读 全日制学历
202206-202307郑州书亦烧仙草公司店长
202307-202312郑州市交通银行未来路支行大堂经理
202312-202503郑州市赵一鸣零食会计员
202503-至今郑州市待业</v>
      </c>
    </row>
    <row r="773" spans="1:9">
      <c r="A773" s="1" t="str">
        <f>"411324200003072212"</f>
        <v>411324200003072212</v>
      </c>
      <c r="B773" s="1" t="str">
        <f>"中共党员"</f>
        <v>中共党员</v>
      </c>
      <c r="C773" s="1" t="str">
        <f t="shared" si="388"/>
        <v>本科</v>
      </c>
      <c r="D773" s="1" t="str">
        <f>"20250701"</f>
        <v>20250701</v>
      </c>
      <c r="E773" s="1" t="str">
        <f>"华北水利水电大学"</f>
        <v>华北水利水电大学</v>
      </c>
      <c r="F773" s="1" t="str">
        <f>"土木工程"</f>
        <v>土木工程</v>
      </c>
      <c r="G773" s="1" t="str">
        <f>"河南省镇平县王岗乡"</f>
        <v>河南省镇平县王岗乡</v>
      </c>
      <c r="H773" s="1" t="str">
        <f t="shared" si="386"/>
        <v>无</v>
      </c>
      <c r="I773" s="1" t="str">
        <f>"201909-202207 黄河水利职业技术学院国际教育学院建筑工程技术 就读，全日制学历。
202304-202507 华北水利水电大学成人教育学院土木工程专业就读，非全日制学历
202207-202502 中国一冶河南分公司 施工员
202502-至今 河南省镇平县王岗乡待业"</f>
        <v>201909-202207 黄河水利职业技术学院国际教育学院建筑工程技术 就读，全日制学历。
202304-202507 华北水利水电大学成人教育学院土木工程专业就读，非全日制学历
202207-202502 中国一冶河南分公司 施工员
202502-至今 河南省镇平县王岗乡待业</v>
      </c>
    </row>
    <row r="774" spans="1:9">
      <c r="A774" s="1" t="str">
        <f>"411323199805300510"</f>
        <v>411323199805300510</v>
      </c>
      <c r="B774" s="1" t="str">
        <f>"群众"</f>
        <v>群众</v>
      </c>
      <c r="C774" s="1" t="str">
        <f t="shared" ref="C774:C778" si="389">"专科"</f>
        <v>专科</v>
      </c>
      <c r="D774" s="1" t="str">
        <f>"20190607"</f>
        <v>20190607</v>
      </c>
      <c r="E774" s="1" t="str">
        <f>"河南工业贸易职业学院"</f>
        <v>河南工业贸易职业学院</v>
      </c>
      <c r="F774" s="1" t="str">
        <f>"城市轨道交通运营管理"</f>
        <v>城市轨道交通运营管理</v>
      </c>
      <c r="G774" s="1" t="str">
        <f>"淅川县龙城派出所后如意楼"</f>
        <v>淅川县龙城派出所后如意楼</v>
      </c>
      <c r="H774" s="1" t="str">
        <f t="shared" si="386"/>
        <v>无</v>
      </c>
      <c r="I774" s="1" t="str">
        <f>"201609-201906 河南工业贸易职业学院城市轨道交通运营管理专业就读，是全日制"</f>
        <v>201609-201906 河南工业贸易职业学院城市轨道交通运营管理专业就读，是全日制</v>
      </c>
    </row>
    <row r="775" spans="1:9">
      <c r="A775" s="1" t="str">
        <f>"411327199811024917"</f>
        <v>411327199811024917</v>
      </c>
      <c r="B775" s="1" t="str">
        <f t="shared" ref="B775:B781" si="390">"共青团员"</f>
        <v>共青团员</v>
      </c>
      <c r="C775" s="1" t="str">
        <f t="shared" ref="C775:C782" si="391">"本科"</f>
        <v>本科</v>
      </c>
      <c r="D775" s="1" t="str">
        <f>"20200615"</f>
        <v>20200615</v>
      </c>
      <c r="E775" s="1" t="str">
        <f>"长春理工大学"</f>
        <v>长春理工大学</v>
      </c>
      <c r="F775" s="1" t="str">
        <f>"通信工程"</f>
        <v>通信工程</v>
      </c>
      <c r="G775" s="1" t="str">
        <f>"河南省内乡县渚阳大街"</f>
        <v>河南省内乡县渚阳大街</v>
      </c>
      <c r="H775" s="1" t="str">
        <f t="shared" si="386"/>
        <v>无</v>
      </c>
      <c r="I775" s="1" t="str">
        <f>"201609-202006 长春理工大学电子信息技术学院通信工程专业就读
202007-202304 烽火通信科技股份有限公司就职产品测试工程师
202304-至今 中信科移动通信技术股份有限公司就职硬件测试工程师"</f>
        <v>201609-202006 长春理工大学电子信息技术学院通信工程专业就读
202007-202304 烽火通信科技股份有限公司就职产品测试工程师
202304-至今 中信科移动通信技术股份有限公司就职硬件测试工程师</v>
      </c>
    </row>
    <row r="776" spans="1:9">
      <c r="A776" s="1" t="str">
        <f>"41130220001129233X"</f>
        <v>41130220001129233X</v>
      </c>
      <c r="B776" s="1" t="str">
        <f>"中共党员"</f>
        <v>中共党员</v>
      </c>
      <c r="C776" s="1" t="str">
        <f t="shared" si="391"/>
        <v>本科</v>
      </c>
      <c r="D776" s="1" t="str">
        <f>"20240701"</f>
        <v>20240701</v>
      </c>
      <c r="E776" s="1" t="str">
        <f>"新乡工程学院"</f>
        <v>新乡工程学院</v>
      </c>
      <c r="F776" s="1" t="str">
        <f>"城乡规划"</f>
        <v>城乡规划</v>
      </c>
      <c r="G776" s="1" t="str">
        <f>"河南省南阳市宛城区白河镇姜营"</f>
        <v>河南省南阳市宛城区白河镇姜营</v>
      </c>
      <c r="H776" s="1" t="str">
        <f t="shared" si="386"/>
        <v>无</v>
      </c>
      <c r="I776" s="1" t="str">
        <f>"201909-202207 郑州城市职业学院建筑装饰工程技术专业就读 全日制
202209-202407 新乡工程学院城乡规划专业就读 全日制
202407至今 待业"</f>
        <v>201909-202207 郑州城市职业学院建筑装饰工程技术专业就读 全日制
202209-202407 新乡工程学院城乡规划专业就读 全日制
202407至今 待业</v>
      </c>
    </row>
    <row r="777" spans="1:9">
      <c r="A777" s="1" t="str">
        <f>"411327200106142526"</f>
        <v>411327200106142526</v>
      </c>
      <c r="B777" s="1" t="str">
        <f t="shared" si="390"/>
        <v>共青团员</v>
      </c>
      <c r="C777" s="1" t="str">
        <f t="shared" si="389"/>
        <v>专科</v>
      </c>
      <c r="D777" s="1" t="str">
        <f>"2023-07-01"</f>
        <v>2023-07-01</v>
      </c>
      <c r="E777" s="1" t="str">
        <f>"郑州财经学院"</f>
        <v>郑州财经学院</v>
      </c>
      <c r="F777" s="1" t="str">
        <f>"建筑室内设计"</f>
        <v>建筑室内设计</v>
      </c>
      <c r="G777" s="1" t="str">
        <f>"河南省南阳市内乡县城关镇渚阳大街北十巷"</f>
        <v>河南省南阳市内乡县城关镇渚阳大街北十巷</v>
      </c>
      <c r="H777" s="1" t="str">
        <f t="shared" si="386"/>
        <v>无</v>
      </c>
      <c r="I777" s="1" t="str">
        <f>"202009-202307 郑州财经学院 艺术设计学院 建筑室内专业 就读，属于全日制学历；202308-202310在家待业；202311-现在入职于南阳市人人社工，在灌涨人民政府协助工作。"</f>
        <v>202009-202307 郑州财经学院 艺术设计学院 建筑室内专业 就读，属于全日制学历；202308-202310在家待业；202311-现在入职于南阳市人人社工，在灌涨人民政府协助工作。</v>
      </c>
    </row>
    <row r="778" spans="1:9">
      <c r="A778" s="1" t="str">
        <f>"411327200301083912"</f>
        <v>411327200301083912</v>
      </c>
      <c r="B778" s="1" t="str">
        <f t="shared" si="390"/>
        <v>共青团员</v>
      </c>
      <c r="C778" s="1" t="str">
        <f t="shared" si="389"/>
        <v>专科</v>
      </c>
      <c r="D778" s="1" t="str">
        <f>"20250701"</f>
        <v>20250701</v>
      </c>
      <c r="E778" s="1" t="str">
        <f>"河南农业职业学院"</f>
        <v>河南农业职业学院</v>
      </c>
      <c r="F778" s="1" t="str">
        <f>"畜牧兽医"</f>
        <v>畜牧兽医</v>
      </c>
      <c r="G778" s="1" t="str">
        <f>"新都花苑"</f>
        <v>新都花苑</v>
      </c>
      <c r="H778" s="1" t="str">
        <f t="shared" si="386"/>
        <v>无</v>
      </c>
      <c r="I778" s="1" t="str">
        <f>"202209-202507河南农业职业学院 现代牧业院系 畜牧兽医 就读 是全日制专科学历"</f>
        <v>202209-202507河南农业职业学院 现代牧业院系 畜牧兽医 就读 是全日制专科学历</v>
      </c>
    </row>
    <row r="779" spans="1:9">
      <c r="A779" s="1" t="str">
        <f>"411327200204190046"</f>
        <v>411327200204190046</v>
      </c>
      <c r="B779" s="1" t="str">
        <f t="shared" si="390"/>
        <v>共青团员</v>
      </c>
      <c r="C779" s="1" t="str">
        <f t="shared" si="391"/>
        <v>本科</v>
      </c>
      <c r="D779" s="1" t="str">
        <f>"20240613"</f>
        <v>20240613</v>
      </c>
      <c r="E779" s="1" t="str">
        <f>"中国矿业大学徐海学院"</f>
        <v>中国矿业大学徐海学院</v>
      </c>
      <c r="F779" s="1" t="str">
        <f>"汉语言文学"</f>
        <v>汉语言文学</v>
      </c>
      <c r="G779" s="1" t="str">
        <f>"河南省南阳市内乡县城关镇金城小区"</f>
        <v>河南省南阳市内乡县城关镇金城小区</v>
      </c>
      <c r="H779" s="1" t="str">
        <f t="shared" si="386"/>
        <v>无</v>
      </c>
      <c r="I779" s="1" t="str">
        <f>"202010-202406 中国矿业大学徐海学院 汉语言文学专业就读 全日制 
202406至今 待业"</f>
        <v>202010-202406 中国矿业大学徐海学院 汉语言文学专业就读 全日制 
202406至今 待业</v>
      </c>
    </row>
    <row r="780" spans="1:9">
      <c r="A780" s="1" t="str">
        <f>"411381199911053932"</f>
        <v>411381199911053932</v>
      </c>
      <c r="B780" s="1" t="str">
        <f t="shared" si="390"/>
        <v>共青团员</v>
      </c>
      <c r="C780" s="1" t="str">
        <f t="shared" si="391"/>
        <v>本科</v>
      </c>
      <c r="D780" s="1" t="str">
        <f>"20220607"</f>
        <v>20220607</v>
      </c>
      <c r="E780" s="1" t="str">
        <f>"商丘学院"</f>
        <v>商丘学院</v>
      </c>
      <c r="F780" s="1" t="str">
        <f>"电子商务"</f>
        <v>电子商务</v>
      </c>
      <c r="G780" s="1" t="str">
        <f>"河南省南阳市内乡县"</f>
        <v>河南省南阳市内乡县</v>
      </c>
      <c r="H780" s="1" t="str">
        <f t="shared" si="386"/>
        <v>无</v>
      </c>
      <c r="I780" s="1" t="str">
        <f>"201809-202206，商丘学院就读，工商管理系电子商务专业，全日制"</f>
        <v>201809-202206，商丘学院就读，工商管理系电子商务专业，全日制</v>
      </c>
    </row>
    <row r="781" spans="1:9">
      <c r="A781" s="1" t="str">
        <f>"411323200211250523"</f>
        <v>411323200211250523</v>
      </c>
      <c r="B781" s="1" t="str">
        <f t="shared" si="390"/>
        <v>共青团员</v>
      </c>
      <c r="C781" s="1" t="str">
        <f t="shared" si="391"/>
        <v>本科</v>
      </c>
      <c r="D781" s="1" t="str">
        <f>"2025-07-01"</f>
        <v>2025-07-01</v>
      </c>
      <c r="E781" s="1" t="str">
        <f>"郑州财经学院"</f>
        <v>郑州财经学院</v>
      </c>
      <c r="F781" s="1" t="str">
        <f>"市场营销"</f>
        <v>市场营销</v>
      </c>
      <c r="G781" s="1" t="str">
        <f>"河南省南阳市淅川县上集镇陈庄村杨庄组172号"</f>
        <v>河南省南阳市淅川县上集镇陈庄村杨庄组172号</v>
      </c>
      <c r="H781" s="1" t="str">
        <f>"互联网营养师"</f>
        <v>互联网营养师</v>
      </c>
      <c r="I781" s="1" t="str">
        <f>"202109-202507 郑州财经学院就读。
202507-至今      河南省南阳市淅川县上集镇陈庄村待业。"</f>
        <v>202109-202507 郑州财经学院就读。
202507-至今      河南省南阳市淅川县上集镇陈庄村待业。</v>
      </c>
    </row>
    <row r="782" spans="1:9">
      <c r="A782" s="1" t="str">
        <f>"410423200002012515"</f>
        <v>410423200002012515</v>
      </c>
      <c r="B782" s="1" t="str">
        <f>"群众"</f>
        <v>群众</v>
      </c>
      <c r="C782" s="1" t="str">
        <f t="shared" si="391"/>
        <v>本科</v>
      </c>
      <c r="D782" s="1" t="str">
        <f>"20250701"</f>
        <v>20250701</v>
      </c>
      <c r="E782" s="1" t="str">
        <f>"洛阳师范学院"</f>
        <v>洛阳师范学院</v>
      </c>
      <c r="F782" s="1" t="str">
        <f>"工商管理"</f>
        <v>工商管理</v>
      </c>
      <c r="G782" s="1" t="str">
        <f>"河南省平顶山市卫东区东安路街道"</f>
        <v>河南省平顶山市卫东区东安路街道</v>
      </c>
      <c r="H782" s="1" t="str">
        <f t="shared" ref="H782:H789" si="392">"无"</f>
        <v>无</v>
      </c>
      <c r="I782" s="1" t="str">
        <f>"201709-202007 郑州理工职业学院 经贸管理系投资与理财专业 就读 全日制
202009-202209 解放军95918部队
202209-202306 平顶山市卫东区消防大队
202309-202507 洛阳师范学院 商学院工商管理专业就读 全日制"</f>
        <v>201709-202007 郑州理工职业学院 经贸管理系投资与理财专业 就读 全日制
202009-202209 解放军95918部队
202209-202306 平顶山市卫东区消防大队
202309-202507 洛阳师范学院 商学院工商管理专业就读 全日制</v>
      </c>
    </row>
    <row r="783" spans="1:9">
      <c r="A783" s="1" t="str">
        <f>"411381199909090419"</f>
        <v>411381199909090419</v>
      </c>
      <c r="B783" s="1" t="str">
        <f>"群众"</f>
        <v>群众</v>
      </c>
      <c r="C783" s="1" t="str">
        <f>"专科"</f>
        <v>专科</v>
      </c>
      <c r="D783" s="1" t="str">
        <f>"20200531"</f>
        <v>20200531</v>
      </c>
      <c r="E783" s="1" t="str">
        <f>"河南测绘职业学院"</f>
        <v>河南测绘职业学院</v>
      </c>
      <c r="F783" s="1" t="str">
        <f>"摄影测量与遥感技术"</f>
        <v>摄影测量与遥感技术</v>
      </c>
      <c r="G783" s="1" t="str">
        <f>"河南省南阳市邓州市雷锋路水利局对面元青花批发"</f>
        <v>河南省南阳市邓州市雷锋路水利局对面元青花批发</v>
      </c>
      <c r="H783" s="1" t="str">
        <f t="shared" si="392"/>
        <v>无</v>
      </c>
      <c r="I783" s="1" t="str">
        <f>"201706010-20200531 河南测绘职业学院 就读 全日制"</f>
        <v>201706010-20200531 河南测绘职业学院 就读 全日制</v>
      </c>
    </row>
    <row r="784" spans="1:9">
      <c r="A784" s="1" t="str">
        <f>"411327199605200617"</f>
        <v>411327199605200617</v>
      </c>
      <c r="B784" s="1" t="str">
        <f>"中共党员"</f>
        <v>中共党员</v>
      </c>
      <c r="C784" s="1" t="str">
        <f t="shared" ref="C784:C788" si="393">"本科"</f>
        <v>本科</v>
      </c>
      <c r="D784" s="1" t="str">
        <f>"20240720"</f>
        <v>20240720</v>
      </c>
      <c r="E784" s="1" t="str">
        <f>"国家开放大学"</f>
        <v>国家开放大学</v>
      </c>
      <c r="F784" s="1" t="str">
        <f>"汽车服务工程"</f>
        <v>汽车服务工程</v>
      </c>
      <c r="G784" s="1" t="str">
        <f>"河南省内乡县马山口镇政府路1号"</f>
        <v>河南省内乡县马山口镇政府路1号</v>
      </c>
      <c r="H784" s="1" t="str">
        <f t="shared" si="392"/>
        <v>无</v>
      </c>
      <c r="I784" s="1" t="str">
        <f>"201409-201509 河南财经政法大学 计算机网络技术 全日制就读
201509-201809 中国人民解放军92474部队 战士
201809-202106 海军潜艇学院 潜艇声纳技术 全日制就读
202106-202309 中国人民解放军92474部队 战士
202203-202407 国家开放大学 汽车服务工程 函授
202309-至今 待业"</f>
        <v>201409-201509 河南财经政法大学 计算机网络技术 全日制就读
201509-201809 中国人民解放军92474部队 战士
201809-202106 海军潜艇学院 潜艇声纳技术 全日制就读
202106-202309 中国人民解放军92474部队 战士
202203-202407 国家开放大学 汽车服务工程 函授
202309-至今 待业</v>
      </c>
    </row>
    <row r="785" spans="1:9">
      <c r="A785" s="1" t="str">
        <f>"411324200302111525"</f>
        <v>411324200302111525</v>
      </c>
      <c r="B785" s="1" t="str">
        <f t="shared" ref="B785:B788" si="394">"共青团员"</f>
        <v>共青团员</v>
      </c>
      <c r="C785" s="1" t="str">
        <f t="shared" ref="C785:C790" si="395">"专科"</f>
        <v>专科</v>
      </c>
      <c r="D785" s="1" t="str">
        <f>"20250619"</f>
        <v>20250619</v>
      </c>
      <c r="E785" s="1" t="str">
        <f>"天津职业大学"</f>
        <v>天津职业大学</v>
      </c>
      <c r="F785" s="1" t="str">
        <f>"环境艺术设计"</f>
        <v>环境艺术设计</v>
      </c>
      <c r="G785" s="1" t="str">
        <f>"河南省南阳市镇平县石佛寺镇赵湾村四组三号"</f>
        <v>河南省南阳市镇平县石佛寺镇赵湾村四组三号</v>
      </c>
      <c r="H785" s="1" t="str">
        <f t="shared" si="392"/>
        <v>无</v>
      </c>
      <c r="I785" s="1" t="str">
        <f>"202209-202506 天津职业大学  艺术工程学院环境艺术设计专业就读 是全日制学历"</f>
        <v>202209-202506 天津职业大学  艺术工程学院环境艺术设计专业就读 是全日制学历</v>
      </c>
    </row>
    <row r="786" spans="1:9">
      <c r="A786" s="1" t="str">
        <f>"431228199712250016"</f>
        <v>431228199712250016</v>
      </c>
      <c r="B786" s="1" t="str">
        <f t="shared" si="394"/>
        <v>共青团员</v>
      </c>
      <c r="C786" s="1" t="str">
        <f t="shared" si="393"/>
        <v>本科</v>
      </c>
      <c r="D786" s="1" t="str">
        <f>"20200701"</f>
        <v>20200701</v>
      </c>
      <c r="E786" s="1" t="str">
        <f>"郑州航空工业管理学院"</f>
        <v>郑州航空工业管理学院</v>
      </c>
      <c r="F786" s="1" t="str">
        <f>"动画"</f>
        <v>动画</v>
      </c>
      <c r="G786" s="1" t="str">
        <f>"河南省南阳市内乡县赤眉镇琴溪村"</f>
        <v>河南省南阳市内乡县赤眉镇琴溪村</v>
      </c>
      <c r="H786" s="1" t="str">
        <f t="shared" si="392"/>
        <v>无</v>
      </c>
      <c r="I786" s="1" t="str">
        <f>"201609-202007 郑州航空工业管理学院艺术设计学院动画专业就读
202007-202409 武警第一机动总队某支队参军
202409-至今 待业"</f>
        <v>201609-202007 郑州航空工业管理学院艺术设计学院动画专业就读
202007-202409 武警第一机动总队某支队参军
202409-至今 待业</v>
      </c>
    </row>
    <row r="787" spans="1:9">
      <c r="A787" s="1" t="str">
        <f>"410304199810142510"</f>
        <v>410304199810142510</v>
      </c>
      <c r="B787" s="1" t="str">
        <f t="shared" si="394"/>
        <v>共青团员</v>
      </c>
      <c r="C787" s="1" t="str">
        <f>"硕士研究生"</f>
        <v>硕士研究生</v>
      </c>
      <c r="D787" s="1" t="str">
        <f>"20250701"</f>
        <v>20250701</v>
      </c>
      <c r="E787" s="1" t="str">
        <f>"河南财经政法大学"</f>
        <v>河南财经政法大学</v>
      </c>
      <c r="F787" s="1" t="str">
        <f>"应用经济学金融学方向"</f>
        <v>应用经济学金融学方向</v>
      </c>
      <c r="G787" s="1" t="str">
        <f>"471000"</f>
        <v>471000</v>
      </c>
      <c r="H787" s="1" t="str">
        <f t="shared" si="392"/>
        <v>无</v>
      </c>
      <c r="I787" s="1" t="str">
        <f>"2017-2021洛阳理工学院会计学院财务管理专业
2021-2022在家备考待业
2022-2025河南财经政法大学金融学院金融学专业"</f>
        <v>2017-2021洛阳理工学院会计学院财务管理专业
2021-2022在家备考待业
2022-2025河南财经政法大学金融学院金融学专业</v>
      </c>
    </row>
    <row r="788" spans="1:9">
      <c r="A788" s="1" t="str">
        <f>"411327199708150026"</f>
        <v>411327199708150026</v>
      </c>
      <c r="B788" s="1" t="str">
        <f t="shared" si="394"/>
        <v>共青团员</v>
      </c>
      <c r="C788" s="1" t="str">
        <f t="shared" si="393"/>
        <v>本科</v>
      </c>
      <c r="D788" s="1" t="str">
        <f>"20200701"</f>
        <v>20200701</v>
      </c>
      <c r="E788" s="1" t="str">
        <f>"商丘师范学院"</f>
        <v>商丘师范学院</v>
      </c>
      <c r="F788" s="1" t="str">
        <f>"社会工作"</f>
        <v>社会工作</v>
      </c>
      <c r="G788" s="1" t="str">
        <f>"河南省南阳市内乡县城关镇公园南路163号"</f>
        <v>河南省南阳市内乡县城关镇公园南路163号</v>
      </c>
      <c r="H788" s="1" t="str">
        <f t="shared" si="392"/>
        <v>无</v>
      </c>
      <c r="I788" s="1" t="str">
        <f>"201609-202007 商丘师范学院社会工作专业就读
202007-202011 在南阳市内乡县待业
202011-202105 在牧原视频股份有限公司
202105-202507 在南阳市内乡县待业"</f>
        <v>201609-202007 商丘师范学院社会工作专业就读
202007-202011 在南阳市内乡县待业
202011-202105 在牧原视频股份有限公司
202105-202507 在南阳市内乡县待业</v>
      </c>
    </row>
    <row r="789" spans="1:9">
      <c r="A789" s="1" t="str">
        <f>"411327199810201117"</f>
        <v>411327199810201117</v>
      </c>
      <c r="B789" s="1" t="str">
        <f>"中共预备党员"</f>
        <v>中共预备党员</v>
      </c>
      <c r="C789" s="1" t="str">
        <f t="shared" si="395"/>
        <v>专科</v>
      </c>
      <c r="D789" s="1" t="str">
        <f>"20210118"</f>
        <v>20210118</v>
      </c>
      <c r="E789" s="1" t="str">
        <f>"西安电子科技大学"</f>
        <v>西安电子科技大学</v>
      </c>
      <c r="F789" s="1" t="str">
        <f>"计算机网络技术"</f>
        <v>计算机网络技术</v>
      </c>
      <c r="G789" s="1" t="str">
        <f>"河南省南阳市内乡县中央御景1号楼1702"</f>
        <v>河南省南阳市内乡县中央御景1号楼1702</v>
      </c>
      <c r="H789" s="1" t="str">
        <f t="shared" si="392"/>
        <v>无</v>
      </c>
      <c r="I789" s="1" t="str">
        <f>"2004.09-2010.07    内乡县第一小学   
2010.09-2013.07    内乡县实验中学
2013.09-2015.07     南阳市中南交通技工学校
2015.09-2023.09     服役于武警山西总队吕梁支队
2018.09-2021.01     就读于西安电子科技大学    不是全日制大专
2023.09-至今           内乡县凯创装饰公司"</f>
        <v>2004.09-2010.07    内乡县第一小学   
2010.09-2013.07    内乡县实验中学
2013.09-2015.07     南阳市中南交通技工学校
2015.09-2023.09     服役于武警山西总队吕梁支队
2018.09-2021.01     就读于西安电子科技大学    不是全日制大专
2023.09-至今           内乡县凯创装饰公司</v>
      </c>
    </row>
    <row r="790" spans="1:9">
      <c r="A790" s="1" t="str">
        <f>"411325199902016012"</f>
        <v>411325199902016012</v>
      </c>
      <c r="B790" s="1" t="str">
        <f>"中共党员"</f>
        <v>中共党员</v>
      </c>
      <c r="C790" s="1" t="str">
        <f t="shared" si="395"/>
        <v>专科</v>
      </c>
      <c r="D790" s="1" t="str">
        <f>"20220720"</f>
        <v>20220720</v>
      </c>
      <c r="E790" s="1" t="str">
        <f>"国家开放大学"</f>
        <v>国家开放大学</v>
      </c>
      <c r="F790" s="1" t="str">
        <f>"计算机信息管理"</f>
        <v>计算机信息管理</v>
      </c>
      <c r="G790" s="1" t="str">
        <f>"河南省南阳市宛城区蔡庄社区碧桂园南都府7号楼7-1-1401"</f>
        <v>河南省南阳市宛城区蔡庄社区碧桂园南都府7号楼7-1-1401</v>
      </c>
      <c r="H790" s="1" t="str">
        <f>"直升机维护航电员中级"</f>
        <v>直升机维护航电员中级</v>
      </c>
      <c r="I790" s="1" t="str">
        <f>"201909-202207 国家开放大学 就读 非全日制
201609-202409中国人民解放军66350部队
202409-至今   河南省南阳市待业"</f>
        <v>201909-202207 国家开放大学 就读 非全日制
201609-202409中国人民解放军66350部队
202409-至今   河南省南阳市待业</v>
      </c>
    </row>
    <row r="791" spans="1:9">
      <c r="A791" s="1" t="str">
        <f>"411327199711173720"</f>
        <v>411327199711173720</v>
      </c>
      <c r="B791" s="1" t="str">
        <f t="shared" ref="B791:B795" si="396">"共青团员"</f>
        <v>共青团员</v>
      </c>
      <c r="C791" s="1" t="str">
        <f t="shared" ref="C791:C798" si="397">"本科"</f>
        <v>本科</v>
      </c>
      <c r="D791" s="1" t="str">
        <f>"20180801"</f>
        <v>20180801</v>
      </c>
      <c r="E791" s="1" t="str">
        <f>"信阳师范学院"</f>
        <v>信阳师范学院</v>
      </c>
      <c r="F791" s="1" t="str">
        <f>"教育类"</f>
        <v>教育类</v>
      </c>
      <c r="G791" s="1" t="str">
        <f>"河南省南阳市内乡县"</f>
        <v>河南省南阳市内乡县</v>
      </c>
      <c r="H791" s="1" t="str">
        <f t="shared" ref="H791:H813" si="398">"无"</f>
        <v>无</v>
      </c>
      <c r="I791" s="1" t="str">
        <f>"2018.7-2021.7内乡县桃溪镇双语幼儿园
2021.9-2022.7内乡县桃溪镇中心小学
2022.9-至今内乡县余关镇人民政府"</f>
        <v>2018.7-2021.7内乡县桃溪镇双语幼儿园
2021.9-2022.7内乡县桃溪镇中心小学
2022.9-至今内乡县余关镇人民政府</v>
      </c>
    </row>
    <row r="792" spans="1:9">
      <c r="A792" s="1" t="str">
        <f>"410325199804174526"</f>
        <v>410325199804174526</v>
      </c>
      <c r="B792" s="1" t="str">
        <f>"群众"</f>
        <v>群众</v>
      </c>
      <c r="C792" s="1" t="str">
        <f t="shared" si="397"/>
        <v>本科</v>
      </c>
      <c r="D792" s="1" t="str">
        <f>"20210701"</f>
        <v>20210701</v>
      </c>
      <c r="E792" s="1" t="str">
        <f>"郑州师范学院"</f>
        <v>郑州师范学院</v>
      </c>
      <c r="F792" s="1" t="str">
        <f>"管理科学（精益管理方向）"</f>
        <v>管理科学（精益管理方向）</v>
      </c>
      <c r="G792" s="1" t="str">
        <f>"河南省南阳市内乡县城关镇丽都花园5号楼2单元502"</f>
        <v>河南省南阳市内乡县城关镇丽都花园5号楼2单元502</v>
      </c>
      <c r="H792" s="1" t="str">
        <f t="shared" si="398"/>
        <v>无</v>
      </c>
      <c r="I792" s="1" t="str">
        <f>"201609-201906 郑州信息科技职业学院 工商管理学院市场营销专业就读 全日制学历。
201909-202106郑州师范学院 经济与管理学院 管理科学（精益管理）专业就读 全日制学历。
202107-202411汝州外国语任职。
202412-至今河南泽运祥耐火材料有限公司任职。"</f>
        <v>201609-201906 郑州信息科技职业学院 工商管理学院市场营销专业就读 全日制学历。
201909-202106郑州师范学院 经济与管理学院 管理科学（精益管理）专业就读 全日制学历。
202107-202411汝州外国语任职。
202412-至今河南泽运祥耐火材料有限公司任职。</v>
      </c>
    </row>
    <row r="793" spans="1:9">
      <c r="A793" s="1" t="str">
        <f>"411327200005044425"</f>
        <v>411327200005044425</v>
      </c>
      <c r="B793" s="1" t="str">
        <f t="shared" si="396"/>
        <v>共青团员</v>
      </c>
      <c r="C793" s="1" t="str">
        <f>"硕士研究生"</f>
        <v>硕士研究生</v>
      </c>
      <c r="D793" s="1" t="str">
        <f>"20250630"</f>
        <v>20250630</v>
      </c>
      <c r="E793" s="1" t="str">
        <f>"湖北大学"</f>
        <v>湖北大学</v>
      </c>
      <c r="F793" s="1" t="str">
        <f>"公共管理"</f>
        <v>公共管理</v>
      </c>
      <c r="G793" s="1" t="str">
        <f>"河南省南阳市社旗县华府中央新城"</f>
        <v>河南省南阳市社旗县华府中央新城</v>
      </c>
      <c r="H793" s="1" t="str">
        <f t="shared" si="398"/>
        <v>无</v>
      </c>
      <c r="I793" s="1" t="str">
        <f>"201709-202106，河南师范大学新联学院商学院财务管理专业就读 ，   全日制学历，学士学位
202107-202208，待业
202209-202506，湖北大学公共管理学院公共管理专业就读，全日制学历，硕士学位"</f>
        <v>201709-202106，河南师范大学新联学院商学院财务管理专业就读 ，   全日制学历，学士学位
202107-202208，待业
202209-202506，湖北大学公共管理学院公共管理专业就读，全日制学历，硕士学位</v>
      </c>
    </row>
    <row r="794" spans="1:9">
      <c r="A794" s="1" t="str">
        <f>"411327200108273183"</f>
        <v>411327200108273183</v>
      </c>
      <c r="B794" s="1" t="str">
        <f t="shared" si="396"/>
        <v>共青团员</v>
      </c>
      <c r="C794" s="1" t="str">
        <f t="shared" si="397"/>
        <v>本科</v>
      </c>
      <c r="D794" s="1" t="str">
        <f>"20240701"</f>
        <v>20240701</v>
      </c>
      <c r="E794" s="1" t="str">
        <f>"河南开封科技传媒学院"</f>
        <v>河南开封科技传媒学院</v>
      </c>
      <c r="F794" s="1" t="str">
        <f>"学前教育"</f>
        <v>学前教育</v>
      </c>
      <c r="G794" s="1" t="str">
        <f>"河南省南阳市内乡县夏馆镇黄靳村"</f>
        <v>河南省南阳市内乡县夏馆镇黄靳村</v>
      </c>
      <c r="H794" s="1" t="str">
        <f t="shared" si="398"/>
        <v>无</v>
      </c>
      <c r="I794" s="1" t="str">
        <f>"201909-202207安阳师范学院就读
202209-202407河南开封科技传媒学院就读"</f>
        <v>201909-202207安阳师范学院就读
202209-202407河南开封科技传媒学院就读</v>
      </c>
    </row>
    <row r="795" spans="1:9">
      <c r="A795" s="1" t="str">
        <f>"411327200111200049"</f>
        <v>411327200111200049</v>
      </c>
      <c r="B795" s="1" t="str">
        <f t="shared" si="396"/>
        <v>共青团员</v>
      </c>
      <c r="C795" s="1" t="str">
        <f t="shared" si="397"/>
        <v>本科</v>
      </c>
      <c r="D795" s="1" t="str">
        <f>"20240601"</f>
        <v>20240601</v>
      </c>
      <c r="E795" s="1" t="str">
        <f>"南阳师范学院"</f>
        <v>南阳师范学院</v>
      </c>
      <c r="F795" s="1" t="str">
        <f>"广播电视编导专业"</f>
        <v>广播电视编导专业</v>
      </c>
      <c r="G795" s="1" t="str">
        <f>"河南省南阳市内乡县城关镇清心路62号"</f>
        <v>河南省南阳市内乡县城关镇清心路62号</v>
      </c>
      <c r="H795" s="1" t="str">
        <f t="shared" si="398"/>
        <v>无</v>
      </c>
      <c r="I795" s="1" t="str">
        <f>"202009-202406 在南阳师范学院新闻与传播学院广播电视编导专业就读
202406-至今  待业 "</f>
        <v>202009-202406 在南阳师范学院新闻与传播学院广播电视编导专业就读
202406-至今  待业 </v>
      </c>
    </row>
    <row r="796" spans="1:9">
      <c r="A796" s="1" t="str">
        <f>"41133020020114312X"</f>
        <v>41133020020114312X</v>
      </c>
      <c r="B796" s="1" t="str">
        <f t="shared" ref="B796:B801" si="399">"群众"</f>
        <v>群众</v>
      </c>
      <c r="C796" s="1" t="str">
        <f t="shared" si="397"/>
        <v>本科</v>
      </c>
      <c r="D796" s="1" t="str">
        <f>"202406"</f>
        <v>202406</v>
      </c>
      <c r="E796" s="1" t="str">
        <f>"河南工程学院"</f>
        <v>河南工程学院</v>
      </c>
      <c r="F796" s="1" t="str">
        <f>"数字媒体艺术"</f>
        <v>数字媒体艺术</v>
      </c>
      <c r="G796" s="1" t="str">
        <f>"河南省南阳市西峡县"</f>
        <v>河南省南阳市西峡县</v>
      </c>
      <c r="H796" s="1" t="str">
        <f t="shared" si="398"/>
        <v>无</v>
      </c>
      <c r="I796" s="1" t="str">
        <f>"201709-202006西峡县第二高级中学就读
202009-202406河南工程学院就读，是全日制
202406-至今在河南省西峡县待业"</f>
        <v>201709-202006西峡县第二高级中学就读
202009-202406河南工程学院就读，是全日制
202406-至今在河南省西峡县待业</v>
      </c>
    </row>
    <row r="797" spans="1:9">
      <c r="A797" s="1" t="str">
        <f>"411329200303033524"</f>
        <v>411329200303033524</v>
      </c>
      <c r="B797" s="1" t="str">
        <f>"共青团员"</f>
        <v>共青团员</v>
      </c>
      <c r="C797" s="1" t="str">
        <f t="shared" si="397"/>
        <v>本科</v>
      </c>
      <c r="D797" s="1" t="str">
        <f>"20250701"</f>
        <v>20250701</v>
      </c>
      <c r="E797" s="1" t="str">
        <f>"洛阳师范学院"</f>
        <v>洛阳师范学院</v>
      </c>
      <c r="F797" s="1" t="str">
        <f>"数学与应用数学"</f>
        <v>数学与应用数学</v>
      </c>
      <c r="G797" s="1" t="str">
        <f>"河南省南阳市孔明路烟草小区"</f>
        <v>河南省南阳市孔明路烟草小区</v>
      </c>
      <c r="H797" s="1" t="str">
        <f t="shared" si="398"/>
        <v>无</v>
      </c>
      <c r="I797" s="1" t="str">
        <f>"202109-202507 洛阳师范学院数学科学学院数学与应用数学 就读 全日制学历"</f>
        <v>202109-202507 洛阳师范学院数学科学学院数学与应用数学 就读 全日制学历</v>
      </c>
    </row>
    <row r="798" spans="1:9">
      <c r="A798" s="1" t="str">
        <f>"41132720020811004X"</f>
        <v>41132720020811004X</v>
      </c>
      <c r="B798" s="1" t="str">
        <f t="shared" si="399"/>
        <v>群众</v>
      </c>
      <c r="C798" s="1" t="str">
        <f t="shared" si="397"/>
        <v>本科</v>
      </c>
      <c r="D798" s="1" t="str">
        <f>"20250615"</f>
        <v>20250615</v>
      </c>
      <c r="E798" s="1" t="str">
        <f>"黑龙江八一农垦大学"</f>
        <v>黑龙江八一农垦大学</v>
      </c>
      <c r="F798" s="1" t="str">
        <f>"信息与计算科学"</f>
        <v>信息与计算科学</v>
      </c>
      <c r="G798" s="1" t="str">
        <f>"河南省南阳市内乡县马山口镇车站路四十四号"</f>
        <v>河南省南阳市内乡县马山口镇车站路四十四号</v>
      </c>
      <c r="H798" s="1" t="str">
        <f t="shared" si="398"/>
        <v>无</v>
      </c>
      <c r="I798" s="1" t="str">
        <f>"202109-202506 黑龙江八一农垦大学就读"</f>
        <v>202109-202506 黑龙江八一农垦大学就读</v>
      </c>
    </row>
    <row r="799" spans="1:9">
      <c r="A799" s="1" t="str">
        <f>"411330200009204017"</f>
        <v>411330200009204017</v>
      </c>
      <c r="B799" s="1" t="str">
        <f>"共青团员"</f>
        <v>共青团员</v>
      </c>
      <c r="C799" s="1" t="str">
        <f>"专科"</f>
        <v>专科</v>
      </c>
      <c r="D799" s="1" t="str">
        <f>"20230630"</f>
        <v>20230630</v>
      </c>
      <c r="E799" s="1" t="str">
        <f>"天津石油职业技术学院"</f>
        <v>天津石油职业技术学院</v>
      </c>
      <c r="F799" s="1" t="str">
        <f>"计算机网络技术"</f>
        <v>计算机网络技术</v>
      </c>
      <c r="G799" s="1" t="str">
        <f>"河南省南阳市西峡县莲花路东城一品"</f>
        <v>河南省南阳市西峡县莲花路东城一品</v>
      </c>
      <c r="H799" s="1" t="str">
        <f t="shared" si="398"/>
        <v>无</v>
      </c>
      <c r="I799" s="1" t="str">
        <f>"202010-202306 天津石油职业技术学院信息系计算机网络技术专业就读，全日制学历
202306-至今 待业"</f>
        <v>202010-202306 天津石油职业技术学院信息系计算机网络技术专业就读，全日制学历
202306-至今 待业</v>
      </c>
    </row>
    <row r="800" spans="1:9">
      <c r="A800" s="1" t="str">
        <f>"411302199901111822"</f>
        <v>411302199901111822</v>
      </c>
      <c r="B800" s="1" t="str">
        <f t="shared" si="399"/>
        <v>群众</v>
      </c>
      <c r="C800" s="1" t="str">
        <f t="shared" ref="C800:C803" si="400">"本科"</f>
        <v>本科</v>
      </c>
      <c r="D800" s="1" t="str">
        <f>"20220731"</f>
        <v>20220731</v>
      </c>
      <c r="E800" s="1" t="str">
        <f>"河南师范大学"</f>
        <v>河南师范大学</v>
      </c>
      <c r="F800" s="1" t="str">
        <f>"信息与计算科学"</f>
        <v>信息与计算科学</v>
      </c>
      <c r="G800" s="1" t="str">
        <f>"南阳市宛城区伏牛路金居地小区"</f>
        <v>南阳市宛城区伏牛路金居地小区</v>
      </c>
      <c r="H800" s="1" t="str">
        <f t="shared" si="398"/>
        <v>无</v>
      </c>
      <c r="I800" s="1" t="str">
        <f>"201809-202207河南师范大学数学与科学学院信息与计算科学专业 就读
                        全日制学历"</f>
        <v>201809-202207河南师范大学数学与科学学院信息与计算科学专业 就读
                        全日制学历</v>
      </c>
    </row>
    <row r="801" spans="1:9">
      <c r="A801" s="1" t="str">
        <f>"410901200202262315"</f>
        <v>410901200202262315</v>
      </c>
      <c r="B801" s="1" t="str">
        <f t="shared" si="399"/>
        <v>群众</v>
      </c>
      <c r="C801" s="1" t="str">
        <f t="shared" si="400"/>
        <v>本科</v>
      </c>
      <c r="D801" s="1" t="str">
        <f>"2024年6月18日"</f>
        <v>2024年6月18日</v>
      </c>
      <c r="E801" s="1" t="str">
        <f>"郑州工业应用技术学院"</f>
        <v>郑州工业应用技术学院</v>
      </c>
      <c r="F801" s="1" t="str">
        <f>"计算机科学与技术"</f>
        <v>计算机科学与技术</v>
      </c>
      <c r="G801" s="1" t="str">
        <f>"河南省濮阳市华龙区科技新村"</f>
        <v>河南省濮阳市华龙区科技新村</v>
      </c>
      <c r="H801" s="1" t="str">
        <f t="shared" si="398"/>
        <v>无</v>
      </c>
      <c r="I801" s="1" t="str">
        <f>"202009-202406   郑州工业应用技术学院就读  全日制学历"</f>
        <v>202009-202406   郑州工业应用技术学院就读  全日制学历</v>
      </c>
    </row>
    <row r="802" spans="1:9">
      <c r="A802" s="1" t="str">
        <f>"410423199803234016"</f>
        <v>410423199803234016</v>
      </c>
      <c r="B802" s="1" t="str">
        <f>"中共党员"</f>
        <v>中共党员</v>
      </c>
      <c r="C802" s="1" t="str">
        <f t="shared" si="400"/>
        <v>本科</v>
      </c>
      <c r="D802" s="1" t="str">
        <f>"20200701"</f>
        <v>20200701</v>
      </c>
      <c r="E802" s="1" t="str">
        <f>"河南财经政法大学"</f>
        <v>河南财经政法大学</v>
      </c>
      <c r="F802" s="1" t="str">
        <f>"税收学"</f>
        <v>税收学</v>
      </c>
      <c r="G802" s="1" t="str">
        <f>"河南省郑州市二七区嵩山路街道郑密路黄岗寺小区6号楼2单元1303A"</f>
        <v>河南省郑州市二七区嵩山路街道郑密路黄岗寺小区6号楼2单元1303A</v>
      </c>
      <c r="H802" s="1" t="str">
        <f t="shared" si="398"/>
        <v>无</v>
      </c>
      <c r="I802" s="1" t="str">
        <f>"201609-202007 河南财经政法大学财政税务学院税收学专业就读"</f>
        <v>201609-202007 河南财经政法大学财政税务学院税收学专业就读</v>
      </c>
    </row>
    <row r="803" spans="1:9">
      <c r="A803" s="1" t="str">
        <f>"411327199806094910"</f>
        <v>411327199806094910</v>
      </c>
      <c r="B803" s="1" t="str">
        <f>"共青团员"</f>
        <v>共青团员</v>
      </c>
      <c r="C803" s="1" t="str">
        <f t="shared" si="400"/>
        <v>本科</v>
      </c>
      <c r="D803" s="1" t="str">
        <f>"20210701"</f>
        <v>20210701</v>
      </c>
      <c r="E803" s="1" t="str">
        <f>"黄河科技学院"</f>
        <v>黄河科技学院</v>
      </c>
      <c r="F803" s="1" t="str">
        <f>"通信工程（无线与移动通信方向）"</f>
        <v>通信工程（无线与移动通信方向）</v>
      </c>
      <c r="G803" s="1" t="str">
        <f>"内乡县湍东镇"</f>
        <v>内乡县湍东镇</v>
      </c>
      <c r="H803" s="1" t="str">
        <f t="shared" si="398"/>
        <v>无</v>
      </c>
      <c r="I803" s="1" t="str">
        <f>"201709-202106 黄河科技学院 全日制本科"</f>
        <v>201709-202106 黄河科技学院 全日制本科</v>
      </c>
    </row>
    <row r="804" spans="1:9">
      <c r="A804" s="1" t="str">
        <f>"411323199307040031"</f>
        <v>411323199307040031</v>
      </c>
      <c r="B804" s="1" t="str">
        <f>"中共党员"</f>
        <v>中共党员</v>
      </c>
      <c r="C804" s="1" t="str">
        <f>"硕士研究生"</f>
        <v>硕士研究生</v>
      </c>
      <c r="D804" s="1" t="str">
        <f>"2023-06-21"</f>
        <v>2023-06-21</v>
      </c>
      <c r="E804" s="1" t="str">
        <f>"广西大学"</f>
        <v>广西大学</v>
      </c>
      <c r="F804" s="1" t="str">
        <f>"建筑与土木工程"</f>
        <v>建筑与土木工程</v>
      </c>
      <c r="G804" s="1" t="str">
        <f>"河南省南阳市淅川县龙城街道小街社区"</f>
        <v>河南省南阳市淅川县龙城街道小街社区</v>
      </c>
      <c r="H804" s="1" t="str">
        <f t="shared" si="398"/>
        <v>无</v>
      </c>
      <c r="I804" s="1" t="str">
        <f>"201309-201806 安阳工学院，土木建筑工学学院，建筑学专业就读，全日制学历；
201806-201909 在家待业；
201909-202306 广西大学，土木建筑工学学院，建筑与土木工程专业就读，非全日制学历；
202306-至今 在家待业。"</f>
        <v>201309-201806 安阳工学院，土木建筑工学学院，建筑学专业就读，全日制学历；
201806-201909 在家待业；
201909-202306 广西大学，土木建筑工学学院，建筑与土木工程专业就读，非全日制学历；
202306-至今 在家待业。</v>
      </c>
    </row>
    <row r="805" spans="1:9">
      <c r="A805" s="1" t="str">
        <f>"411327199302203925"</f>
        <v>411327199302203925</v>
      </c>
      <c r="B805" s="1" t="str">
        <f t="shared" ref="B805:B811" si="401">"群众"</f>
        <v>群众</v>
      </c>
      <c r="C805" s="1" t="str">
        <f t="shared" ref="C805:C810" si="402">"本科"</f>
        <v>本科</v>
      </c>
      <c r="D805" s="1" t="str">
        <f>"20250701"</f>
        <v>20250701</v>
      </c>
      <c r="E805" s="1" t="str">
        <f>"安阳师范学院"</f>
        <v>安阳师范学院</v>
      </c>
      <c r="F805" s="1" t="str">
        <f>"财务管理"</f>
        <v>财务管理</v>
      </c>
      <c r="G805" s="1" t="str">
        <f>"河南省南阳市内乡县湍东镇郦都国际二期小区"</f>
        <v>河南省南阳市内乡县湍东镇郦都国际二期小区</v>
      </c>
      <c r="H805" s="1" t="str">
        <f t="shared" si="398"/>
        <v>无</v>
      </c>
      <c r="I805" s="1" t="str">
        <f>"20203-202207就读于河南工业职业技术学院，非全日制学历
202304-202507就读于安阳师范学院，非全日制学历
自201803开始就职于中国建设银行内乡支行（外包），但工作内容与正式员工一致，任职建行客户经理，负责对接对公客户，日均接待客户50+人次，协助客户等特殊群体办理业务，得到客户多次表扬。团队合作能力好，曾拿下内乡业务多个第一"</f>
        <v>20203-202207就读于河南工业职业技术学院，非全日制学历
202304-202507就读于安阳师范学院，非全日制学历
自201803开始就职于中国建设银行内乡支行（外包），但工作内容与正式员工一致，任职建行客户经理，负责对接对公客户，日均接待客户50+人次，协助客户等特殊群体办理业务，得到客户多次表扬。团队合作能力好，曾拿下内乡业务多个第一</v>
      </c>
    </row>
    <row r="806" spans="1:9">
      <c r="A806" s="1" t="str">
        <f>"412824199408117215"</f>
        <v>412824199408117215</v>
      </c>
      <c r="B806" s="1" t="str">
        <f t="shared" si="401"/>
        <v>群众</v>
      </c>
      <c r="C806" s="1" t="str">
        <f t="shared" ref="C806:C811" si="403">"专科"</f>
        <v>专科</v>
      </c>
      <c r="D806" s="1" t="str">
        <f>"20170701"</f>
        <v>20170701</v>
      </c>
      <c r="E806" s="1" t="str">
        <f>"河南牧业经济学院"</f>
        <v>河南牧业经济学院</v>
      </c>
      <c r="F806" s="1" t="str">
        <f>"会计与审计"</f>
        <v>会计与审计</v>
      </c>
      <c r="G806" s="1" t="str">
        <f>"河南省驻马店市西平县蔡寨乡代庄6组"</f>
        <v>河南省驻马店市西平县蔡寨乡代庄6组</v>
      </c>
      <c r="H806" s="1" t="str">
        <f t="shared" si="398"/>
        <v>无</v>
      </c>
      <c r="I806" s="1" t="str">
        <f>"201409-201707河南牧业经济学院就读 专业会计与审计全日制
201707-201903 河南悦来悦喜商贸有限公司
201903-202009 待业
202009-202109 郑州讯推网络科技有限公司
202109-202111 待业
202111-202206 河南一彩客物联网科技有限公司
202206-202403 郑州三洁生物科技有限公司
202403-202503 平顶山乐禾文化传媒有限公司
202503-至今 待业"</f>
        <v>201409-201707河南牧业经济学院就读 专业会计与审计全日制
201707-201903 河南悦来悦喜商贸有限公司
201903-202009 待业
202009-202109 郑州讯推网络科技有限公司
202109-202111 待业
202111-202206 河南一彩客物联网科技有限公司
202206-202403 郑州三洁生物科技有限公司
202403-202503 平顶山乐禾文化传媒有限公司
202503-至今 待业</v>
      </c>
    </row>
    <row r="807" spans="1:9">
      <c r="A807" s="1" t="str">
        <f>"41088320000105034X"</f>
        <v>41088320000105034X</v>
      </c>
      <c r="B807" s="1" t="str">
        <f>"共青团员"</f>
        <v>共青团员</v>
      </c>
      <c r="C807" s="1" t="str">
        <f t="shared" si="402"/>
        <v>本科</v>
      </c>
      <c r="D807" s="1" t="str">
        <f>"2022年6月22日"</f>
        <v>2022年6月22日</v>
      </c>
      <c r="E807" s="1" t="str">
        <f>"河北传媒学院"</f>
        <v>河北传媒学院</v>
      </c>
      <c r="F807" s="1" t="str">
        <f>"环境设计"</f>
        <v>环境设计</v>
      </c>
      <c r="G807" s="1" t="str">
        <f>"河南省孟州市"</f>
        <v>河南省孟州市</v>
      </c>
      <c r="H807" s="1" t="str">
        <f t="shared" si="398"/>
        <v>无</v>
      </c>
      <c r="I807" s="1" t="str">
        <f>"2014年9月——2017年6月    孟州市第五高级中学   学生
2017年9月——2020年6月    河北东方学院         学生
2020年9月——2022年6月    河北传媒学院         学生
2022年6月——至今           待业"</f>
        <v>2014年9月——2017年6月    孟州市第五高级中学   学生
2017年9月——2020年6月    河北东方学院         学生
2020年9月——2022年6月    河北传媒学院         学生
2022年6月——至今           待业</v>
      </c>
    </row>
    <row r="808" spans="1:9">
      <c r="A808" s="1" t="str">
        <f>"411523200003301331"</f>
        <v>411523200003301331</v>
      </c>
      <c r="B808" s="1" t="str">
        <f>"中共预备党员"</f>
        <v>中共预备党员</v>
      </c>
      <c r="C808" s="1" t="str">
        <f t="shared" si="403"/>
        <v>专科</v>
      </c>
      <c r="D808" s="1" t="str">
        <f>"20220630"</f>
        <v>20220630</v>
      </c>
      <c r="E808" s="1" t="str">
        <f>"文华学院"</f>
        <v>文华学院</v>
      </c>
      <c r="F808" s="1" t="str">
        <f>"工程造价"</f>
        <v>工程造价</v>
      </c>
      <c r="G808" s="1" t="str">
        <f>"河南省信阳市新县八里畈镇"</f>
        <v>河南省信阳市新县八里畈镇</v>
      </c>
      <c r="H808" s="1" t="str">
        <f t="shared" si="398"/>
        <v>无</v>
      </c>
      <c r="I808" s="1" t="str">
        <f>"201909-202206 文华学院学校就读工程造价专业，全日制学历
202206-至今 在家待业"</f>
        <v>201909-202206 文华学院学校就读工程造价专业，全日制学历
202206-至今 在家待业</v>
      </c>
    </row>
    <row r="809" spans="1:9">
      <c r="A809" s="1" t="str">
        <f>"411330199805023430"</f>
        <v>411330199805023430</v>
      </c>
      <c r="B809" s="1" t="str">
        <f t="shared" si="401"/>
        <v>群众</v>
      </c>
      <c r="C809" s="1" t="str">
        <f t="shared" si="402"/>
        <v>本科</v>
      </c>
      <c r="D809" s="1" t="str">
        <f>"20200630"</f>
        <v>20200630</v>
      </c>
      <c r="E809" s="1" t="str">
        <f>"郑州轻工业大学"</f>
        <v>郑州轻工业大学</v>
      </c>
      <c r="F809" s="1" t="str">
        <f>"能源与动力工程"</f>
        <v>能源与动力工程</v>
      </c>
      <c r="G809" s="1" t="str">
        <f>"河南省南阳市张衡街道宣庄小区"</f>
        <v>河南省南阳市张衡街道宣庄小区</v>
      </c>
      <c r="H809" s="1" t="str">
        <f t="shared" si="398"/>
        <v>无</v>
      </c>
      <c r="I809" s="1" t="str">
        <f>"201609-202006郑州轻工业大学能源与动力工程学院就读，全日制本科"</f>
        <v>201609-202006郑州轻工业大学能源与动力工程学院就读，全日制本科</v>
      </c>
    </row>
    <row r="810" spans="1:9">
      <c r="A810" s="1" t="str">
        <f>"411325200407060687"</f>
        <v>411325200407060687</v>
      </c>
      <c r="B810" s="1" t="str">
        <f t="shared" si="401"/>
        <v>群众</v>
      </c>
      <c r="C810" s="1" t="str">
        <f t="shared" si="402"/>
        <v>本科</v>
      </c>
      <c r="D810" s="1" t="str">
        <f>"20250615"</f>
        <v>20250615</v>
      </c>
      <c r="E810" s="1" t="str">
        <f>"郑州航空工业管理学院"</f>
        <v>郑州航空工业管理学院</v>
      </c>
      <c r="F810" s="1" t="str">
        <f>"行政管理"</f>
        <v>行政管理</v>
      </c>
      <c r="G810" s="1" t="str">
        <f>"河南省内乡县马山口镇次元村"</f>
        <v>河南省内乡县马山口镇次元村</v>
      </c>
      <c r="H810" s="1" t="str">
        <f t="shared" si="398"/>
        <v>无</v>
      </c>
      <c r="I810" s="1" t="str">
        <f>"202109-202506在郑州航空工业管理学院文法学院行政管理专业就读，全日制学历"</f>
        <v>202109-202506在郑州航空工业管理学院文法学院行政管理专业就读，全日制学历</v>
      </c>
    </row>
    <row r="811" spans="1:9">
      <c r="A811" s="1" t="str">
        <f>"411327200310040025"</f>
        <v>411327200310040025</v>
      </c>
      <c r="B811" s="1" t="str">
        <f t="shared" si="401"/>
        <v>群众</v>
      </c>
      <c r="C811" s="1" t="str">
        <f t="shared" si="403"/>
        <v>专科</v>
      </c>
      <c r="D811" s="1" t="str">
        <f>"20250701"</f>
        <v>20250701</v>
      </c>
      <c r="E811" s="1" t="str">
        <f>"西安海棠职业学院"</f>
        <v>西安海棠职业学院</v>
      </c>
      <c r="F811" s="1" t="str">
        <f>"护理"</f>
        <v>护理</v>
      </c>
      <c r="G811" s="1" t="str">
        <f>"河南省南阳市卧龙区人民北路东华新村"</f>
        <v>河南省南阳市卧龙区人民北路东华新村</v>
      </c>
      <c r="H811" s="1" t="str">
        <f t="shared" si="398"/>
        <v>无</v>
      </c>
      <c r="I811" s="1" t="str">
        <f>"202209-202507在西安海棠职业学院医学技术系护理专业就读，是全日制学历"</f>
        <v>202209-202507在西安海棠职业学院医学技术系护理专业就读，是全日制学历</v>
      </c>
    </row>
    <row r="812" spans="1:9">
      <c r="A812" s="1" t="str">
        <f>"411303200012020543"</f>
        <v>411303200012020543</v>
      </c>
      <c r="B812" s="1" t="str">
        <f>"共青团员"</f>
        <v>共青团员</v>
      </c>
      <c r="C812" s="1" t="str">
        <f t="shared" ref="C812:C814" si="404">"本科"</f>
        <v>本科</v>
      </c>
      <c r="D812" s="1" t="str">
        <f>"20220607"</f>
        <v>20220607</v>
      </c>
      <c r="E812" s="1" t="str">
        <f>"郑州大学"</f>
        <v>郑州大学</v>
      </c>
      <c r="F812" s="1" t="str">
        <f>"西亚斯国际学院会计学"</f>
        <v>西亚斯国际学院会计学</v>
      </c>
      <c r="G812" s="1" t="str">
        <f>"河南省南阳市卧龙路宇信凯旋华府"</f>
        <v>河南省南阳市卧龙路宇信凯旋华府</v>
      </c>
      <c r="H812" s="1" t="str">
        <f t="shared" si="398"/>
        <v>无</v>
      </c>
      <c r="I812" s="1" t="str">
        <f>"201809-202206 在郑州大学西亚斯国际学院会计学专业就读，是全日制学历，取得学士学位
202206-202507 在河南省承钧建材科技开发有限公司工作，任会计职务
"</f>
        <v>201809-202206 在郑州大学西亚斯国际学院会计学专业就读，是全日制学历，取得学士学位
202206-202507 在河南省承钧建材科技开发有限公司工作，任会计职务
</v>
      </c>
    </row>
    <row r="813" spans="1:9">
      <c r="A813" s="1" t="str">
        <f>"341124199308194830"</f>
        <v>341124199308194830</v>
      </c>
      <c r="B813" s="1" t="str">
        <f t="shared" ref="B813:B817" si="405">"群众"</f>
        <v>群众</v>
      </c>
      <c r="C813" s="1" t="str">
        <f t="shared" si="404"/>
        <v>本科</v>
      </c>
      <c r="D813" s="1" t="str">
        <f>"20150617"</f>
        <v>20150617</v>
      </c>
      <c r="E813" s="1" t="str">
        <f>"华北理工大学"</f>
        <v>华北理工大学</v>
      </c>
      <c r="F813" s="1" t="str">
        <f>"电子信息工程"</f>
        <v>电子信息工程</v>
      </c>
      <c r="G813" s="1" t="str">
        <f>"安徽省滁州市全椒县拉菲公馆5栋1104"</f>
        <v>安徽省滁州市全椒县拉菲公馆5栋1104</v>
      </c>
      <c r="H813" s="1" t="str">
        <f t="shared" si="398"/>
        <v>无</v>
      </c>
      <c r="I813" s="1" t="str">
        <f>"2007.09-2011.06 安徽全椒中学 学生
2011.09-2015.06 华北理工大学 学生
2015.08-2018.02 待业
2018.03-2021.02 博智安全科技有限公司 员工
2021.03-2024.10 南京明德软件有限公司 员工
2024.11-至今 待业"</f>
        <v>2007.09-2011.06 安徽全椒中学 学生
2011.09-2015.06 华北理工大学 学生
2015.08-2018.02 待业
2018.03-2021.02 博智安全科技有限公司 员工
2021.03-2024.10 南京明德软件有限公司 员工
2024.11-至今 待业</v>
      </c>
    </row>
    <row r="814" spans="1:9">
      <c r="A814" s="1" t="str">
        <f>"411303199805103327"</f>
        <v>411303199805103327</v>
      </c>
      <c r="B814" s="1" t="str">
        <f>"共青团员"</f>
        <v>共青团员</v>
      </c>
      <c r="C814" s="1" t="str">
        <f t="shared" si="404"/>
        <v>本科</v>
      </c>
      <c r="D814" s="1" t="str">
        <f>"20230701，年（2023）月（07）日（01）"</f>
        <v>20230701，年（2023）月（07）日（01）</v>
      </c>
      <c r="E814" s="1" t="str">
        <f>"南阳师范学院"</f>
        <v>南阳师范学院</v>
      </c>
      <c r="F814" s="1" t="str">
        <f>"财务管理"</f>
        <v>财务管理</v>
      </c>
      <c r="G814" s="1" t="str">
        <f>"河南省南阳市卧龙区石桥镇施庄村小街"</f>
        <v>河南省南阳市卧龙区石桥镇施庄村小街</v>
      </c>
      <c r="H814" s="1" t="str">
        <f>"初级会计证"</f>
        <v>初级会计证</v>
      </c>
      <c r="I814" s="1" t="str">
        <f>"202309-202507 （学校代课老师）
202109-202307 （南阳师范学院）就读财务管理专业 全日制学历
201809-202107   (焦作师范高等专科学校）就读会计专业 全日制学历"</f>
        <v>202309-202507 （学校代课老师）
202109-202307 （南阳师范学院）就读财务管理专业 全日制学历
201809-202107   (焦作师范高等专科学校）就读会计专业 全日制学历</v>
      </c>
    </row>
    <row r="815" spans="1:9">
      <c r="A815" s="1" t="str">
        <f>"411381199003297915"</f>
        <v>411381199003297915</v>
      </c>
      <c r="B815" s="1" t="str">
        <f t="shared" si="405"/>
        <v>群众</v>
      </c>
      <c r="C815" s="1" t="str">
        <f t="shared" ref="C815:C819" si="406">"专科"</f>
        <v>专科</v>
      </c>
      <c r="D815" s="1" t="str">
        <f>"20110701"</f>
        <v>20110701</v>
      </c>
      <c r="E815" s="1" t="str">
        <f>"河南农业职业学院"</f>
        <v>河南农业职业学院</v>
      </c>
      <c r="F815" s="1" t="str">
        <f>"兽医医药"</f>
        <v>兽医医药</v>
      </c>
      <c r="G815" s="1" t="str">
        <f>"河南省邓州市花洲街道陈湾社区陈湾村"</f>
        <v>河南省邓州市花洲街道陈湾社区陈湾村</v>
      </c>
      <c r="H815" s="1" t="str">
        <f t="shared" ref="H815:H836" si="407">"无"</f>
        <v>无</v>
      </c>
      <c r="I815" s="1" t="str">
        <f>"200809-201107 在河南农业职业学院 动物科学系 兽医医药专业就读 是全日制学历
201109-201308  在尼尔森上海分公司西安市场部工作
201309-201503  在河南想念食品有限公司销售部工作
201505-201906  苏宁易购南阳分公司邓州店店长
201907-至今    在河南省邓州市从事电商等自由职业"</f>
        <v>200809-201107 在河南农业职业学院 动物科学系 兽医医药专业就读 是全日制学历
201109-201308  在尼尔森上海分公司西安市场部工作
201309-201503  在河南想念食品有限公司销售部工作
201505-201906  苏宁易购南阳分公司邓州店店长
201907-至今    在河南省邓州市从事电商等自由职业</v>
      </c>
    </row>
    <row r="816" spans="1:9">
      <c r="A816" s="1" t="str">
        <f>"411327199611202934"</f>
        <v>411327199611202934</v>
      </c>
      <c r="B816" s="1" t="str">
        <f>"中共党员"</f>
        <v>中共党员</v>
      </c>
      <c r="C816" s="1" t="str">
        <f t="shared" si="406"/>
        <v>专科</v>
      </c>
      <c r="D816" s="1" t="str">
        <f>"20170701"</f>
        <v>20170701</v>
      </c>
      <c r="E816" s="1" t="str">
        <f>"郑州科技学院"</f>
        <v>郑州科技学院</v>
      </c>
      <c r="F816" s="1" t="str">
        <f>"建筑工程技术"</f>
        <v>建筑工程技术</v>
      </c>
      <c r="G816" s="1" t="str">
        <f>"河南省南阳市内乡县瓦亭镇"</f>
        <v>河南省南阳市内乡县瓦亭镇</v>
      </c>
      <c r="H816" s="1" t="str">
        <f t="shared" si="407"/>
        <v>无</v>
      </c>
      <c r="I816" s="1" t="str">
        <f>"201409-201707郑州科技学院土木工程学院建筑工程技术就读是全日制学历"</f>
        <v>201409-201707郑州科技学院土木工程学院建筑工程技术就读是全日制学历</v>
      </c>
    </row>
    <row r="817" spans="1:9">
      <c r="A817" s="1" t="str">
        <f>"411326200203094021"</f>
        <v>411326200203094021</v>
      </c>
      <c r="B817" s="1" t="str">
        <f t="shared" si="405"/>
        <v>群众</v>
      </c>
      <c r="C817" s="1" t="str">
        <f t="shared" ref="C817:C822" si="408">"本科"</f>
        <v>本科</v>
      </c>
      <c r="D817" s="1" t="str">
        <f>"2025.06"</f>
        <v>2025.06</v>
      </c>
      <c r="E817" s="1" t="str">
        <f>"南阳师范学院"</f>
        <v>南阳师范学院</v>
      </c>
      <c r="F817" s="1" t="str">
        <f>"汉语言文学"</f>
        <v>汉语言文学</v>
      </c>
      <c r="G817" s="1" t="str">
        <f>"河南省南阳市南召县光明路锦江公寓对面"</f>
        <v>河南省南阳市南召县光明路锦江公寓对面</v>
      </c>
      <c r="H817" s="1" t="str">
        <f t="shared" si="407"/>
        <v>无</v>
      </c>
      <c r="I817" s="1" t="str">
        <f>"2020.9.1——2023.7.1   语文教育   河南财政金融学院    就读  全日制
2023.9.1——2025.6.6   汉语言文学  南阳师范学院    就读  全日制"</f>
        <v>2020.9.1——2023.7.1   语文教育   河南财政金融学院    就读  全日制
2023.9.1——2025.6.6   汉语言文学  南阳师范学院    就读  全日制</v>
      </c>
    </row>
    <row r="818" spans="1:9">
      <c r="A818" s="1" t="str">
        <f>"532125199804190954"</f>
        <v>532125199804190954</v>
      </c>
      <c r="B818" s="1" t="str">
        <f>"中共党员"</f>
        <v>中共党员</v>
      </c>
      <c r="C818" s="1" t="str">
        <f t="shared" si="406"/>
        <v>专科</v>
      </c>
      <c r="D818" s="1" t="str">
        <f>"20190701"</f>
        <v>20190701</v>
      </c>
      <c r="E818" s="1" t="str">
        <f>"云南林业职业技术学院"</f>
        <v>云南林业职业技术学院</v>
      </c>
      <c r="F818" s="1" t="str">
        <f>"资产评估与管理"</f>
        <v>资产评估与管理</v>
      </c>
      <c r="G818" s="1" t="str">
        <f>"云南省昭通市大关县悦乐镇街上148号"</f>
        <v>云南省昭通市大关县悦乐镇街上148号</v>
      </c>
      <c r="H818" s="1" t="str">
        <f t="shared" si="407"/>
        <v>无</v>
      </c>
      <c r="I818" s="1" t="str">
        <f>"201609—201907在云南林业职业技术学院经济管理院系资产评估与管理专业就读
201907—202207在云南省昭通市永善县墨翰乡人民政府参加西部计划志愿者
202207至今在家待业"</f>
        <v>201609—201907在云南林业职业技术学院经济管理院系资产评估与管理专业就读
201907—202207在云南省昭通市永善县墨翰乡人民政府参加西部计划志愿者
202207至今在家待业</v>
      </c>
    </row>
    <row r="819" spans="1:9">
      <c r="A819" s="1" t="str">
        <f>"411525200309094518"</f>
        <v>411525200309094518</v>
      </c>
      <c r="B819" s="1" t="str">
        <f t="shared" ref="B819:B823" si="409">"群众"</f>
        <v>群众</v>
      </c>
      <c r="C819" s="1" t="str">
        <f t="shared" si="406"/>
        <v>专科</v>
      </c>
      <c r="D819" s="1" t="str">
        <f>"2025年6月30日"</f>
        <v>2025年6月30日</v>
      </c>
      <c r="E819" s="1" t="str">
        <f>"郑州健康1学院"</f>
        <v>郑州健康1学院</v>
      </c>
      <c r="F819" s="1" t="str">
        <f>"口腔医学"</f>
        <v>口腔医学</v>
      </c>
      <c r="G819" s="1" t="str">
        <f>"河南省信阳市固始县陈淋子镇街道"</f>
        <v>河南省信阳市固始县陈淋子镇街道</v>
      </c>
      <c r="H819" s="1" t="str">
        <f t="shared" si="407"/>
        <v>无</v>
      </c>
      <c r="I819" s="1" t="str">
        <f>"2022年9月1日-2025年6月30日在郑州健康学院口腔医学系就读"</f>
        <v>2022年9月1日-2025年6月30日在郑州健康学院口腔医学系就读</v>
      </c>
    </row>
    <row r="820" spans="1:9">
      <c r="A820" s="1" t="str">
        <f>"411327199509130022"</f>
        <v>411327199509130022</v>
      </c>
      <c r="B820" s="1" t="str">
        <f t="shared" si="409"/>
        <v>群众</v>
      </c>
      <c r="C820" s="1" t="str">
        <f>"硕士研究生"</f>
        <v>硕士研究生</v>
      </c>
      <c r="D820" s="1" t="str">
        <f>"20190701"</f>
        <v>20190701</v>
      </c>
      <c r="E820" s="1" t="str">
        <f>"新疆大学"</f>
        <v>新疆大学</v>
      </c>
      <c r="F820" s="1" t="str">
        <f>"翻译"</f>
        <v>翻译</v>
      </c>
      <c r="G820" s="1" t="str">
        <f>"河南省内乡县菊城豪庭"</f>
        <v>河南省内乡县菊城豪庭</v>
      </c>
      <c r="H820" s="1" t="str">
        <f t="shared" si="407"/>
        <v>无</v>
      </c>
      <c r="I820" s="1" t="str">
        <f>"201309-201706海南大学 外国语学院 俄语系 俄语专业就读 全日制学历
201706-201709 待业
201709-201906 新疆大学 外国语学院 俄语系 翻译专业就读 全日制学历
201906-201912待业
201912-202108巩义团市委 科员
202108-202109 待业
202109至今 内乡县职业中等专业学校 教师"</f>
        <v>201309-201706海南大学 外国语学院 俄语系 俄语专业就读 全日制学历
201706-201709 待业
201709-201906 新疆大学 外国语学院 俄语系 翻译专业就读 全日制学历
201906-201912待业
201912-202108巩义团市委 科员
202108-202109 待业
202109至今 内乡县职业中等专业学校 教师</v>
      </c>
    </row>
    <row r="821" spans="1:9">
      <c r="A821" s="1" t="str">
        <f>"362329200102250051"</f>
        <v>362329200102250051</v>
      </c>
      <c r="B821" s="1" t="str">
        <f t="shared" si="409"/>
        <v>群众</v>
      </c>
      <c r="C821" s="1" t="str">
        <f t="shared" si="408"/>
        <v>本科</v>
      </c>
      <c r="D821" s="1" t="str">
        <f>"20230324"</f>
        <v>20230324</v>
      </c>
      <c r="E821" s="1" t="str">
        <f>"詹姆斯库克大学"</f>
        <v>詹姆斯库克大学</v>
      </c>
      <c r="F821" s="1" t="str">
        <f>"管理学"</f>
        <v>管理学</v>
      </c>
      <c r="G821" s="1" t="str">
        <f>"江西省上饶市余干县玉亭镇126号"</f>
        <v>江西省上饶市余干县玉亭镇126号</v>
      </c>
      <c r="H821" s="1" t="str">
        <f t="shared" si="407"/>
        <v>无</v>
      </c>
      <c r="I821" s="1" t="str">
        <f>"201809-202103 在香港伍伦贡学院商务管理专业就读，为全日制学历。
202111-202303 在詹姆斯库克大学管理学专业就读，为全日制学历。
202303至今 待业"</f>
        <v>201809-202103 在香港伍伦贡学院商务管理专业就读，为全日制学历。
202111-202303 在詹姆斯库克大学管理学专业就读，为全日制学历。
202303至今 待业</v>
      </c>
    </row>
    <row r="822" spans="1:9">
      <c r="A822" s="1" t="str">
        <f>"411327199507220024"</f>
        <v>411327199507220024</v>
      </c>
      <c r="B822" s="1" t="str">
        <f t="shared" si="409"/>
        <v>群众</v>
      </c>
      <c r="C822" s="1" t="str">
        <f t="shared" si="408"/>
        <v>本科</v>
      </c>
      <c r="D822" s="1" t="str">
        <f>"20170625"</f>
        <v>20170625</v>
      </c>
      <c r="E822" s="1" t="str">
        <f>"厦门理工学院"</f>
        <v>厦门理工学院</v>
      </c>
      <c r="F822" s="1" t="str">
        <f>"汉语国际教育"</f>
        <v>汉语国际教育</v>
      </c>
      <c r="G822" s="1" t="str">
        <f>"河南省南阳市内乡县城关镇黉学村三组"</f>
        <v>河南省南阳市内乡县城关镇黉学村三组</v>
      </c>
      <c r="H822" s="1" t="str">
        <f t="shared" si="407"/>
        <v>无</v>
      </c>
      <c r="I822" s="1" t="str">
        <f>"201009-201306 内乡县高级中学 就读；
201309-201706 厦门理工学院 外国语学院 汉语国际教育专业 全日制学历；
201707-201811 待业；
201812-202104 内乡县失业保险管理处；
202105-至今 南阳市翔丞人力资源服务有限公司。"</f>
        <v>201009-201306 内乡县高级中学 就读；
201309-201706 厦门理工学院 外国语学院 汉语国际教育专业 全日制学历；
201707-201811 待业；
201812-202104 内乡县失业保险管理处；
202105-至今 南阳市翔丞人力资源服务有限公司。</v>
      </c>
    </row>
    <row r="823" spans="1:9">
      <c r="A823" s="1" t="str">
        <f>"411327200407184527"</f>
        <v>411327200407184527</v>
      </c>
      <c r="B823" s="1" t="str">
        <f t="shared" si="409"/>
        <v>群众</v>
      </c>
      <c r="C823" s="1" t="str">
        <f>"专科"</f>
        <v>专科</v>
      </c>
      <c r="D823" s="1" t="str">
        <f>"2024.06.08"</f>
        <v>2024.06.08</v>
      </c>
      <c r="E823" s="1" t="str">
        <f>"安阳幼儿师范高等专科学校"</f>
        <v>安阳幼儿师范高等专科学校</v>
      </c>
      <c r="F823" s="1" t="str">
        <f>"学前教育"</f>
        <v>学前教育</v>
      </c>
      <c r="G823" s="1" t="str">
        <f>"河南省南阳市内乡县湍东镇郦都国际小区一期"</f>
        <v>河南省南阳市内乡县湍东镇郦都国际小区一期</v>
      </c>
      <c r="H823" s="1" t="str">
        <f t="shared" si="407"/>
        <v>无</v>
      </c>
      <c r="I823" s="1" t="str">
        <f>"201909-202406 安阳幼儿师范高等专科学校 幼儿教育学院 学前教育专业（全日制）
202406-至今 待业"</f>
        <v>201909-202406 安阳幼儿师范高等专科学校 幼儿教育学院 学前教育专业（全日制）
202406-至今 待业</v>
      </c>
    </row>
    <row r="824" spans="1:9">
      <c r="A824" s="1" t="str">
        <f>"41132719900308003X"</f>
        <v>41132719900308003X</v>
      </c>
      <c r="B824" s="1" t="str">
        <f>"中共党员"</f>
        <v>中共党员</v>
      </c>
      <c r="C824" s="1" t="str">
        <f t="shared" ref="C824:C831" si="410">"本科"</f>
        <v>本科</v>
      </c>
      <c r="D824" s="1" t="str">
        <f>"2015.07"</f>
        <v>2015.07</v>
      </c>
      <c r="E824" s="1" t="str">
        <f>"赣南师范学院"</f>
        <v>赣南师范学院</v>
      </c>
      <c r="F824" s="1" t="str">
        <f>"艺术设计"</f>
        <v>艺术设计</v>
      </c>
      <c r="G824" s="1" t="str">
        <f>"河南省南阳市西峡县师范小区五单元202"</f>
        <v>河南省南阳市西峡县师范小区五单元202</v>
      </c>
      <c r="H824" s="1" t="str">
        <f t="shared" si="407"/>
        <v>无</v>
      </c>
      <c r="I824" s="1" t="str">
        <f>"2011.09-2015.07赣南师范学院美术学院艺术设计专业学生,全日制
2015.07-2020.05待业
2020.05-至今南阳市西峡县交大队辅警"</f>
        <v>2011.09-2015.07赣南师范学院美术学院艺术设计专业学生,全日制
2015.07-2020.05待业
2020.05-至今南阳市西峡县交大队辅警</v>
      </c>
    </row>
    <row r="825" spans="1:9">
      <c r="A825" s="1" t="str">
        <f>"411327199810150743"</f>
        <v>411327199810150743</v>
      </c>
      <c r="B825" s="1" t="str">
        <f t="shared" ref="B825:B828" si="411">"共青团员"</f>
        <v>共青团员</v>
      </c>
      <c r="C825" s="1" t="str">
        <f t="shared" si="410"/>
        <v>本科</v>
      </c>
      <c r="D825" s="1" t="str">
        <f>"20210701"</f>
        <v>20210701</v>
      </c>
      <c r="E825" s="1" t="str">
        <f>"信阳师范学院"</f>
        <v>信阳师范学院</v>
      </c>
      <c r="F825" s="1" t="str">
        <f>"旅游管理"</f>
        <v>旅游管理</v>
      </c>
      <c r="G825" s="1" t="str">
        <f>"河南省南阳市内乡县马山口镇王场村"</f>
        <v>河南省南阳市内乡县马山口镇王场村</v>
      </c>
      <c r="H825" s="1" t="str">
        <f t="shared" si="407"/>
        <v>无</v>
      </c>
      <c r="I825" s="1" t="str">
        <f>"201709-202107信阳师范学院旅游管理学院旅游管理专业就读 全日制学历    
202109-202412内乡郦都学校担任初中语文教师
202501-202507南阳山香教育机构学习"</f>
        <v>201709-202107信阳师范学院旅游管理学院旅游管理专业就读 全日制学历    
202109-202412内乡郦都学校担任初中语文教师
202501-202507南阳山香教育机构学习</v>
      </c>
    </row>
    <row r="826" spans="1:9">
      <c r="A826" s="1" t="str">
        <f>"411302199707071310"</f>
        <v>411302199707071310</v>
      </c>
      <c r="B826" s="1" t="str">
        <f t="shared" si="411"/>
        <v>共青团员</v>
      </c>
      <c r="C826" s="1" t="str">
        <f t="shared" si="410"/>
        <v>本科</v>
      </c>
      <c r="D826" s="1" t="str">
        <f>"20200701"</f>
        <v>20200701</v>
      </c>
      <c r="E826" s="1" t="str">
        <f>"安阳工学院"</f>
        <v>安阳工学院</v>
      </c>
      <c r="F826" s="1" t="str">
        <f>"工商管理"</f>
        <v>工商管理</v>
      </c>
      <c r="G826" s="1" t="str">
        <f>"河南省南阳市卧龙区车站街道南铁嘉园一号楼一单元1802"</f>
        <v>河南省南阳市卧龙区车站街道南铁嘉园一号楼一单元1802</v>
      </c>
      <c r="H826" s="1" t="str">
        <f t="shared" si="407"/>
        <v>无</v>
      </c>
      <c r="I826" s="1" t="str">
        <f>"201809-202007 安阳工学院 就读  工商管理 全日制本科
201509-201807 许昌职业技术学院 就读  财务管理 全日制专科
"</f>
        <v>201809-202007 安阳工学院 就读  工商管理 全日制本科
201509-201807 许昌职业技术学院 就读  财务管理 全日制专科
</v>
      </c>
    </row>
    <row r="827" spans="1:9">
      <c r="A827" s="1" t="str">
        <f>"411324200307020067"</f>
        <v>411324200307020067</v>
      </c>
      <c r="B827" s="1" t="str">
        <f t="shared" ref="B827:B830" si="412">"群众"</f>
        <v>群众</v>
      </c>
      <c r="C827" s="1" t="str">
        <f t="shared" si="410"/>
        <v>本科</v>
      </c>
      <c r="D827" s="1" t="str">
        <f>"20250630"</f>
        <v>20250630</v>
      </c>
      <c r="E827" s="1" t="str">
        <f>"云南农业大学"</f>
        <v>云南农业大学</v>
      </c>
      <c r="F827" s="1" t="str">
        <f>"种子科学与工程"</f>
        <v>种子科学与工程</v>
      </c>
      <c r="G827" s="1" t="str">
        <f>"河南省镇平县小尧庄文明小区"</f>
        <v>河南省镇平县小尧庄文明小区</v>
      </c>
      <c r="H827" s="1" t="str">
        <f t="shared" si="407"/>
        <v>无</v>
      </c>
      <c r="I827" s="1" t="str">
        <f>"202109-202506 云南农业大学农学与生物技术学院种子科学与工程专业全日制本科 就读。"</f>
        <v>202109-202506 云南农业大学农学与生物技术学院种子科学与工程专业全日制本科 就读。</v>
      </c>
    </row>
    <row r="828" spans="1:9">
      <c r="A828" s="1" t="str">
        <f>"411327199903183122"</f>
        <v>411327199903183122</v>
      </c>
      <c r="B828" s="1" t="str">
        <f t="shared" si="411"/>
        <v>共青团员</v>
      </c>
      <c r="C828" s="1" t="str">
        <f t="shared" si="410"/>
        <v>本科</v>
      </c>
      <c r="D828" s="1" t="str">
        <f>"20210701"</f>
        <v>20210701</v>
      </c>
      <c r="E828" s="1" t="str">
        <f>"河南科技学院"</f>
        <v>河南科技学院</v>
      </c>
      <c r="F828" s="1" t="str">
        <f>"农业资源与环境"</f>
        <v>农业资源与环境</v>
      </c>
      <c r="G828" s="1" t="str">
        <f>"河南省内乡县"</f>
        <v>河南省内乡县</v>
      </c>
      <c r="H828" s="1" t="str">
        <f t="shared" si="407"/>
        <v>无</v>
      </c>
      <c r="I828" s="1" t="str">
        <f>"201709-202107河南科技学院农业资源与环境专业就读，是全日制学历，没有间断。"</f>
        <v>201709-202107河南科技学院农业资源与环境专业就读，是全日制学历，没有间断。</v>
      </c>
    </row>
    <row r="829" spans="1:9">
      <c r="A829" s="1" t="str">
        <f>"411327200207044511"</f>
        <v>411327200207044511</v>
      </c>
      <c r="B829" s="1" t="str">
        <f t="shared" si="412"/>
        <v>群众</v>
      </c>
      <c r="C829" s="1" t="str">
        <f t="shared" si="410"/>
        <v>本科</v>
      </c>
      <c r="D829" s="1" t="str">
        <f>"20250701"</f>
        <v>20250701</v>
      </c>
      <c r="E829" s="1" t="str">
        <f>"郑州工程技术学院"</f>
        <v>郑州工程技术学院</v>
      </c>
      <c r="F829" s="1" t="str">
        <f>"软件工程"</f>
        <v>软件工程</v>
      </c>
      <c r="G829" s="1" t="str">
        <f>"河南省南阳市内乡县赵店乡郦城村"</f>
        <v>河南省南阳市内乡县赵店乡郦城村</v>
      </c>
      <c r="H829" s="1" t="str">
        <f t="shared" si="407"/>
        <v>无</v>
      </c>
      <c r="I829" s="1" t="str">
        <f>"2020年09月-2023年07月在河南财经政法大学国际教育学院计算机网络技术专业就读。
2023年09月-2025年07月在郑州工程技术学院软件学院软件工程专业全日制专升本就读。2025年07月-至今待业。"</f>
        <v>2020年09月-2023年07月在河南财经政法大学国际教育学院计算机网络技术专业就读。
2023年09月-2025年07月在郑州工程技术学院软件学院软件工程专业全日制专升本就读。2025年07月-至今待业。</v>
      </c>
    </row>
    <row r="830" spans="1:9">
      <c r="A830" s="1" t="str">
        <f>"411327199710200029"</f>
        <v>411327199710200029</v>
      </c>
      <c r="B830" s="1" t="str">
        <f t="shared" si="412"/>
        <v>群众</v>
      </c>
      <c r="C830" s="1" t="str">
        <f t="shared" si="410"/>
        <v>本科</v>
      </c>
      <c r="D830" s="1" t="str">
        <f>"20190701"</f>
        <v>20190701</v>
      </c>
      <c r="E830" s="1" t="str">
        <f>"河南财经政法大学"</f>
        <v>河南财经政法大学</v>
      </c>
      <c r="F830" s="1" t="str">
        <f>"工程造价、会计学（辅修）"</f>
        <v>工程造价、会计学（辅修）</v>
      </c>
      <c r="G830" s="1" t="str">
        <f>"河南省南阳市内乡县城关镇"</f>
        <v>河南省南阳市内乡县城关镇</v>
      </c>
      <c r="H830" s="1" t="str">
        <f t="shared" si="407"/>
        <v>无</v>
      </c>
      <c r="I830" s="1" t="str">
        <f>" 2015年9月-2019年7月在河南财经政法大学工程管理与房地产学院工程造价专业就读；2016年9月-2019年7月在河南财经政法大学会计学院会计学专业就读（辅修双学位）； 2019年8月-2020年9月待业； 2020年10月-2022年2月在深圳全至工程咨询有限公司郑州分公司工作，职务造价员； 2022年2月-2022年3月待业； 2022年4月-2022年12月在河南翰宇新能源技术有限公司工作职务技术员； 2023年1月-2023年8月待业； 2023年9月至今在内乡县财政局工作（劳务派遣）"</f>
        <v> 2015年9月-2019年7月在河南财经政法大学工程管理与房地产学院工程造价专业就读；2016年9月-2019年7月在河南财经政法大学会计学院会计学专业就读（辅修双学位）； 2019年8月-2020年9月待业； 2020年10月-2022年2月在深圳全至工程咨询有限公司郑州分公司工作，职务造价员； 2022年2月-2022年3月待业； 2022年4月-2022年12月在河南翰宇新能源技术有限公司工作职务技术员； 2023年1月-2023年8月待业； 2023年9月至今在内乡县财政局工作（劳务派遣）</v>
      </c>
    </row>
    <row r="831" spans="1:9">
      <c r="A831" s="1" t="str">
        <f>"411524200111066056"</f>
        <v>411524200111066056</v>
      </c>
      <c r="B831" s="1" t="str">
        <f>"共青团员"</f>
        <v>共青团员</v>
      </c>
      <c r="C831" s="1" t="str">
        <f t="shared" si="410"/>
        <v>本科</v>
      </c>
      <c r="D831" s="1" t="str">
        <f>"20250603"</f>
        <v>20250603</v>
      </c>
      <c r="E831" s="1" t="str">
        <f>"周口师范学院"</f>
        <v>周口师范学院</v>
      </c>
      <c r="F831" s="1" t="str">
        <f>"物联网工程"</f>
        <v>物联网工程</v>
      </c>
      <c r="G831" s="1" t="str">
        <f>"河南省信阳市商城县余集镇"</f>
        <v>河南省信阳市商城县余集镇</v>
      </c>
      <c r="H831" s="1" t="str">
        <f t="shared" si="407"/>
        <v>无</v>
      </c>
      <c r="I831" s="1" t="str">
        <f>"20210901-20250603周口师范学院人工智能学院物联网工程专业就读，全日制学历。"</f>
        <v>20210901-20250603周口师范学院人工智能学院物联网工程专业就读，全日制学历。</v>
      </c>
    </row>
    <row r="832" spans="1:9">
      <c r="A832" s="1" t="str">
        <f>"410481200212249020"</f>
        <v>410481200212249020</v>
      </c>
      <c r="B832" s="1" t="str">
        <f>"共青团员"</f>
        <v>共青团员</v>
      </c>
      <c r="C832" s="1" t="str">
        <f>"专科"</f>
        <v>专科</v>
      </c>
      <c r="D832" s="1" t="str">
        <f>"2024年6月12日"</f>
        <v>2024年6月12日</v>
      </c>
      <c r="E832" s="1" t="str">
        <f>"周口职业技术学院"</f>
        <v>周口职业技术学院</v>
      </c>
      <c r="F832" s="1" t="str">
        <f>"计算机网络技术"</f>
        <v>计算机网络技术</v>
      </c>
      <c r="G832" s="1" t="str">
        <f>"河南省平顶山市舞钢市垭口绿园小区"</f>
        <v>河南省平顶山市舞钢市垭口绿园小区</v>
      </c>
      <c r="H832" s="1" t="str">
        <f t="shared" si="407"/>
        <v>无</v>
      </c>
      <c r="I832" s="1" t="str">
        <f>"无"</f>
        <v>无</v>
      </c>
    </row>
    <row r="833" spans="1:9">
      <c r="A833" s="1" t="str">
        <f>"411323199506142612"</f>
        <v>411323199506142612</v>
      </c>
      <c r="B833" s="1" t="str">
        <f t="shared" ref="B833:B837" si="413">"群众"</f>
        <v>群众</v>
      </c>
      <c r="C833" s="1" t="str">
        <f t="shared" ref="C833:C837" si="414">"本科"</f>
        <v>本科</v>
      </c>
      <c r="D833" s="1" t="str">
        <f>"20170620"</f>
        <v>20170620</v>
      </c>
      <c r="E833" s="1" t="str">
        <f>"沈阳农业大学"</f>
        <v>沈阳农业大学</v>
      </c>
      <c r="F833" s="1" t="str">
        <f>"化学"</f>
        <v>化学</v>
      </c>
      <c r="G833" s="1" t="str">
        <f>"南阳市宛城区长江中路国税局家属院"</f>
        <v>南阳市宛城区长江中路国税局家属院</v>
      </c>
      <c r="H833" s="1" t="str">
        <f t="shared" si="407"/>
        <v>无</v>
      </c>
      <c r="I833" s="1" t="str">
        <f>"20130907-20170620 沈阳农业大学 理学院化学系 就读，全日制本科学历。
20170713至今在金碧物业有限公司工作"</f>
        <v>20130907-20170620 沈阳农业大学 理学院化学系 就读，全日制本科学历。
20170713至今在金碧物业有限公司工作</v>
      </c>
    </row>
    <row r="834" spans="1:9">
      <c r="A834" s="1" t="str">
        <f>"612426199402190014"</f>
        <v>612426199402190014</v>
      </c>
      <c r="B834" s="1" t="str">
        <f t="shared" si="413"/>
        <v>群众</v>
      </c>
      <c r="C834" s="1" t="str">
        <f>"专科"</f>
        <v>专科</v>
      </c>
      <c r="D834" s="1" t="str">
        <f>"20150701"</f>
        <v>20150701</v>
      </c>
      <c r="E834" s="1" t="str">
        <f>"西安职业技术学院"</f>
        <v>西安职业技术学院</v>
      </c>
      <c r="F834" s="1" t="str">
        <f>"模具设计与制造"</f>
        <v>模具设计与制造</v>
      </c>
      <c r="G834" s="1" t="str">
        <f>"陕西省安康市岚皋县城关镇陈家沟廉租房6号楼702"</f>
        <v>陕西省安康市岚皋县城关镇陈家沟廉租房6号楼702</v>
      </c>
      <c r="H834" s="1" t="str">
        <f t="shared" si="407"/>
        <v>无</v>
      </c>
      <c r="I834" s="1" t="str">
        <f>"201209-201507西安职业技术学院就读模具设计与制造专业，全日制
201508-201610在安康市岚皋县待业
201611-201710就职于岚皋县消防大队，属政府专职消防员
201711-201811在安康市岚皋县待业
201812-至今就职于岚皋县农业农村局，属临聘人员"</f>
        <v>201209-201507西安职业技术学院就读模具设计与制造专业，全日制
201508-201610在安康市岚皋县待业
201611-201710就职于岚皋县消防大队，属政府专职消防员
201711-201811在安康市岚皋县待业
201812-至今就职于岚皋县农业农村局，属临聘人员</v>
      </c>
    </row>
    <row r="835" spans="1:9">
      <c r="A835" s="1" t="str">
        <f>"411327200001244526"</f>
        <v>411327200001244526</v>
      </c>
      <c r="B835" s="1" t="str">
        <f>"中共党员"</f>
        <v>中共党员</v>
      </c>
      <c r="C835" s="1" t="str">
        <f t="shared" si="414"/>
        <v>本科</v>
      </c>
      <c r="D835" s="1" t="str">
        <f>"20220701"</f>
        <v>20220701</v>
      </c>
      <c r="E835" s="1" t="str">
        <f>"洛阳理工学院"</f>
        <v>洛阳理工学院</v>
      </c>
      <c r="F835" s="1" t="str">
        <f>"酒店管理"</f>
        <v>酒店管理</v>
      </c>
      <c r="G835" s="1" t="str">
        <f>"河南省南阳市内乡县西关壹加壹附近"</f>
        <v>河南省南阳市内乡县西关壹加壹附近</v>
      </c>
      <c r="H835" s="1" t="str">
        <f t="shared" si="407"/>
        <v>无</v>
      </c>
      <c r="I835" s="1" t="str">
        <f>"201809-202206 洛阳理工学院 经济与管理学院酒店管理专业 就读
202206至今 在河南省南阳市内乡县待业"</f>
        <v>201809-202206 洛阳理工学院 经济与管理学院酒店管理专业 就读
202206至今 在河南省南阳市内乡县待业</v>
      </c>
    </row>
    <row r="836" spans="1:9">
      <c r="A836" s="1" t="str">
        <f>"411381199011140416"</f>
        <v>411381199011140416</v>
      </c>
      <c r="B836" s="1" t="str">
        <f>"中共党员"</f>
        <v>中共党员</v>
      </c>
      <c r="C836" s="1" t="str">
        <f t="shared" si="414"/>
        <v>本科</v>
      </c>
      <c r="D836" s="1" t="str">
        <f>"20200701"</f>
        <v>20200701</v>
      </c>
      <c r="E836" s="1" t="str">
        <f>"南阳理工学院"</f>
        <v>南阳理工学院</v>
      </c>
      <c r="F836" s="1" t="str">
        <f>"财务管理"</f>
        <v>财务管理</v>
      </c>
      <c r="G836" s="1" t="str">
        <f>"河南省邓州市穰城路仲景路交叉口"</f>
        <v>河南省邓州市穰城路仲景路交叉口</v>
      </c>
      <c r="H836" s="1" t="str">
        <f t="shared" si="407"/>
        <v>无</v>
      </c>
      <c r="I836" s="1" t="str">
        <f>"200909-201207  在信阳职业技术学院就读，全日制学历
201207-201410   家中待业
201803-202007   在南阳理工学院就读，非全日制学历
201410-至今        在邓州市第二人民医院工作"</f>
        <v>200909-201207  在信阳职业技术学院就读，全日制学历
201207-201410   家中待业
201803-202007   在南阳理工学院就读，非全日制学历
201410-至今        在邓州市第二人民医院工作</v>
      </c>
    </row>
    <row r="837" spans="1:9">
      <c r="A837" s="1" t="str">
        <f>"411327200302112543"</f>
        <v>411327200302112543</v>
      </c>
      <c r="B837" s="1" t="str">
        <f t="shared" si="413"/>
        <v>群众</v>
      </c>
      <c r="C837" s="1" t="str">
        <f t="shared" si="414"/>
        <v>本科</v>
      </c>
      <c r="D837" s="1" t="str">
        <f>"2025-07-01"</f>
        <v>2025-07-01</v>
      </c>
      <c r="E837" s="1" t="str">
        <f>"河南师范大学"</f>
        <v>河南师范大学</v>
      </c>
      <c r="F837" s="1" t="str">
        <f>"财务管理"</f>
        <v>财务管理</v>
      </c>
      <c r="G837" s="1" t="str">
        <f>"河南省南阳市内乡县王店镇周营村七组"</f>
        <v>河南省南阳市内乡县王店镇周营村七组</v>
      </c>
      <c r="H837" s="1" t="str">
        <f>"初级会计证"</f>
        <v>初级会计证</v>
      </c>
      <c r="I837" s="1" t="str">
        <f>"202110-202507  河南师范大学商学院财务管理专业就读 全日制"</f>
        <v>202110-202507  河南师范大学商学院财务管理专业就读 全日制</v>
      </c>
    </row>
    <row r="838" spans="1:9">
      <c r="A838" s="1" t="str">
        <f>"411302200401060550"</f>
        <v>411302200401060550</v>
      </c>
      <c r="B838" s="1" t="str">
        <f t="shared" ref="B838:B843" si="415">"共青团员"</f>
        <v>共青团员</v>
      </c>
      <c r="C838" s="1" t="str">
        <f t="shared" ref="C838:C843" si="416">"专科"</f>
        <v>专科</v>
      </c>
      <c r="D838" s="1" t="str">
        <f>"20240701"</f>
        <v>20240701</v>
      </c>
      <c r="E838" s="1" t="str">
        <f>"黄河水利职业技术学院"</f>
        <v>黄河水利职业技术学院</v>
      </c>
      <c r="F838" s="1" t="str">
        <f>"水利工程"</f>
        <v>水利工程</v>
      </c>
      <c r="G838" s="1" t="str">
        <f>"河南省南阳市宛城区瓦店镇关帝庙村"</f>
        <v>河南省南阳市宛城区瓦店镇关帝庙村</v>
      </c>
      <c r="H838" s="1" t="str">
        <f>"河道修防工  三级"</f>
        <v>河道修防工  三级</v>
      </c>
      <c r="I838" s="1" t="str">
        <f>"2021年9月至2024年7月在黄河水利职业技术学院水利工程学院水利工程专业就读。全日制学历。"</f>
        <v>2021年9月至2024年7月在黄河水利职业技术学院水利工程学院水利工程专业就读。全日制学历。</v>
      </c>
    </row>
    <row r="839" spans="1:9">
      <c r="A839" s="1" t="str">
        <f>"411002200005121036"</f>
        <v>411002200005121036</v>
      </c>
      <c r="B839" s="1" t="str">
        <f t="shared" ref="B839:B846" si="417">"群众"</f>
        <v>群众</v>
      </c>
      <c r="C839" s="1" t="str">
        <f>"本科"</f>
        <v>本科</v>
      </c>
      <c r="D839" s="1" t="str">
        <f>"20250701"</f>
        <v>20250701</v>
      </c>
      <c r="E839" s="1" t="str">
        <f>"河南城建学院"</f>
        <v>河南城建学院</v>
      </c>
      <c r="F839" s="1" t="str">
        <f>"工程造价"</f>
        <v>工程造价</v>
      </c>
      <c r="G839" s="1" t="str">
        <f>"河南省许昌市魏都区六一路南段七排八号"</f>
        <v>河南省许昌市魏都区六一路南段七排八号</v>
      </c>
      <c r="H839" s="1" t="str">
        <f t="shared" ref="H839:H844" si="418">"无"</f>
        <v>无</v>
      </c>
      <c r="I839" s="1" t="str">
        <f>"202012-202307 郑州工商学院 就读 管理系工程造价专业 全日制学历
202309-202507 河南城建学院 就读 管理系工程造价专业 全日制学历"</f>
        <v>202012-202307 郑州工商学院 就读 管理系工程造价专业 全日制学历
202309-202507 河南城建学院 就读 管理系工程造价专业 全日制学历</v>
      </c>
    </row>
    <row r="840" spans="1:9">
      <c r="A840" s="1" t="str">
        <f>"411221199910243564"</f>
        <v>411221199910243564</v>
      </c>
      <c r="B840" s="1" t="str">
        <f t="shared" si="415"/>
        <v>共青团员</v>
      </c>
      <c r="C840" s="1" t="str">
        <f>"硕士研究生"</f>
        <v>硕士研究生</v>
      </c>
      <c r="D840" s="1" t="str">
        <f>"20250617"</f>
        <v>20250617</v>
      </c>
      <c r="E840" s="1" t="str">
        <f>"黑龙江省社会科学院"</f>
        <v>黑龙江省社会科学院</v>
      </c>
      <c r="F840" s="1" t="str">
        <f>"民俗学"</f>
        <v>民俗学</v>
      </c>
      <c r="G840" s="1" t="str">
        <f>"黑龙江省社会科学院"</f>
        <v>黑龙江省社会科学院</v>
      </c>
      <c r="H840" s="1" t="str">
        <f t="shared" si="418"/>
        <v>无</v>
      </c>
      <c r="I840" s="1" t="str">
        <f>"201809-202207,信阳学院文学院汉语言文学专业就读，全日制。
202209-202506，黑龙江省社会科学院文学所民俗学专业就读，全日制。"</f>
        <v>201809-202207,信阳学院文学院汉语言文学专业就读，全日制。
202209-202506，黑龙江省社会科学院文学所民俗学专业就读，全日制。</v>
      </c>
    </row>
    <row r="841" spans="1:9">
      <c r="A841" s="1" t="str">
        <f>"411302199209155415"</f>
        <v>411302199209155415</v>
      </c>
      <c r="B841" s="1" t="str">
        <f t="shared" si="417"/>
        <v>群众</v>
      </c>
      <c r="C841" s="1" t="str">
        <f t="shared" ref="C841:C848" si="419">"本科"</f>
        <v>本科</v>
      </c>
      <c r="D841" s="1" t="str">
        <f t="shared" ref="D841:D846" si="420">"20210701"</f>
        <v>20210701</v>
      </c>
      <c r="E841" s="1" t="str">
        <f>"南阳理工学院"</f>
        <v>南阳理工学院</v>
      </c>
      <c r="F841" s="1" t="str">
        <f>"计算机科学与技术"</f>
        <v>计算机科学与技术</v>
      </c>
      <c r="G841" s="1" t="str">
        <f>"南阳市宛城区解放路76号"</f>
        <v>南阳市宛城区解放路76号</v>
      </c>
      <c r="H841" s="1" t="str">
        <f t="shared" si="418"/>
        <v>无</v>
      </c>
      <c r="I841" s="1" t="str">
        <f>"201309-201606 安阳工学院  机电一体化技术专业  全日制
201903-202107 南阳理工学院 计算机科学技术专业  非全日制"</f>
        <v>201309-201606 安阳工学院  机电一体化技术专业  全日制
201903-202107 南阳理工学院 计算机科学技术专业  非全日制</v>
      </c>
    </row>
    <row r="842" spans="1:9">
      <c r="A842" s="1" t="str">
        <f>"411303200207100076"</f>
        <v>411303200207100076</v>
      </c>
      <c r="B842" s="1" t="str">
        <f t="shared" si="415"/>
        <v>共青团员</v>
      </c>
      <c r="C842" s="1" t="str">
        <f t="shared" si="416"/>
        <v>专科</v>
      </c>
      <c r="D842" s="1" t="str">
        <f>"20240701"</f>
        <v>20240701</v>
      </c>
      <c r="E842" s="1" t="str">
        <f>"河南财经政法大学"</f>
        <v>河南财经政法大学</v>
      </c>
      <c r="F842" s="1" t="str">
        <f>"计算机网络技术"</f>
        <v>计算机网络技术</v>
      </c>
      <c r="G842" s="1" t="str">
        <f>"河南省南阳市卧龙区卧龙岗乡彭营村彭营6组"</f>
        <v>河南省南阳市卧龙区卧龙岗乡彭营村彭营6组</v>
      </c>
      <c r="H842" s="1" t="str">
        <f t="shared" si="418"/>
        <v>无</v>
      </c>
      <c r="I842" s="1" t="str">
        <f>"202109-202407河南财经政法大学国际教育学院 计算机网络技术专业就读（全日制）
202407-至今 待业"</f>
        <v>202109-202407河南财经政法大学国际教育学院 计算机网络技术专业就读（全日制）
202407-至今 待业</v>
      </c>
    </row>
    <row r="843" spans="1:9">
      <c r="A843" s="1" t="str">
        <f>"411302199911150518"</f>
        <v>411302199911150518</v>
      </c>
      <c r="B843" s="1" t="str">
        <f t="shared" si="415"/>
        <v>共青团员</v>
      </c>
      <c r="C843" s="1" t="str">
        <f t="shared" si="416"/>
        <v>专科</v>
      </c>
      <c r="D843" s="1" t="str">
        <f>"202000701"</f>
        <v>202000701</v>
      </c>
      <c r="E843" s="1" t="str">
        <f>"南阳农业职业学院"</f>
        <v>南阳农业职业学院</v>
      </c>
      <c r="F843" s="1" t="str">
        <f>"电子商务"</f>
        <v>电子商务</v>
      </c>
      <c r="G843" s="1" t="str">
        <f>"2849981607"</f>
        <v>2849981607</v>
      </c>
      <c r="H843" s="1" t="str">
        <f t="shared" si="418"/>
        <v>无</v>
      </c>
      <c r="I843" s="1" t="str">
        <f>"于201509-202007 南阳农业学院商学院电子商务专业就读全日制大专学历"</f>
        <v>于201509-202007 南阳农业学院商学院电子商务专业就读全日制大专学历</v>
      </c>
    </row>
    <row r="844" spans="1:9">
      <c r="A844" s="1" t="str">
        <f>"411327199702072020"</f>
        <v>411327199702072020</v>
      </c>
      <c r="B844" s="1" t="str">
        <f t="shared" si="417"/>
        <v>群众</v>
      </c>
      <c r="C844" s="1" t="str">
        <f>"硕士研究生"</f>
        <v>硕士研究生</v>
      </c>
      <c r="D844" s="1" t="str">
        <f>"20230701"</f>
        <v>20230701</v>
      </c>
      <c r="E844" s="1" t="str">
        <f>"河南科技学院"</f>
        <v>河南科技学院</v>
      </c>
      <c r="F844" s="1" t="str">
        <f>"园艺学"</f>
        <v>园艺学</v>
      </c>
      <c r="G844" s="1" t="str">
        <f>"河南省内乡县师岗镇付湾村靳湾组"</f>
        <v>河南省内乡县师岗镇付湾村靳湾组</v>
      </c>
      <c r="H844" s="1" t="str">
        <f t="shared" si="418"/>
        <v>无</v>
      </c>
      <c r="I844" s="1" t="str">
        <f>"201609-202006 河南科技学院 园艺学 全日制 本科
202009-202306 河南科技学院 园艺学 全日制 硕士"</f>
        <v>201609-202006 河南科技学院 园艺学 全日制 本科
202009-202306 河南科技学院 园艺学 全日制 硕士</v>
      </c>
    </row>
    <row r="845" spans="1:9">
      <c r="A845" s="1" t="str">
        <f>"411327199809190641"</f>
        <v>411327199809190641</v>
      </c>
      <c r="B845" s="1" t="str">
        <f t="shared" si="417"/>
        <v>群众</v>
      </c>
      <c r="C845" s="1" t="str">
        <f t="shared" si="419"/>
        <v>本科</v>
      </c>
      <c r="D845" s="1" t="str">
        <f t="shared" si="420"/>
        <v>20210701</v>
      </c>
      <c r="E845" s="1" t="str">
        <f>"郑州航空工业管理学院"</f>
        <v>郑州航空工业管理学院</v>
      </c>
      <c r="F845" s="1" t="str">
        <f>"经济统计学"</f>
        <v>经济统计学</v>
      </c>
      <c r="G845" s="1" t="str">
        <f>"河南省南阳市内乡县城关镇南园路巷子里味道向南200米"</f>
        <v>河南省南阳市内乡县城关镇南园路巷子里味道向南200米</v>
      </c>
      <c r="H845" s="1" t="str">
        <f>"助理人力资源管理师"</f>
        <v>助理人力资源管理师</v>
      </c>
      <c r="I845" s="1" t="str">
        <f>"201709-202106 郑州航空工业管理学院就读"</f>
        <v>201709-202106 郑州航空工业管理学院就读</v>
      </c>
    </row>
    <row r="846" spans="1:9">
      <c r="A846" s="1" t="str">
        <f>"41132719990608391X"</f>
        <v>41132719990608391X</v>
      </c>
      <c r="B846" s="1" t="str">
        <f t="shared" si="417"/>
        <v>群众</v>
      </c>
      <c r="C846" s="1" t="str">
        <f t="shared" si="419"/>
        <v>本科</v>
      </c>
      <c r="D846" s="1" t="str">
        <f t="shared" si="420"/>
        <v>20210701</v>
      </c>
      <c r="E846" s="1" t="str">
        <f>"河南科技学院"</f>
        <v>河南科技学院</v>
      </c>
      <c r="F846" s="1" t="str">
        <f>"园林"</f>
        <v>园林</v>
      </c>
      <c r="G846" s="1" t="str">
        <f>"河南省南阳市内乡县城关镇教育路利德桂花苑"</f>
        <v>河南省南阳市内乡县城关镇教育路利德桂花苑</v>
      </c>
      <c r="H846" s="1" t="str">
        <f t="shared" ref="H846:H854" si="421">"无"</f>
        <v>无</v>
      </c>
      <c r="I846" s="1" t="str">
        <f>"201709-202107 河南科技学院园艺园林学院园林专业就读  全日制学历
202107-202111 在家待业
202111-至今      新野县农业农村局农田建设管理股职员"</f>
        <v>201709-202107 河南科技学院园艺园林学院园林专业就读  全日制学历
202107-202111 在家待业
202111-至今      新野县农业农村局农田建设管理股职员</v>
      </c>
    </row>
    <row r="847" spans="1:9">
      <c r="A847" s="1" t="str">
        <f>"411327200111033922"</f>
        <v>411327200111033922</v>
      </c>
      <c r="B847" s="1" t="str">
        <f>"共青团员"</f>
        <v>共青团员</v>
      </c>
      <c r="C847" s="1" t="str">
        <f t="shared" si="419"/>
        <v>本科</v>
      </c>
      <c r="D847" s="1" t="str">
        <f>"20230701"</f>
        <v>20230701</v>
      </c>
      <c r="E847" s="1" t="str">
        <f>"郑州财经学院"</f>
        <v>郑州财经学院</v>
      </c>
      <c r="F847" s="1" t="str">
        <f>"小学教育"</f>
        <v>小学教育</v>
      </c>
      <c r="G847" s="1" t="str">
        <f>"河南省南阳市内乡县湍东镇菊潭毓秀园"</f>
        <v>河南省南阳市内乡县湍东镇菊潭毓秀园</v>
      </c>
      <c r="H847" s="1" t="str">
        <f>"小学教师资格证"</f>
        <v>小学教师资格证</v>
      </c>
      <c r="I847" s="1" t="str">
        <f>"201909-202307郑州财经学院 教育学院小学教育专业就读 全日制"</f>
        <v>201909-202307郑州财经学院 教育学院小学教育专业就读 全日制</v>
      </c>
    </row>
    <row r="848" spans="1:9">
      <c r="A848" s="1" t="str">
        <f>"411325200305100318"</f>
        <v>411325200305100318</v>
      </c>
      <c r="B848" s="1" t="str">
        <f>"共青团员"</f>
        <v>共青团员</v>
      </c>
      <c r="C848" s="1" t="str">
        <f t="shared" si="419"/>
        <v>本科</v>
      </c>
      <c r="D848" s="1" t="str">
        <f>"20250701"</f>
        <v>20250701</v>
      </c>
      <c r="E848" s="1" t="str">
        <f>"郑州升达经贸管理学院"</f>
        <v>郑州升达经贸管理学院</v>
      </c>
      <c r="F848" s="1" t="str">
        <f>"土木工程"</f>
        <v>土木工程</v>
      </c>
      <c r="G848" s="1" t="str">
        <f>"河南省南阳市内乡县大桥乡"</f>
        <v>河南省南阳市内乡县大桥乡</v>
      </c>
      <c r="H848" s="1" t="str">
        <f>"英语四级 二级甲等普通话"</f>
        <v>英语四级 二级甲等普通话</v>
      </c>
      <c r="I848" s="1" t="str">
        <f>"202109-202507郑州升达经贸管理学院就读土木工程专业"</f>
        <v>202109-202507郑州升达经贸管理学院就读土木工程专业</v>
      </c>
    </row>
    <row r="849" spans="1:9">
      <c r="A849" s="1" t="str">
        <f>"622428199506135823"</f>
        <v>622428199506135823</v>
      </c>
      <c r="B849" s="1" t="str">
        <f>"群众"</f>
        <v>群众</v>
      </c>
      <c r="C849" s="1" t="str">
        <f>"硕士研究生"</f>
        <v>硕士研究生</v>
      </c>
      <c r="D849" s="1" t="str">
        <f>"2025年6月16日"</f>
        <v>2025年6月16日</v>
      </c>
      <c r="E849" s="1" t="str">
        <f>"山西农业大学"</f>
        <v>山西农业大学</v>
      </c>
      <c r="F849" s="1" t="str">
        <f>"农艺与种业"</f>
        <v>农艺与种业</v>
      </c>
      <c r="G849" s="1" t="str">
        <f>"河南省漯河市舞阳县北舞渡镇"</f>
        <v>河南省漯河市舞阳县北舞渡镇</v>
      </c>
      <c r="H849" s="1" t="str">
        <f t="shared" si="421"/>
        <v>无</v>
      </c>
      <c r="I849" s="1" t="str">
        <f>"201709-202107  河南科技大学 就读  全日制
202107-202209  备考考研  自由职业 
202209-202506  山西农业大学 就读  全日制"</f>
        <v>201709-202107  河南科技大学 就读  全日制
202107-202209  备考考研  自由职业 
202209-202506  山西农业大学 就读  全日制</v>
      </c>
    </row>
    <row r="850" spans="1:9">
      <c r="A850" s="1" t="str">
        <f>"411327199807300042"</f>
        <v>411327199807300042</v>
      </c>
      <c r="B850" s="1" t="str">
        <f t="shared" ref="B850:B852" si="422">"中共党员"</f>
        <v>中共党员</v>
      </c>
      <c r="C850" s="1" t="str">
        <f>"专科"</f>
        <v>专科</v>
      </c>
      <c r="D850" s="1" t="str">
        <f>"20190701"</f>
        <v>20190701</v>
      </c>
      <c r="E850" s="1" t="str">
        <f>"河南林业职业学院"</f>
        <v>河南林业职业学院</v>
      </c>
      <c r="F850" s="1" t="str">
        <f>"林业技术"</f>
        <v>林业技术</v>
      </c>
      <c r="G850" s="1" t="str">
        <f>"南阳市内乡县神威小区"</f>
        <v>南阳市内乡县神威小区</v>
      </c>
      <c r="H850" s="1" t="str">
        <f t="shared" si="421"/>
        <v>无</v>
      </c>
      <c r="I850" s="1" t="str">
        <f>"2016.09-2019.06于河南林业职业学院就读"</f>
        <v>2016.09-2019.06于河南林业职业学院就读</v>
      </c>
    </row>
    <row r="851" spans="1:9">
      <c r="A851" s="1" t="str">
        <f>"412726200206080023"</f>
        <v>412726200206080023</v>
      </c>
      <c r="B851" s="1" t="str">
        <f t="shared" si="422"/>
        <v>中共党员</v>
      </c>
      <c r="C851" s="1" t="str">
        <f t="shared" ref="C851:C863" si="423">"本科"</f>
        <v>本科</v>
      </c>
      <c r="D851" s="1" t="str">
        <f>"2024-06-30"</f>
        <v>2024-06-30</v>
      </c>
      <c r="E851" s="1" t="str">
        <f>"河池学院"</f>
        <v>河池学院</v>
      </c>
      <c r="F851" s="1" t="str">
        <f>"思想政治教育"</f>
        <v>思想政治教育</v>
      </c>
      <c r="G851" s="1" t="str">
        <f>"河南省周口市郸城县新城区教育社区"</f>
        <v>河南省周口市郸城县新城区教育社区</v>
      </c>
      <c r="H851" s="1" t="str">
        <f t="shared" si="421"/>
        <v>无</v>
      </c>
      <c r="I851" s="1" t="str">
        <f>"2020.09-2024.06于河池学院，马克思主义学院思想政治教育专业，全日制本科就读，获法学学士学位；
2024.06-至今于河南省周口市待业。"</f>
        <v>2020.09-2024.06于河池学院，马克思主义学院思想政治教育专业，全日制本科就读，获法学学士学位；
2024.06-至今于河南省周口市待业。</v>
      </c>
    </row>
    <row r="852" spans="1:9">
      <c r="A852" s="1" t="str">
        <f>"411327199612150312"</f>
        <v>411327199612150312</v>
      </c>
      <c r="B852" s="1" t="str">
        <f t="shared" si="422"/>
        <v>中共党员</v>
      </c>
      <c r="C852" s="1" t="str">
        <f t="shared" si="423"/>
        <v>本科</v>
      </c>
      <c r="D852" s="1" t="str">
        <f>"20180701"</f>
        <v>20180701</v>
      </c>
      <c r="E852" s="1" t="str">
        <f>"中原工学院"</f>
        <v>中原工学院</v>
      </c>
      <c r="F852" s="1" t="str">
        <f>"软件工程"</f>
        <v>软件工程</v>
      </c>
      <c r="G852" s="1" t="str">
        <f>"河南省内乡县大桥乡郭河村王河组"</f>
        <v>河南省内乡县大桥乡郭河村王河组</v>
      </c>
      <c r="H852" s="1" t="str">
        <f t="shared" si="421"/>
        <v>无</v>
      </c>
      <c r="I852" s="1" t="str">
        <f>"201409-201807 中原工学院软件学院软件工程专业就读 全日制本科
201807-202005 在家待业
202005-202209 内乡县复兴学校 信息技术教师
202209-202306 在家待业
202306至今 内乡县人民检察院 书记员（无行政或事业编）"</f>
        <v>201409-201807 中原工学院软件学院软件工程专业就读 全日制本科
201807-202005 在家待业
202005-202209 内乡县复兴学校 信息技术教师
202209-202306 在家待业
202306至今 内乡县人民检察院 书记员（无行政或事业编）</v>
      </c>
    </row>
    <row r="853" spans="1:9">
      <c r="A853" s="1" t="str">
        <f>"410423200111120021"</f>
        <v>410423200111120021</v>
      </c>
      <c r="B853" s="1" t="str">
        <f>"群众"</f>
        <v>群众</v>
      </c>
      <c r="C853" s="1" t="str">
        <f t="shared" si="423"/>
        <v>本科</v>
      </c>
      <c r="D853" s="1" t="str">
        <f>"20250607"</f>
        <v>20250607</v>
      </c>
      <c r="E853" s="1" t="str">
        <f>"中原科技学院"</f>
        <v>中原科技学院</v>
      </c>
      <c r="F853" s="1" t="str">
        <f>"小学教育"</f>
        <v>小学教育</v>
      </c>
      <c r="G853" s="1" t="str">
        <f>"河南省平顶山市鲁山县鸿尧御园"</f>
        <v>河南省平顶山市鲁山县鸿尧御园</v>
      </c>
      <c r="H853" s="1" t="str">
        <f t="shared" si="421"/>
        <v>无</v>
      </c>
      <c r="I853" s="1" t="str">
        <f>"202309-202506中原科技学院就读 教育学院 小学教育专业 全日制本科"</f>
        <v>202309-202506中原科技学院就读 教育学院 小学教育专业 全日制本科</v>
      </c>
    </row>
    <row r="854" spans="1:9">
      <c r="A854" s="1" t="str">
        <f>"411327200010300622"</f>
        <v>411327200010300622</v>
      </c>
      <c r="B854" s="1" t="str">
        <f t="shared" ref="B854:B858" si="424">"共青团员"</f>
        <v>共青团员</v>
      </c>
      <c r="C854" s="1" t="str">
        <f t="shared" si="423"/>
        <v>本科</v>
      </c>
      <c r="D854" s="1" t="str">
        <f>"20240607"</f>
        <v>20240607</v>
      </c>
      <c r="E854" s="1" t="str">
        <f>"河南工程学院"</f>
        <v>河南工程学院</v>
      </c>
      <c r="F854" s="1" t="str">
        <f>"纺织工程"</f>
        <v>纺织工程</v>
      </c>
      <c r="G854" s="1" t="str">
        <f>"河南省南阳市内乡县城关镇大成桥西大成口腔"</f>
        <v>河南省南阳市内乡县城关镇大成桥西大成口腔</v>
      </c>
      <c r="H854" s="1" t="str">
        <f t="shared" si="421"/>
        <v>无</v>
      </c>
      <c r="I854" s="1" t="str">
        <f>"201909–202206 河南工程学院 现代纺织技术 全日制
202209—202406 河南工程学院 纺织工程 全日制"</f>
        <v>201909–202206 河南工程学院 现代纺织技术 全日制
202209—202406 河南工程学院 纺织工程 全日制</v>
      </c>
    </row>
    <row r="855" spans="1:9">
      <c r="A855" s="1" t="str">
        <f>"411327199511173726"</f>
        <v>411327199511173726</v>
      </c>
      <c r="B855" s="1" t="str">
        <f>"群众"</f>
        <v>群众</v>
      </c>
      <c r="C855" s="1" t="str">
        <f t="shared" si="423"/>
        <v>本科</v>
      </c>
      <c r="D855" s="1" t="str">
        <f>"20190607"</f>
        <v>20190607</v>
      </c>
      <c r="E855" s="1" t="str">
        <f>"河南师范大学新联学院"</f>
        <v>河南师范大学新联学院</v>
      </c>
      <c r="F855" s="1" t="str">
        <f>"汉语言文学专业"</f>
        <v>汉语言文学专业</v>
      </c>
      <c r="G855" s="1" t="str">
        <f>"内乡县桃溪镇"</f>
        <v>内乡县桃溪镇</v>
      </c>
      <c r="H855" s="1" t="str">
        <f>"高中初级教师"</f>
        <v>高中初级教师</v>
      </c>
      <c r="I855" s="1" t="str">
        <f>"201509-201906           河南师范大学新联学院就读
201906-202507           内乡县灌涨高中任教"</f>
        <v>201509-201906           河南师范大学新联学院就读
201906-202507           内乡县灌涨高中任教</v>
      </c>
    </row>
    <row r="856" spans="1:9">
      <c r="A856" s="1" t="str">
        <f>"340825200209041029"</f>
        <v>340825200209041029</v>
      </c>
      <c r="B856" s="1" t="str">
        <f t="shared" si="424"/>
        <v>共青团员</v>
      </c>
      <c r="C856" s="1" t="str">
        <f t="shared" si="423"/>
        <v>本科</v>
      </c>
      <c r="D856" s="1" t="str">
        <f>"20230616"</f>
        <v>20230616</v>
      </c>
      <c r="E856" s="1" t="str">
        <f>"中南林业科技大学"</f>
        <v>中南林业科技大学</v>
      </c>
      <c r="F856" s="1" t="str">
        <f>"工业设计"</f>
        <v>工业设计</v>
      </c>
      <c r="G856" s="1" t="str">
        <f>"河南省南阳市内乡县城关镇大成路白云小区"</f>
        <v>河南省南阳市内乡县城关镇大成路白云小区</v>
      </c>
      <c r="H856" s="1" t="str">
        <f t="shared" ref="H856:H867" si="425">"无"</f>
        <v>无</v>
      </c>
      <c r="I856" s="1" t="str">
        <f>"王莹:
201909-202306 在中南林业科技大学家具与艺术设计学院工业设计专业就读 全日制学历
202307-202309 杭州市上城区人民检察院物业管理部门会务工作
202310-202406在家待业备考
202407至今 在内乡县总工会组宣部工作"</f>
        <v>王莹:
201909-202306 在中南林业科技大学家具与艺术设计学院工业设计专业就读 全日制学历
202307-202309 杭州市上城区人民检察院物业管理部门会务工作
202310-202406在家待业备考
202407至今 在内乡县总工会组宣部工作</v>
      </c>
    </row>
    <row r="857" spans="1:9">
      <c r="A857" s="1" t="str">
        <f>"411330200004211576"</f>
        <v>411330200004211576</v>
      </c>
      <c r="B857" s="1" t="str">
        <f t="shared" si="424"/>
        <v>共青团员</v>
      </c>
      <c r="C857" s="1" t="str">
        <f t="shared" si="423"/>
        <v>本科</v>
      </c>
      <c r="D857" s="1" t="str">
        <f>"20230701"</f>
        <v>20230701</v>
      </c>
      <c r="E857" s="1" t="str">
        <f>"信阳学院"</f>
        <v>信阳学院</v>
      </c>
      <c r="F857" s="1" t="str">
        <f>"数学与应用数学"</f>
        <v>数学与应用数学</v>
      </c>
      <c r="G857" s="1" t="str">
        <f>"河南省南阳市西峡县河西幸福苑"</f>
        <v>河南省南阳市西峡县河西幸福苑</v>
      </c>
      <c r="H857" s="1" t="str">
        <f t="shared" si="425"/>
        <v>无</v>
      </c>
      <c r="I857" s="1" t="str">
        <f>"201909-202307 信阳学院 数学与统计学院 数学与应用数学 就读 全日制
202307-至今 待业"</f>
        <v>201909-202307 信阳学院 数学与统计学院 数学与应用数学 就读 全日制
202307-至今 待业</v>
      </c>
    </row>
    <row r="858" spans="1:9">
      <c r="A858" s="1" t="str">
        <f>"232326200010085337"</f>
        <v>232326200010085337</v>
      </c>
      <c r="B858" s="1" t="str">
        <f t="shared" si="424"/>
        <v>共青团员</v>
      </c>
      <c r="C858" s="1" t="str">
        <f t="shared" si="423"/>
        <v>本科</v>
      </c>
      <c r="D858" s="1" t="str">
        <f>"20240701"</f>
        <v>20240701</v>
      </c>
      <c r="E858" s="1" t="str">
        <f>"齐齐哈尔工程学院"</f>
        <v>齐齐哈尔工程学院</v>
      </c>
      <c r="F858" s="1" t="str">
        <f>"健康服务与管理"</f>
        <v>健康服务与管理</v>
      </c>
      <c r="G858" s="1" t="str">
        <f>"黑龙江青冈县学苑家园"</f>
        <v>黑龙江青冈县学苑家园</v>
      </c>
      <c r="H858" s="1" t="str">
        <f t="shared" si="425"/>
        <v>无</v>
      </c>
      <c r="I858" s="1" t="str">
        <f>"202010-202407齐齐哈尔工程学院康护工程系健康服务与管理专业就读
202407-至今待业"</f>
        <v>202010-202407齐齐哈尔工程学院康护工程系健康服务与管理专业就读
202407-至今待业</v>
      </c>
    </row>
    <row r="859" ht="94.5" spans="1:9">
      <c r="A859" s="1" t="str">
        <f>"411303199109022814"</f>
        <v>411303199109022814</v>
      </c>
      <c r="B859" s="1" t="str">
        <f t="shared" ref="B859:B862" si="426">"群众"</f>
        <v>群众</v>
      </c>
      <c r="C859" s="1" t="str">
        <f t="shared" si="423"/>
        <v>本科</v>
      </c>
      <c r="D859" s="1" t="str">
        <f>"20151230"</f>
        <v>20151230</v>
      </c>
      <c r="E859" s="1" t="str">
        <f>"中原工学院"</f>
        <v>中原工学院</v>
      </c>
      <c r="F859" s="1" t="str">
        <f>"工程造价管理"</f>
        <v>工程造价管理</v>
      </c>
      <c r="G859" s="1" t="str">
        <f>"河南省南阳市卧龙区蒲山镇大庄尤寨五组"</f>
        <v>河南省南阳市卧龙区蒲山镇大庄尤寨五组</v>
      </c>
      <c r="H859" s="1" t="str">
        <f t="shared" si="425"/>
        <v>无</v>
      </c>
      <c r="I859" s="3" t="s">
        <v>214</v>
      </c>
    </row>
    <row r="860" spans="1:9">
      <c r="A860" s="1" t="str">
        <f>"411327200108200048"</f>
        <v>411327200108200048</v>
      </c>
      <c r="B860" s="1" t="str">
        <f>"共青团员"</f>
        <v>共青团员</v>
      </c>
      <c r="C860" s="1" t="str">
        <f t="shared" si="423"/>
        <v>本科</v>
      </c>
      <c r="D860" s="1" t="str">
        <f>"20230720"</f>
        <v>20230720</v>
      </c>
      <c r="E860" s="1" t="str">
        <f>"信阳农林学院"</f>
        <v>信阳农林学院</v>
      </c>
      <c r="F860" s="1" t="str">
        <f>"网络工程"</f>
        <v>网络工程</v>
      </c>
      <c r="G860" s="1" t="str">
        <f>"河南省南阳市内乡县"</f>
        <v>河南省南阳市内乡县</v>
      </c>
      <c r="H860" s="1" t="str">
        <f t="shared" si="425"/>
        <v>无</v>
      </c>
      <c r="I860" s="1" t="str">
        <f>"201909-202307 信阳农林学院学校 就读
202307-202407 西部计划志愿者 服务
202407-202507 待业"</f>
        <v>201909-202307 信阳农林学院学校 就读
202307-202407 西部计划志愿者 服务
202407-202507 待业</v>
      </c>
    </row>
    <row r="861" spans="1:9">
      <c r="A861" s="1" t="str">
        <f>"411327199504110014"</f>
        <v>411327199504110014</v>
      </c>
      <c r="B861" s="1" t="str">
        <f t="shared" si="426"/>
        <v>群众</v>
      </c>
      <c r="C861" s="1" t="str">
        <f t="shared" si="423"/>
        <v>本科</v>
      </c>
      <c r="D861" s="1" t="str">
        <f>"20190701"</f>
        <v>20190701</v>
      </c>
      <c r="E861" s="1" t="str">
        <f>"河南师范大学新联学院"</f>
        <v>河南师范大学新联学院</v>
      </c>
      <c r="F861" s="1" t="str">
        <f>"小学教育"</f>
        <v>小学教育</v>
      </c>
      <c r="G861" s="1" t="str">
        <f>"公园南路盛龙广告雕刻对面玻璃门"</f>
        <v>公园南路盛龙广告雕刻对面玻璃门</v>
      </c>
      <c r="H861" s="1" t="str">
        <f t="shared" si="425"/>
        <v>无</v>
      </c>
      <c r="I861" s="1" t="str">
        <f>"2012年9月至2014年7月   内乡县第一高级中学  就读
2014年9月至2017年7月    周口师范学院  就读
2017年9月至2019年7月       河南师范大学新联学院 就读
2019年7月至2020年4月     待业
2020年4月至2025年7月     内乡县审计局  政府购岗"</f>
        <v>2012年9月至2014年7月   内乡县第一高级中学  就读
2014年9月至2017年7月    周口师范学院  就读
2017年9月至2019年7月       河南师范大学新联学院 就读
2019年7月至2020年4月     待业
2020年4月至2025年7月     内乡县审计局  政府购岗</v>
      </c>
    </row>
    <row r="862" spans="1:9">
      <c r="A862" s="1" t="str">
        <f>"411327200002274217"</f>
        <v>411327200002274217</v>
      </c>
      <c r="B862" s="1" t="str">
        <f t="shared" si="426"/>
        <v>群众</v>
      </c>
      <c r="C862" s="1" t="str">
        <f t="shared" si="423"/>
        <v>本科</v>
      </c>
      <c r="D862" s="1" t="str">
        <f>"20240701"</f>
        <v>20240701</v>
      </c>
      <c r="E862" s="1" t="str">
        <f>"商丘工学院"</f>
        <v>商丘工学院</v>
      </c>
      <c r="F862" s="1" t="str">
        <f>"电气工程及其自动化"</f>
        <v>电气工程及其自动化</v>
      </c>
      <c r="G862" s="1" t="str">
        <f>"河南省南阳市内乡县北关新华书店向西200米"</f>
        <v>河南省南阳市内乡县北关新华书店向西200米</v>
      </c>
      <c r="H862" s="1" t="str">
        <f t="shared" si="425"/>
        <v>无</v>
      </c>
      <c r="I862" s="1" t="str">
        <f>"202209-202406商丘工学院信息与电子工程学院电气工程及其自动化专业就读全日制学历"</f>
        <v>202209-202406商丘工学院信息与电子工程学院电气工程及其自动化专业就读全日制学历</v>
      </c>
    </row>
    <row r="863" spans="1:9">
      <c r="A863" s="1" t="str">
        <f>"411330200011060526"</f>
        <v>411330200011060526</v>
      </c>
      <c r="B863" s="1" t="str">
        <f>"中共党员"</f>
        <v>中共党员</v>
      </c>
      <c r="C863" s="1" t="str">
        <f t="shared" si="423"/>
        <v>本科</v>
      </c>
      <c r="D863" s="1" t="str">
        <f>"20230701"</f>
        <v>20230701</v>
      </c>
      <c r="E863" s="1" t="str">
        <f>"商丘师范学院"</f>
        <v>商丘师范学院</v>
      </c>
      <c r="F863" s="1" t="str">
        <f>"文化产业管理"</f>
        <v>文化产业管理</v>
      </c>
      <c r="G863" s="1" t="str">
        <f>"河南省南阳市西峡县田关镇杜营村"</f>
        <v>河南省南阳市西峡县田关镇杜营村</v>
      </c>
      <c r="H863" s="1" t="str">
        <f t="shared" si="425"/>
        <v>无</v>
      </c>
      <c r="I863" s="1" t="str">
        <f>"201909-202307在商丘师范学院国际教育学院文化产业管理专业就读。是全日制本科学历"</f>
        <v>201909-202307在商丘师范学院国际教育学院文化产业管理专业就读。是全日制本科学历</v>
      </c>
    </row>
    <row r="864" spans="1:9">
      <c r="A864" s="1" t="str">
        <f>"411327199403060011"</f>
        <v>411327199403060011</v>
      </c>
      <c r="B864" s="1" t="str">
        <f t="shared" ref="B864:B866" si="427">"群众"</f>
        <v>群众</v>
      </c>
      <c r="C864" s="1" t="str">
        <f>"硕士研究生"</f>
        <v>硕士研究生</v>
      </c>
      <c r="D864" s="1" t="str">
        <f>"2024-07-31"</f>
        <v>2024-07-31</v>
      </c>
      <c r="E864" s="1" t="str">
        <f>"西安理工大学"</f>
        <v>西安理工大学</v>
      </c>
      <c r="F864" s="1" t="str">
        <f>"081502水力学及河流动力学"</f>
        <v>081502水力学及河流动力学</v>
      </c>
      <c r="G864" s="1" t="str">
        <f>"河南省内乡县范蠡大街99号"</f>
        <v>河南省内乡县范蠡大街99号</v>
      </c>
      <c r="H864" s="1" t="str">
        <f t="shared" si="425"/>
        <v>无</v>
      </c>
      <c r="I864" s="1" t="str">
        <f>"201409-201806 华北水利水电大学电力学院能源与动力工程就读 全日制
2018.09-2021.09 在内乡待业
2021.09-2024.07西安理工大学水利水电学院水力学与河流动力学就读全日制
2024.07-至今在内乡待业"</f>
        <v>201409-201806 华北水利水电大学电力学院能源与动力工程就读 全日制
2018.09-2021.09 在内乡待业
2021.09-2024.07西安理工大学水利水电学院水力学与河流动力学就读全日制
2024.07-至今在内乡待业</v>
      </c>
    </row>
    <row r="865" spans="1:9">
      <c r="A865" s="1" t="str">
        <f>"411327199707024546"</f>
        <v>411327199707024546</v>
      </c>
      <c r="B865" s="1" t="str">
        <f t="shared" si="427"/>
        <v>群众</v>
      </c>
      <c r="C865" s="1" t="str">
        <f t="shared" ref="C865:C871" si="428">"本科"</f>
        <v>本科</v>
      </c>
      <c r="D865" s="1" t="str">
        <f>"20200720"</f>
        <v>20200720</v>
      </c>
      <c r="E865" s="1" t="str">
        <f>"郑州财经学院"</f>
        <v>郑州财经学院</v>
      </c>
      <c r="F865" s="1" t="str">
        <f>"物流工程"</f>
        <v>物流工程</v>
      </c>
      <c r="G865" s="1" t="str">
        <f>"河南省南阳市内乡县灵山路家和小区"</f>
        <v>河南省南阳市内乡县灵山路家和小区</v>
      </c>
      <c r="H865" s="1" t="str">
        <f t="shared" si="425"/>
        <v>无</v>
      </c>
      <c r="I865" s="1" t="str">
        <f>"201609—202007在郑州财经学院，物流工程与管理学院物流工程专业就读。
202008至今，在中国邮政集团有限公司内乡县分公司工作。"</f>
        <v>201609—202007在郑州财经学院，物流工程与管理学院物流工程专业就读。
202008至今，在中国邮政集团有限公司内乡县分公司工作。</v>
      </c>
    </row>
    <row r="866" spans="1:9">
      <c r="A866" s="1" t="str">
        <f>"411327199105061526"</f>
        <v>411327199105061526</v>
      </c>
      <c r="B866" s="1" t="str">
        <f t="shared" si="427"/>
        <v>群众</v>
      </c>
      <c r="C866" s="1" t="str">
        <f t="shared" si="428"/>
        <v>本科</v>
      </c>
      <c r="D866" s="1" t="str">
        <f>"20140701"</f>
        <v>20140701</v>
      </c>
      <c r="E866" s="1" t="str">
        <f>"华中农业大学"</f>
        <v>华中农业大学</v>
      </c>
      <c r="F866" s="1" t="str">
        <f>"生物工程"</f>
        <v>生物工程</v>
      </c>
      <c r="G866" s="1" t="str">
        <f>"河南省南阳市内乡县县衙社区"</f>
        <v>河南省南阳市内乡县县衙社区</v>
      </c>
      <c r="H866" s="1" t="str">
        <f t="shared" si="425"/>
        <v>无</v>
      </c>
      <c r="I866" s="1" t="str">
        <f>"201009-201306 湖北生物科技职业学院就读，生物制药技术专业，全日制大专
201109-201406 华中农业大学，生物工程专业，自考本科，学士学位"</f>
        <v>201009-201306 湖北生物科技职业学院就读，生物制药技术专业，全日制大专
201109-201406 华中农业大学，生物工程专业，自考本科，学士学位</v>
      </c>
    </row>
    <row r="867" spans="1:9">
      <c r="A867" s="1" t="str">
        <f>"411326200312220023"</f>
        <v>411326200312220023</v>
      </c>
      <c r="B867" s="1" t="str">
        <f t="shared" ref="B867:B871" si="429">"共青团员"</f>
        <v>共青团员</v>
      </c>
      <c r="C867" s="1" t="str">
        <f t="shared" si="428"/>
        <v>本科</v>
      </c>
      <c r="D867" s="1" t="str">
        <f>"20250701"</f>
        <v>20250701</v>
      </c>
      <c r="E867" s="1" t="str">
        <f>"河南财经政法大学"</f>
        <v>河南财经政法大学</v>
      </c>
      <c r="F867" s="1" t="str">
        <f>"音乐学"</f>
        <v>音乐学</v>
      </c>
      <c r="G867" s="1" t="str">
        <f>"河南省南阳市南召县盛世江南"</f>
        <v>河南省南阳市南召县盛世江南</v>
      </c>
      <c r="H867" s="1" t="str">
        <f t="shared" si="425"/>
        <v>无</v>
      </c>
      <c r="I867" s="1" t="str">
        <f>"202109-202507， 河南财经政法大学音乐学院音乐学就读，全日制学历"</f>
        <v>202109-202507， 河南财经政法大学音乐学院音乐学就读，全日制学历</v>
      </c>
    </row>
    <row r="868" spans="1:9">
      <c r="A868" s="1" t="str">
        <f>"410325200009286014"</f>
        <v>410325200009286014</v>
      </c>
      <c r="B868" s="1" t="str">
        <f t="shared" ref="B868:B872" si="430">"群众"</f>
        <v>群众</v>
      </c>
      <c r="C868" s="1" t="str">
        <f t="shared" si="428"/>
        <v>本科</v>
      </c>
      <c r="D868" s="1" t="str">
        <f>"20250710"</f>
        <v>20250710</v>
      </c>
      <c r="E868" s="1" t="str">
        <f>"吉林师范大学"</f>
        <v>吉林师范大学</v>
      </c>
      <c r="F868" s="1" t="str">
        <f>"小学教育"</f>
        <v>小学教育</v>
      </c>
      <c r="G868" s="1" t="str">
        <f>"河南省洛阳市嵩县黄庄乡古垛村"</f>
        <v>河南省洛阳市嵩县黄庄乡古垛村</v>
      </c>
      <c r="H868" s="1" t="str">
        <f>"高级茶艺师"</f>
        <v>高级茶艺师</v>
      </c>
      <c r="I868" s="1" t="str">
        <f>"2019年9月—2022年7月   在焦作师范高等专科学校   学生（全日制）
2022年8月—2025年7月   参加大学生服务西部计划（新疆专项  全国项目）
2023年4月—2025年7月   吉林师范大学   小学教育  （成人高考）"</f>
        <v>2019年9月—2022年7月   在焦作师范高等专科学校   学生（全日制）
2022年8月—2025年7月   参加大学生服务西部计划（新疆专项  全国项目）
2023年4月—2025年7月   吉林师范大学   小学教育  （成人高考）</v>
      </c>
    </row>
    <row r="869" spans="1:9">
      <c r="A869" s="1" t="str">
        <f>"411327199403191126"</f>
        <v>411327199403191126</v>
      </c>
      <c r="B869" s="1" t="str">
        <f t="shared" si="430"/>
        <v>群众</v>
      </c>
      <c r="C869" s="1" t="str">
        <f t="shared" si="428"/>
        <v>本科</v>
      </c>
      <c r="D869" s="1" t="str">
        <f>"20180701"</f>
        <v>20180701</v>
      </c>
      <c r="E869" s="1" t="str">
        <f>"黄河科技学院"</f>
        <v>黄河科技学院</v>
      </c>
      <c r="F869" s="1" t="str">
        <f>"医学影像技术"</f>
        <v>医学影像技术</v>
      </c>
      <c r="G869" s="1" t="str">
        <f>"河南省南阳市内乡县赤眉镇"</f>
        <v>河南省南阳市内乡县赤眉镇</v>
      </c>
      <c r="H869" s="1" t="str">
        <f>"放射医学技术"</f>
        <v>放射医学技术</v>
      </c>
      <c r="I869" s="1" t="str">
        <f>"2014.09-2018.06黄河科技学院在医学院医学系医学影像技术就读，全日制学历。"</f>
        <v>2014.09-2018.06黄河科技学院在医学院医学系医学影像技术就读，全日制学历。</v>
      </c>
    </row>
    <row r="870" spans="1:9">
      <c r="A870" s="1" t="str">
        <f>"411623200212037317"</f>
        <v>411623200212037317</v>
      </c>
      <c r="B870" s="1" t="str">
        <f t="shared" si="429"/>
        <v>共青团员</v>
      </c>
      <c r="C870" s="1" t="str">
        <f t="shared" si="428"/>
        <v>本科</v>
      </c>
      <c r="D870" s="1" t="str">
        <f>"20240620"</f>
        <v>20240620</v>
      </c>
      <c r="E870" s="1" t="str">
        <f>"兰州交通大学"</f>
        <v>兰州交通大学</v>
      </c>
      <c r="F870" s="1" t="str">
        <f>"能源与动力工程"</f>
        <v>能源与动力工程</v>
      </c>
      <c r="G870" s="1" t="str">
        <f>"周口市川汇区中州大道"</f>
        <v>周口市川汇区中州大道</v>
      </c>
      <c r="H870" s="1" t="str">
        <f t="shared" ref="H870:H889" si="431">"无"</f>
        <v>无</v>
      </c>
      <c r="I870" s="1" t="str">
        <f>"202009-202406 兰州交通大学就读，机电工程学院能源与动力工程 为全日制"</f>
        <v>202009-202406 兰州交通大学就读，机电工程学院能源与动力工程 为全日制</v>
      </c>
    </row>
    <row r="871" spans="1:9">
      <c r="A871" s="1" t="str">
        <f>"410221200003038852"</f>
        <v>410221200003038852</v>
      </c>
      <c r="B871" s="1" t="str">
        <f t="shared" si="429"/>
        <v>共青团员</v>
      </c>
      <c r="C871" s="1" t="str">
        <f t="shared" si="428"/>
        <v>本科</v>
      </c>
      <c r="D871" s="1" t="str">
        <f>"20250607"</f>
        <v>20250607</v>
      </c>
      <c r="E871" s="1" t="str">
        <f>"黄淮学院"</f>
        <v>黄淮学院</v>
      </c>
      <c r="F871" s="1" t="str">
        <f>"建筑学"</f>
        <v>建筑学</v>
      </c>
      <c r="G871" s="1" t="str">
        <f>"河南省开封市杞县"</f>
        <v>河南省开封市杞县</v>
      </c>
      <c r="H871" s="1" t="str">
        <f t="shared" si="431"/>
        <v>无</v>
      </c>
      <c r="I871" s="1" t="str">
        <f>"202009-202506 黄淮学院就读"</f>
        <v>202009-202506 黄淮学院就读</v>
      </c>
    </row>
    <row r="872" spans="1:9">
      <c r="A872" s="1" t="str">
        <f>"411327200310153927"</f>
        <v>411327200310153927</v>
      </c>
      <c r="B872" s="1" t="str">
        <f t="shared" si="430"/>
        <v>群众</v>
      </c>
      <c r="C872" s="1" t="str">
        <f t="shared" ref="C872:C877" si="432">"专科"</f>
        <v>专科</v>
      </c>
      <c r="D872" s="1" t="str">
        <f>"20240616"</f>
        <v>20240616</v>
      </c>
      <c r="E872" s="1" t="str">
        <f>"南阳农业职业学院"</f>
        <v>南阳农业职业学院</v>
      </c>
      <c r="F872" s="1" t="str">
        <f>"畜牧兽医"</f>
        <v>畜牧兽医</v>
      </c>
      <c r="G872" s="1" t="str">
        <f>"河南省南阳市内乡县城关镇"</f>
        <v>河南省南阳市内乡县城关镇</v>
      </c>
      <c r="H872" s="1" t="str">
        <f t="shared" si="431"/>
        <v>无</v>
      </c>
      <c r="I872" s="1" t="str">
        <f>"202109-20240616在南阳农业职业学院畜牧兽医专业就读全日制学历"</f>
        <v>202109-20240616在南阳农业职业学院畜牧兽医专业就读全日制学历</v>
      </c>
    </row>
    <row r="873" spans="1:9">
      <c r="A873" s="1" t="str">
        <f>"411330200112041519"</f>
        <v>411330200112041519</v>
      </c>
      <c r="B873" s="1" t="str">
        <f t="shared" ref="B873:B879" si="433">"中共党员"</f>
        <v>中共党员</v>
      </c>
      <c r="C873" s="1" t="str">
        <f t="shared" ref="C873:C876" si="434">"本科"</f>
        <v>本科</v>
      </c>
      <c r="D873" s="1" t="str">
        <f>"20250607"</f>
        <v>20250607</v>
      </c>
      <c r="E873" s="1" t="str">
        <f>"长安大学"</f>
        <v>长安大学</v>
      </c>
      <c r="F873" s="1" t="str">
        <f>"广播电视编导"</f>
        <v>广播电视编导</v>
      </c>
      <c r="G873" s="1" t="str">
        <f>"河南省南阳市西峡县澜湾公馆"</f>
        <v>河南省南阳市西峡县澜湾公馆</v>
      </c>
      <c r="H873" s="1" t="str">
        <f t="shared" si="431"/>
        <v>无</v>
      </c>
      <c r="I873" s="1" t="str">
        <f>"201709-202006商南县高等职业中学就读
202009-202106商南县高等职业中学复读一年
202109-202506长安大学就读"</f>
        <v>201709-202006商南县高等职业中学就读
202009-202106商南县高等职业中学复读一年
202109-202506长安大学就读</v>
      </c>
    </row>
    <row r="874" spans="1:9">
      <c r="A874" s="1" t="str">
        <f>"411327200005042964"</f>
        <v>411327200005042964</v>
      </c>
      <c r="B874" s="1" t="str">
        <f t="shared" si="433"/>
        <v>中共党员</v>
      </c>
      <c r="C874" s="1" t="str">
        <f t="shared" si="434"/>
        <v>本科</v>
      </c>
      <c r="D874" s="1" t="str">
        <f>"20210607"</f>
        <v>20210607</v>
      </c>
      <c r="E874" s="1" t="str">
        <f>"河南科技学院"</f>
        <v>河南科技学院</v>
      </c>
      <c r="F874" s="1" t="str">
        <f>"植物保护"</f>
        <v>植物保护</v>
      </c>
      <c r="G874" s="1" t="str">
        <f>"河南省南阳市内乡县屈庄"</f>
        <v>河南省南阳市内乡县屈庄</v>
      </c>
      <c r="H874" s="1" t="str">
        <f t="shared" si="431"/>
        <v>无</v>
      </c>
      <c r="I874" s="1" t="str">
        <f>"201709-202106河南科技学院 就读   是全日制
202109-202507内乡郦都学校  就业"</f>
        <v>201709-202106河南科技学院 就读   是全日制
202109-202507内乡郦都学校  就业</v>
      </c>
    </row>
    <row r="875" spans="1:9">
      <c r="A875" s="1" t="str">
        <f>"411327200109260034"</f>
        <v>411327200109260034</v>
      </c>
      <c r="B875" s="1" t="str">
        <f>"中共预备党员"</f>
        <v>中共预备党员</v>
      </c>
      <c r="C875" s="1" t="str">
        <f t="shared" si="432"/>
        <v>专科</v>
      </c>
      <c r="D875" s="1" t="str">
        <f>"202507"</f>
        <v>202507</v>
      </c>
      <c r="E875" s="1" t="str">
        <f>"河南物流职业学院"</f>
        <v>河南物流职业学院</v>
      </c>
      <c r="F875" s="1" t="str">
        <f>"计算机应用技术"</f>
        <v>计算机应用技术</v>
      </c>
      <c r="G875" s="1" t="str">
        <f>"河南南阳"</f>
        <v>河南南阳</v>
      </c>
      <c r="H875" s="1" t="str">
        <f t="shared" si="431"/>
        <v>无</v>
      </c>
      <c r="I875" s="1" t="str">
        <f>"202209-202507在河南物流职业学院信息工程专业就读 是全日制学历"</f>
        <v>202209-202507在河南物流职业学院信息工程专业就读 是全日制学历</v>
      </c>
    </row>
    <row r="876" spans="1:9">
      <c r="A876" s="1" t="str">
        <f>"41132719980919452X"</f>
        <v>41132719980919452X</v>
      </c>
      <c r="B876" s="1" t="str">
        <f>"共青团员"</f>
        <v>共青团员</v>
      </c>
      <c r="C876" s="1" t="str">
        <f t="shared" si="434"/>
        <v>本科</v>
      </c>
      <c r="D876" s="1" t="str">
        <f>"20230701"</f>
        <v>20230701</v>
      </c>
      <c r="E876" s="1" t="str">
        <f>"洛阳理工学院"</f>
        <v>洛阳理工学院</v>
      </c>
      <c r="F876" s="1" t="str">
        <f>"汉语言文学"</f>
        <v>汉语言文学</v>
      </c>
      <c r="G876" s="1" t="str">
        <f>"河南省南阳市内乡县湍东镇菊城豪庭7号楼"</f>
        <v>河南省南阳市内乡县湍东镇菊城豪庭7号楼</v>
      </c>
      <c r="H876" s="1" t="str">
        <f t="shared" si="431"/>
        <v>无</v>
      </c>
      <c r="I876" s="1" t="str">
        <f>"201809-202107  焦作师范高等专科学校文学院新闻采编与制作专业就读，是全日制学历；
202109-202307 洛阳理工学院人文与社会科学学院汉语言文学专业就读，是全日制学历；
202308-202408  南阳华仲实验高中  担任高中语文教师
202502-至今   内乡菊潭学校     担任初中道德与法治教师"</f>
        <v>201809-202107  焦作师范高等专科学校文学院新闻采编与制作专业就读，是全日制学历；
202109-202307 洛阳理工学院人文与社会科学学院汉语言文学专业就读，是全日制学历；
202308-202408  南阳华仲实验高中  担任高中语文教师
202502-至今   内乡菊潭学校     担任初中道德与法治教师</v>
      </c>
    </row>
    <row r="877" spans="1:9">
      <c r="A877" s="1" t="str">
        <f>"411327199512102516"</f>
        <v>411327199512102516</v>
      </c>
      <c r="B877" s="1" t="str">
        <f>"群众"</f>
        <v>群众</v>
      </c>
      <c r="C877" s="1" t="str">
        <f t="shared" si="432"/>
        <v>专科</v>
      </c>
      <c r="D877" s="1" t="str">
        <f>"20170701"</f>
        <v>20170701</v>
      </c>
      <c r="E877" s="1" t="str">
        <f>"河南城建学院"</f>
        <v>河南城建学院</v>
      </c>
      <c r="F877" s="1" t="str">
        <f>"道路桥梁工程技术"</f>
        <v>道路桥梁工程技术</v>
      </c>
      <c r="G877" s="1" t="str">
        <f>"河南省内乡县北斗星城"</f>
        <v>河南省内乡县北斗星城</v>
      </c>
      <c r="H877" s="1" t="str">
        <f t="shared" si="431"/>
        <v>无</v>
      </c>
      <c r="I877" s="1" t="str">
        <f>"201407-201707 河南城建学院 就读 全日制
201707-201805 河南省高远公路养护技术有限公司
201806-202203 陕西省小小项目管理有限公司
202203-至今 河南牧原建筑工程有限公司"</f>
        <v>201407-201707 河南城建学院 就读 全日制
201707-201805 河南省高远公路养护技术有限公司
201806-202203 陕西省小小项目管理有限公司
202203-至今 河南牧原建筑工程有限公司</v>
      </c>
    </row>
    <row r="878" spans="1:9">
      <c r="A878" s="1" t="str">
        <f>"411221200009050220"</f>
        <v>411221200009050220</v>
      </c>
      <c r="B878" s="1" t="str">
        <f t="shared" si="433"/>
        <v>中共党员</v>
      </c>
      <c r="C878" s="1" t="str">
        <f t="shared" ref="C878:C883" si="435">"本科"</f>
        <v>本科</v>
      </c>
      <c r="D878" s="1" t="str">
        <f>"20220625"</f>
        <v>20220625</v>
      </c>
      <c r="E878" s="1" t="str">
        <f>"河北民族师范学院"</f>
        <v>河北民族师范学院</v>
      </c>
      <c r="F878" s="1" t="str">
        <f>"学前教育"</f>
        <v>学前教育</v>
      </c>
      <c r="G878" s="1" t="str">
        <f>"河南省三门峡市渑池县城关镇火车站和谐小区"</f>
        <v>河南省三门峡市渑池县城关镇火车站和谐小区</v>
      </c>
      <c r="H878" s="1" t="str">
        <f t="shared" si="431"/>
        <v>无</v>
      </c>
      <c r="I878" s="1" t="str">
        <f>"201809-202206 河北民族师范学院  就读
202206-至今 河南省三门峡市渑池县 待业"</f>
        <v>201809-202206 河北民族师范学院  就读
202206-至今 河南省三门峡市渑池县 待业</v>
      </c>
    </row>
    <row r="879" spans="1:9">
      <c r="A879" s="1" t="str">
        <f>"41132620020117532X"</f>
        <v>41132620020117532X</v>
      </c>
      <c r="B879" s="1" t="str">
        <f t="shared" si="433"/>
        <v>中共党员</v>
      </c>
      <c r="C879" s="1" t="str">
        <f t="shared" si="435"/>
        <v>本科</v>
      </c>
      <c r="D879" s="1" t="str">
        <f>"20250611"</f>
        <v>20250611</v>
      </c>
      <c r="E879" s="1" t="str">
        <f>"安阳学院"</f>
        <v>安阳学院</v>
      </c>
      <c r="F879" s="1" t="str">
        <f>"学前教育"</f>
        <v>学前教育</v>
      </c>
      <c r="G879" s="1" t="str">
        <f>"河南省南阳市西峡县五里桥镇金达小区"</f>
        <v>河南省南阳市西峡县五里桥镇金达小区</v>
      </c>
      <c r="H879" s="1" t="str">
        <f t="shared" si="431"/>
        <v>无</v>
      </c>
      <c r="I879" s="1" t="str">
        <f>"202109-202506安阳学院教育学院学前教育专业就读，全日制学历；202506至今西峡县待业"</f>
        <v>202109-202506安阳学院教育学院学前教育专业就读，全日制学历；202506至今西峡县待业</v>
      </c>
    </row>
    <row r="880" spans="1:9">
      <c r="A880" s="1" t="str">
        <f>"410621199711282078"</f>
        <v>410621199711282078</v>
      </c>
      <c r="B880" s="1" t="str">
        <f t="shared" ref="B880:B885" si="436">"共青团员"</f>
        <v>共青团员</v>
      </c>
      <c r="C880" s="1" t="str">
        <f t="shared" si="435"/>
        <v>本科</v>
      </c>
      <c r="D880" s="1" t="str">
        <f>"20210701"</f>
        <v>20210701</v>
      </c>
      <c r="E880" s="1" t="str">
        <f>"黄淮学院"</f>
        <v>黄淮学院</v>
      </c>
      <c r="F880" s="1" t="str">
        <f>"音乐学"</f>
        <v>音乐学</v>
      </c>
      <c r="G880" s="1" t="str">
        <f>"河南省鹤壁市浚县屯子镇"</f>
        <v>河南省鹤壁市浚县屯子镇</v>
      </c>
      <c r="H880" s="1" t="str">
        <f t="shared" si="431"/>
        <v>无</v>
      </c>
      <c r="I880" s="1" t="str">
        <f>"201709-202106黄淮学院音乐学院音乐学就读，全日制学历
202109-202309部队"</f>
        <v>201709-202106黄淮学院音乐学院音乐学就读，全日制学历
202109-202309部队</v>
      </c>
    </row>
    <row r="881" spans="1:9">
      <c r="A881" s="1" t="str">
        <f>"411327199709232920"</f>
        <v>411327199709232920</v>
      </c>
      <c r="B881" s="1" t="str">
        <f t="shared" ref="B881:B886" si="437">"群众"</f>
        <v>群众</v>
      </c>
      <c r="C881" s="1" t="str">
        <f t="shared" si="435"/>
        <v>本科</v>
      </c>
      <c r="D881" s="1" t="str">
        <f>"20190703"</f>
        <v>20190703</v>
      </c>
      <c r="E881" s="1" t="str">
        <f>"郑州科技学院"</f>
        <v>郑州科技学院</v>
      </c>
      <c r="F881" s="1" t="str">
        <f>"旅游管理"</f>
        <v>旅游管理</v>
      </c>
      <c r="G881" s="1" t="str">
        <f>"河南省南阳市内乡县湍东镇北符营村"</f>
        <v>河南省南阳市内乡县湍东镇北符营村</v>
      </c>
      <c r="H881" s="1" t="str">
        <f t="shared" si="431"/>
        <v>无</v>
      </c>
      <c r="I881" s="1" t="str">
        <f>"201509-201907 郑州科技学院  工商管理学院 旅游管理专业  全日制
201909-202007 宛南枫桥学校   小学英语教师
202009-202307 瓦亭镇初级中学 初中英语教师
202309-至今  在家待业"</f>
        <v>201509-201907 郑州科技学院  工商管理学院 旅游管理专业  全日制
201909-202007 宛南枫桥学校   小学英语教师
202009-202307 瓦亭镇初级中学 初中英语教师
202309-至今  在家待业</v>
      </c>
    </row>
    <row r="882" spans="1:9">
      <c r="A882" s="1" t="str">
        <f>"411321200204270718"</f>
        <v>411321200204270718</v>
      </c>
      <c r="B882" s="1" t="str">
        <f t="shared" si="436"/>
        <v>共青团员</v>
      </c>
      <c r="C882" s="1" t="str">
        <f t="shared" si="435"/>
        <v>本科</v>
      </c>
      <c r="D882" s="1" t="str">
        <f>"20250614"</f>
        <v>20250614</v>
      </c>
      <c r="E882" s="1" t="str">
        <f>"信阳农林学院"</f>
        <v>信阳农林学院</v>
      </c>
      <c r="F882" s="1" t="str">
        <f>"农学"</f>
        <v>农学</v>
      </c>
      <c r="G882" s="1" t="str">
        <f>"河南省南阳市南召县滨河路水岸鑫城小区"</f>
        <v>河南省南阳市南召县滨河路水岸鑫城小区</v>
      </c>
      <c r="H882" s="1" t="str">
        <f t="shared" si="431"/>
        <v>无</v>
      </c>
      <c r="I882" s="1" t="str">
        <f>"202010-202307 河南农业职业学院农业工程学院现代农业技术专业就读 全日制学历
202309-202506 信阳农林学院农学院农学专业就读 全日制学历
202506-至今 在家待业"</f>
        <v>202010-202307 河南农业职业学院农业工程学院现代农业技术专业就读 全日制学历
202309-202506 信阳农林学院农学院农学专业就读 全日制学历
202506-至今 在家待业</v>
      </c>
    </row>
    <row r="883" spans="1:9">
      <c r="A883" s="1" t="str">
        <f>"410182200304144912"</f>
        <v>410182200304144912</v>
      </c>
      <c r="B883" s="1" t="str">
        <f t="shared" si="437"/>
        <v>群众</v>
      </c>
      <c r="C883" s="1" t="str">
        <f t="shared" si="435"/>
        <v>本科</v>
      </c>
      <c r="D883" s="1" t="str">
        <f>"20250701"</f>
        <v>20250701</v>
      </c>
      <c r="E883" s="1" t="str">
        <f>"郑州经贸学院"</f>
        <v>郑州经贸学院</v>
      </c>
      <c r="F883" s="1" t="str">
        <f>"电气控制及其自动化"</f>
        <v>电气控制及其自动化</v>
      </c>
      <c r="G883" s="1" t="str">
        <f>"郑州市新密市米村镇和盛嘉园"</f>
        <v>郑州市新密市米村镇和盛嘉园</v>
      </c>
      <c r="H883" s="1" t="str">
        <f t="shared" si="431"/>
        <v>无</v>
      </c>
      <c r="I883" s="1" t="str">
        <f>"202109-202507 郑州经贸学院 智慧制造学院 电气工程及其自动化专业就读，是全日制本科"</f>
        <v>202109-202507 郑州经贸学院 智慧制造学院 电气工程及其自动化专业就读，是全日制本科</v>
      </c>
    </row>
    <row r="884" spans="1:9">
      <c r="A884" s="1" t="str">
        <f>"411324199808284225"</f>
        <v>411324199808284225</v>
      </c>
      <c r="B884" s="1" t="str">
        <f t="shared" si="436"/>
        <v>共青团员</v>
      </c>
      <c r="C884" s="1" t="str">
        <f>"专科"</f>
        <v>专科</v>
      </c>
      <c r="D884" s="1" t="str">
        <f>"20220701"</f>
        <v>20220701</v>
      </c>
      <c r="E884" s="1" t="str">
        <f>"安阳师范学院"</f>
        <v>安阳师范学院</v>
      </c>
      <c r="F884" s="1" t="str">
        <f>"会计"</f>
        <v>会计</v>
      </c>
      <c r="G884" s="1" t="str">
        <f>"南阳市宛城区仲景街道龙达新天地2区"</f>
        <v>南阳市宛城区仲景街道龙达新天地2区</v>
      </c>
      <c r="H884" s="1" t="str">
        <f t="shared" si="431"/>
        <v>无</v>
      </c>
      <c r="I884" s="1" t="str">
        <f>"201909-202207 在安阳师范学院会计系就读 非全日制学历
202103-至今      在南阳市宛城区五里堡街道办事处就业"</f>
        <v>201909-202207 在安阳师范学院会计系就读 非全日制学历
202103-至今      在南阳市宛城区五里堡街道办事处就业</v>
      </c>
    </row>
    <row r="885" spans="1:9">
      <c r="A885" s="1" t="str">
        <f>"410403199711075622"</f>
        <v>410403199711075622</v>
      </c>
      <c r="B885" s="1" t="str">
        <f t="shared" si="436"/>
        <v>共青团员</v>
      </c>
      <c r="C885" s="1" t="str">
        <f t="shared" ref="C885:C887" si="438">"本科"</f>
        <v>本科</v>
      </c>
      <c r="D885" s="1" t="str">
        <f>"20210701"</f>
        <v>20210701</v>
      </c>
      <c r="E885" s="1" t="str">
        <f>"中国人民公安大学"</f>
        <v>中国人民公安大学</v>
      </c>
      <c r="F885" s="1" t="str">
        <f>"法学"</f>
        <v>法学</v>
      </c>
      <c r="G885" s="1" t="str">
        <f>"平顶山市卫东区 税务局家属院"</f>
        <v>平顶山市卫东区 税务局家属院</v>
      </c>
      <c r="H885" s="1" t="str">
        <f t="shared" si="431"/>
        <v>无</v>
      </c>
      <c r="I885" s="1" t="str">
        <f>"20150901-20180701 河南经贸职业学院 就读空中乘务专业
20190305-20210701 中国人民公安大学 就读法学专业
20210701-20230530 在家待业
2023至今 平顶山市图书馆 公益性岗位人员"</f>
        <v>20150901-20180701 河南经贸职业学院 就读空中乘务专业
20190305-20210701 中国人民公安大学 就读法学专业
20210701-20230530 在家待业
2023至今 平顶山市图书馆 公益性岗位人员</v>
      </c>
    </row>
    <row r="886" spans="1:9">
      <c r="A886" s="1" t="str">
        <f>"411325200107020624"</f>
        <v>411325200107020624</v>
      </c>
      <c r="B886" s="1" t="str">
        <f t="shared" si="437"/>
        <v>群众</v>
      </c>
      <c r="C886" s="1" t="str">
        <f t="shared" si="438"/>
        <v>本科</v>
      </c>
      <c r="D886" s="1" t="str">
        <f>"20230701"</f>
        <v>20230701</v>
      </c>
      <c r="E886" s="1" t="str">
        <f>"郑州工业应用技术学院"</f>
        <v>郑州工业应用技术学院</v>
      </c>
      <c r="F886" s="1" t="str">
        <f>"计算机科学与技术"</f>
        <v>计算机科学与技术</v>
      </c>
      <c r="G886" s="1" t="str">
        <f>"河南省南阳市内乡县马山口镇"</f>
        <v>河南省南阳市内乡县马山口镇</v>
      </c>
      <c r="H886" s="1" t="str">
        <f t="shared" si="431"/>
        <v>无</v>
      </c>
      <c r="I886" s="1" t="str">
        <f>"201909-202307 
在郑州工业应用技术学院信息工程学院计算机科学与技术专业就读
是全日制学历"</f>
        <v>201909-202307 
在郑州工业应用技术学院信息工程学院计算机科学与技术专业就读
是全日制学历</v>
      </c>
    </row>
    <row r="887" spans="1:9">
      <c r="A887" s="1" t="str">
        <f>"41138120031129392X"</f>
        <v>41138120031129392X</v>
      </c>
      <c r="B887" s="1" t="str">
        <f>"共青团员"</f>
        <v>共青团员</v>
      </c>
      <c r="C887" s="1" t="str">
        <f t="shared" si="438"/>
        <v>本科</v>
      </c>
      <c r="D887" s="1" t="str">
        <f>"20240701"</f>
        <v>20240701</v>
      </c>
      <c r="E887" s="1" t="str">
        <f>"河南科技学院"</f>
        <v>河南科技学院</v>
      </c>
      <c r="F887" s="1" t="str">
        <f>"旅游管理"</f>
        <v>旅游管理</v>
      </c>
      <c r="G887" s="1" t="str">
        <f>"河南省南阳市内乡县城关镇"</f>
        <v>河南省南阳市内乡县城关镇</v>
      </c>
      <c r="H887" s="1" t="str">
        <f t="shared" si="431"/>
        <v>无</v>
      </c>
      <c r="I887" s="1" t="str">
        <f>"202009-202407在河南科技学院就读"</f>
        <v>202009-202407在河南科技学院就读</v>
      </c>
    </row>
    <row r="888" spans="1:9">
      <c r="A888" s="1" t="str">
        <f>"411302200110310097"</f>
        <v>411302200110310097</v>
      </c>
      <c r="B888" s="1" t="str">
        <f>"共青团员"</f>
        <v>共青团员</v>
      </c>
      <c r="C888" s="1" t="str">
        <f t="shared" ref="C888:C893" si="439">"专科"</f>
        <v>专科</v>
      </c>
      <c r="D888" s="1" t="str">
        <f>"20230701"</f>
        <v>20230701</v>
      </c>
      <c r="E888" s="1" t="str">
        <f>"河南财政金融学院"</f>
        <v>河南财政金融学院</v>
      </c>
      <c r="F888" s="1" t="str">
        <f>"数字媒体技术"</f>
        <v>数字媒体技术</v>
      </c>
      <c r="G888" s="1" t="str">
        <f>"河南省南阳市宛城区魏营1组121号"</f>
        <v>河南省南阳市宛城区魏营1组121号</v>
      </c>
      <c r="H888" s="1" t="str">
        <f t="shared" si="431"/>
        <v>无</v>
      </c>
      <c r="I888" s="1" t="str">
        <f>"202109-202306  河南财政金融学院 软件学院 数字媒体技术专业就读，全日制专科"</f>
        <v>202109-202306  河南财政金融学院 软件学院 数字媒体技术专业就读，全日制专科</v>
      </c>
    </row>
    <row r="889" spans="1:9">
      <c r="A889" s="1" t="str">
        <f>"411330200107281542"</f>
        <v>411330200107281542</v>
      </c>
      <c r="B889" s="1" t="str">
        <f>"中共党员"</f>
        <v>中共党员</v>
      </c>
      <c r="C889" s="1" t="str">
        <f t="shared" ref="C889:C892" si="440">"本科"</f>
        <v>本科</v>
      </c>
      <c r="D889" s="1" t="str">
        <f>"20230608"</f>
        <v>20230608</v>
      </c>
      <c r="E889" s="1" t="str">
        <f>"绍兴文理学院"</f>
        <v>绍兴文理学院</v>
      </c>
      <c r="F889" s="1" t="str">
        <f>"汉语言文学"</f>
        <v>汉语言文学</v>
      </c>
      <c r="G889" s="1" t="str">
        <f>"河南省南阳市西峡县城关镇莲花街道弘福康花园"</f>
        <v>河南省南阳市西峡县城关镇莲花街道弘福康花园</v>
      </c>
      <c r="H889" s="1" t="str">
        <f t="shared" si="431"/>
        <v>无</v>
      </c>
      <c r="I889" s="1" t="str">
        <f>"201909-202306 绍兴文理学院 人文学院汉语言文学专业就读 是全日制学历
202306至今 待业"</f>
        <v>201909-202306 绍兴文理学院 人文学院汉语言文学专业就读 是全日制学历
202306至今 待业</v>
      </c>
    </row>
    <row r="890" spans="1:9">
      <c r="A890" s="1" t="str">
        <f>"411325199604034992"</f>
        <v>411325199604034992</v>
      </c>
      <c r="B890" s="1" t="str">
        <f t="shared" ref="B890:B896" si="441">"群众"</f>
        <v>群众</v>
      </c>
      <c r="C890" s="1" t="str">
        <f t="shared" si="440"/>
        <v>本科</v>
      </c>
      <c r="D890" s="1" t="str">
        <f>"2022.07"</f>
        <v>2022.07</v>
      </c>
      <c r="E890" s="1" t="str">
        <f>"江南大学"</f>
        <v>江南大学</v>
      </c>
      <c r="F890" s="1" t="str">
        <f>"法学"</f>
        <v>法学</v>
      </c>
      <c r="G890" s="1" t="str">
        <f>"河南省南阳市内乡县新一高对面泰丰小区"</f>
        <v>河南省南阳市内乡县新一高对面泰丰小区</v>
      </c>
      <c r="H890" s="1" t="str">
        <f>"法律统一职业资格证书C证"</f>
        <v>法律统一职业资格证书C证</v>
      </c>
      <c r="I890" s="1" t="str">
        <f>"2016.09-2020.06 江南大学 工商管理
2020.09-2022.07 江南大学 法学
2022.08-2023.02  中建六局土木有限公司  法务
2023.06-至今 淅川县农业农村局   法规"</f>
        <v>2016.09-2020.06 江南大学 工商管理
2020.09-2022.07 江南大学 法学
2022.08-2023.02  中建六局土木有限公司  法务
2023.06-至今 淅川县农业农村局   法规</v>
      </c>
    </row>
    <row r="891" spans="1:9">
      <c r="A891" s="1" t="str">
        <f>"41122419921116521X"</f>
        <v>41122419921116521X</v>
      </c>
      <c r="B891" s="1" t="str">
        <f t="shared" si="441"/>
        <v>群众</v>
      </c>
      <c r="C891" s="1" t="str">
        <f t="shared" si="439"/>
        <v>专科</v>
      </c>
      <c r="D891" s="1" t="str">
        <f>"2014-06-30"</f>
        <v>2014-06-30</v>
      </c>
      <c r="E891" s="1" t="str">
        <f>"河南教育学院"</f>
        <v>河南教育学院</v>
      </c>
      <c r="F891" s="1" t="str">
        <f>"国际经济与贸易"</f>
        <v>国际经济与贸易</v>
      </c>
      <c r="G891" s="1" t="str">
        <f>"河南省卢氏县"</f>
        <v>河南省卢氏县</v>
      </c>
      <c r="H891" s="1" t="str">
        <f t="shared" ref="H891:H903" si="442">"无"</f>
        <v>无</v>
      </c>
      <c r="I891" s="1" t="str">
        <f>"200809-201106   卢氏一高
201109-201407   河南教育学院 法律与经济系 国际经济与贸易 全日制
201409-201507   磨口中学  代课教师
201508-201609   河南淘当企业咨询管理有限公司  客户经理
201609-201709   北京创意麦奇教育信息咨询有限公司  咨询顾问
201709-202206   河南京佳教育  市场经理
202206-至今  在老家卢氏县待业"</f>
        <v>200809-201106   卢氏一高
201109-201407   河南教育学院 法律与经济系 国际经济与贸易 全日制
201409-201507   磨口中学  代课教师
201508-201609   河南淘当企业咨询管理有限公司  客户经理
201609-201709   北京创意麦奇教育信息咨询有限公司  咨询顾问
201709-202206   河南京佳教育  市场经理
202206-至今  在老家卢氏县待业</v>
      </c>
    </row>
    <row r="892" spans="1:9">
      <c r="A892" s="1" t="str">
        <f>"410523199501274026"</f>
        <v>410523199501274026</v>
      </c>
      <c r="B892" s="1" t="str">
        <f t="shared" si="441"/>
        <v>群众</v>
      </c>
      <c r="C892" s="1" t="str">
        <f t="shared" si="440"/>
        <v>本科</v>
      </c>
      <c r="D892" s="1" t="str">
        <f>"20170607"</f>
        <v>20170607</v>
      </c>
      <c r="E892" s="1" t="str">
        <f>"平顶山学院"</f>
        <v>平顶山学院</v>
      </c>
      <c r="F892" s="1" t="str">
        <f>"数学与应用数学"</f>
        <v>数学与应用数学</v>
      </c>
      <c r="G892" s="1" t="str">
        <f>"河南省郑州市经开区热力公司"</f>
        <v>河南省郑州市经开区热力公司</v>
      </c>
      <c r="H892" s="1" t="str">
        <f>"英语四级，计算机二级"</f>
        <v>英语四级，计算机二级</v>
      </c>
      <c r="I892" s="1" t="str">
        <f>"2013-2017平顶山学院 数学与应用数学 全日制本科
2018-2021线上教育辅导老师
2021-2025河南创达建设有限公司会计
"</f>
        <v>2013-2017平顶山学院 数学与应用数学 全日制本科
2018-2021线上教育辅导老师
2021-2025河南创达建设有限公司会计
</v>
      </c>
    </row>
    <row r="893" spans="1:9">
      <c r="A893" s="1" t="str">
        <f>"411327199810192011"</f>
        <v>411327199810192011</v>
      </c>
      <c r="B893" s="1" t="str">
        <f t="shared" si="441"/>
        <v>群众</v>
      </c>
      <c r="C893" s="1" t="str">
        <f t="shared" si="439"/>
        <v>专科</v>
      </c>
      <c r="D893" s="1" t="str">
        <f>"2019.07"</f>
        <v>2019.07</v>
      </c>
      <c r="E893" s="1" t="str">
        <f>"郑州大学"</f>
        <v>郑州大学</v>
      </c>
      <c r="F893" s="1" t="str">
        <f>"会计学"</f>
        <v>会计学</v>
      </c>
      <c r="G893" s="1" t="str">
        <f>"内乡县郦都花园"</f>
        <v>内乡县郦都花园</v>
      </c>
      <c r="H893" s="1" t="str">
        <f>"会计初级证书"</f>
        <v>会计初级证书</v>
      </c>
      <c r="I893" s="1" t="str">
        <f>"2016.09-2019.07   郑州大学西亚斯国际学校会计专业
2019.11-2021.05   内乡县恒辉实业有限公司
2021.08-2023.06.   楚都商圣代理记账公司
2023.07-2024.10.   内乡县烟草公司
2024..10-2025.03    飞龙铸造事业部"</f>
        <v>2016.09-2019.07   郑州大学西亚斯国际学校会计专业
2019.11-2021.05   内乡县恒辉实业有限公司
2021.08-2023.06.   楚都商圣代理记账公司
2023.07-2024.10.   内乡县烟草公司
2024..10-2025.03    飞龙铸造事业部</v>
      </c>
    </row>
    <row r="894" spans="1:9">
      <c r="A894" s="1" t="str">
        <f>"410423200203078027"</f>
        <v>410423200203078027</v>
      </c>
      <c r="B894" s="1" t="str">
        <f t="shared" si="441"/>
        <v>群众</v>
      </c>
      <c r="C894" s="1" t="str">
        <f t="shared" ref="C894:C898" si="443">"本科"</f>
        <v>本科</v>
      </c>
      <c r="D894" s="1" t="str">
        <f>"20250701"</f>
        <v>20250701</v>
      </c>
      <c r="E894" s="1" t="str">
        <f>"郑州师范学院"</f>
        <v>郑州师范学院</v>
      </c>
      <c r="F894" s="1" t="str">
        <f>"小学教育"</f>
        <v>小学教育</v>
      </c>
      <c r="G894" s="1" t="str">
        <f>"河南省平顶山市鲁山县东关转盘"</f>
        <v>河南省平顶山市鲁山县东关转盘</v>
      </c>
      <c r="H894" s="1" t="str">
        <f t="shared" si="442"/>
        <v>无</v>
      </c>
      <c r="I894" s="1" t="str">
        <f>"本人在2020年9月至2022年6月在安阳幼儿师范学院 学前教育专业就读 是全日制专科   2022年7月至2023年4月在常绿林夕天悦售楼部待业2023年5月至2025年7月在郑州师范学院  小学教育专业就读  是非全日制本科  "</f>
        <v>本人在2020年9月至2022年6月在安阳幼儿师范学院 学前教育专业就读 是全日制专科   2022年7月至2023年4月在常绿林夕天悦售楼部待业2023年5月至2025年7月在郑州师范学院  小学教育专业就读  是非全日制本科  </v>
      </c>
    </row>
    <row r="895" spans="1:9">
      <c r="A895" s="1" t="str">
        <f>"411327199411150068"</f>
        <v>411327199411150068</v>
      </c>
      <c r="B895" s="1" t="str">
        <f t="shared" si="441"/>
        <v>群众</v>
      </c>
      <c r="C895" s="1" t="str">
        <f>"专科"</f>
        <v>专科</v>
      </c>
      <c r="D895" s="1" t="str">
        <f>"20160701"</f>
        <v>20160701</v>
      </c>
      <c r="E895" s="1" t="str">
        <f>"河南教育学院"</f>
        <v>河南教育学院</v>
      </c>
      <c r="F895" s="1" t="str">
        <f>"心理咨询"</f>
        <v>心理咨询</v>
      </c>
      <c r="G895" s="1" t="str">
        <f>"河南省南阳市内乡县城关镇新民路"</f>
        <v>河南省南阳市内乡县城关镇新民路</v>
      </c>
      <c r="H895" s="1" t="str">
        <f t="shared" si="442"/>
        <v>无</v>
      </c>
      <c r="I895" s="1" t="str">
        <f>"201309-201606河南教育学院心理咨询专业就读，全日制学历
201606-201708在内乡县家中待业
201709至今在内乡县赤眉镇中心小学教学"</f>
        <v>201309-201606河南教育学院心理咨询专业就读，全日制学历
201606-201708在内乡县家中待业
201709至今在内乡县赤眉镇中心小学教学</v>
      </c>
    </row>
    <row r="896" spans="1:9">
      <c r="A896" s="1" t="str">
        <f>"411327199705081133"</f>
        <v>411327199705081133</v>
      </c>
      <c r="B896" s="1" t="str">
        <f t="shared" si="441"/>
        <v>群众</v>
      </c>
      <c r="C896" s="1" t="str">
        <f t="shared" si="443"/>
        <v>本科</v>
      </c>
      <c r="D896" s="1" t="str">
        <f>"20210630"</f>
        <v>20210630</v>
      </c>
      <c r="E896" s="1" t="str">
        <f>"武汉纺织大学"</f>
        <v>武汉纺织大学</v>
      </c>
      <c r="F896" s="1" t="str">
        <f>"环境工程"</f>
        <v>环境工程</v>
      </c>
      <c r="G896" s="1" t="str">
        <f>"内乡县赤眉镇振兴街1号"</f>
        <v>内乡县赤眉镇振兴街1号</v>
      </c>
      <c r="H896" s="1" t="str">
        <f t="shared" si="442"/>
        <v>无</v>
      </c>
      <c r="I896" s="1" t="str">
        <f>"201509-202106在武汉纺织大学环境学院环境工程专业就读，全日制学历。
"</f>
        <v>201509-202106在武汉纺织大学环境学院环境工程专业就读，全日制学历。
</v>
      </c>
    </row>
    <row r="897" spans="1:9">
      <c r="A897" s="1" t="str">
        <f>"411327200202201127"</f>
        <v>411327200202201127</v>
      </c>
      <c r="B897" s="1" t="str">
        <f>"共青团员"</f>
        <v>共青团员</v>
      </c>
      <c r="C897" s="1" t="str">
        <f t="shared" si="443"/>
        <v>本科</v>
      </c>
      <c r="D897" s="1" t="str">
        <f>"20250616"</f>
        <v>20250616</v>
      </c>
      <c r="E897" s="1" t="str">
        <f>"河南城建学院"</f>
        <v>河南城建学院</v>
      </c>
      <c r="F897" s="1" t="str">
        <f>"旅游管理"</f>
        <v>旅游管理</v>
      </c>
      <c r="G897" s="1" t="str">
        <f>"河南省内乡县赤眉镇赤眉村"</f>
        <v>河南省内乡县赤眉镇赤眉村</v>
      </c>
      <c r="H897" s="1" t="str">
        <f t="shared" si="442"/>
        <v>无</v>
      </c>
      <c r="I897" s="1" t="str">
        <f>"202009-202306 郑州幼儿师范高等专科学校 外国语学院旅游英语专业就读 全日制学历
202309-202506 河南城建学院管理学院旅游管理专业就读 全日制学历"</f>
        <v>202009-202306 郑州幼儿师范高等专科学校 外国语学院旅游英语专业就读 全日制学历
202309-202506 河南城建学院管理学院旅游管理专业就读 全日制学历</v>
      </c>
    </row>
    <row r="898" spans="1:9">
      <c r="A898" s="1" t="str">
        <f>"411327199902011513"</f>
        <v>411327199902011513</v>
      </c>
      <c r="B898" s="1" t="str">
        <f t="shared" ref="B898:B901" si="444">"群众"</f>
        <v>群众</v>
      </c>
      <c r="C898" s="1" t="str">
        <f t="shared" si="443"/>
        <v>本科</v>
      </c>
      <c r="D898" s="1" t="str">
        <f>"20200701"</f>
        <v>20200701</v>
      </c>
      <c r="E898" s="1" t="str">
        <f>"商丘学院"</f>
        <v>商丘学院</v>
      </c>
      <c r="F898" s="1" t="str">
        <f>"会计学"</f>
        <v>会计学</v>
      </c>
      <c r="G898" s="1" t="str">
        <f>"南阳市内乡县湍东镇东符营村"</f>
        <v>南阳市内乡县湍东镇东符营村</v>
      </c>
      <c r="H898" s="1" t="str">
        <f t="shared" si="442"/>
        <v>无</v>
      </c>
      <c r="I898" s="1" t="str">
        <f>"201609-202007商丘学院应用科技学院会计系会计学专业就读，全日制。"</f>
        <v>201609-202007商丘学院应用科技学院会计系会计学专业就读，全日制。</v>
      </c>
    </row>
    <row r="899" spans="1:9">
      <c r="A899" s="1" t="str">
        <f>"411303200303100076"</f>
        <v>411303200303100076</v>
      </c>
      <c r="B899" s="1" t="str">
        <f t="shared" ref="B899:B904" si="445">"中共党员"</f>
        <v>中共党员</v>
      </c>
      <c r="C899" s="1" t="str">
        <f>"专科"</f>
        <v>专科</v>
      </c>
      <c r="D899" s="1" t="str">
        <f>"20240620"</f>
        <v>20240620</v>
      </c>
      <c r="E899" s="1" t="str">
        <f>"天津市职业大学"</f>
        <v>天津市职业大学</v>
      </c>
      <c r="F899" s="1" t="str">
        <f>"广告艺术设计"</f>
        <v>广告艺术设计</v>
      </c>
      <c r="G899" s="1" t="str">
        <f>"河南省南阳市卧龙区青华镇杨官司村46号"</f>
        <v>河南省南阳市卧龙区青华镇杨官司村46号</v>
      </c>
      <c r="H899" s="1" t="str">
        <f t="shared" si="442"/>
        <v>无</v>
      </c>
      <c r="I899" s="1" t="str">
        <f>"202109-202406 天津市职业大学艺术工程学院广告艺术设计专业 就读，全日制学历。
202407-至今 河南善勤环保科技有限公司工作。"</f>
        <v>202109-202406 天津市职业大学艺术工程学院广告艺术设计专业 就读，全日制学历。
202407-至今 河南善勤环保科技有限公司工作。</v>
      </c>
    </row>
    <row r="900" spans="1:9">
      <c r="A900" s="1" t="str">
        <f>"411327200012103526"</f>
        <v>411327200012103526</v>
      </c>
      <c r="B900" s="1" t="str">
        <f t="shared" si="444"/>
        <v>群众</v>
      </c>
      <c r="C900" s="1" t="str">
        <f t="shared" ref="C900:C902" si="446">"本科"</f>
        <v>本科</v>
      </c>
      <c r="D900" s="1" t="str">
        <f>"20230701"</f>
        <v>20230701</v>
      </c>
      <c r="E900" s="1" t="str">
        <f>"新乡医学院三全学院"</f>
        <v>新乡医学院三全学院</v>
      </c>
      <c r="F900" s="1" t="str">
        <f>"生物医学工程"</f>
        <v>生物医学工程</v>
      </c>
      <c r="G900" s="1" t="str">
        <f>"河南省南阳市内乡县板场乡后湖村下湾13号"</f>
        <v>河南省南阳市内乡县板场乡后湖村下湾13号</v>
      </c>
      <c r="H900" s="1" t="str">
        <f t="shared" si="442"/>
        <v>无</v>
      </c>
      <c r="I900" s="1" t="str">
        <f>"201909-202306新乡医学院三全学院，智能医学工程学院生物医学工程专业就读；202307-202412河南汇博医疗公司就职；202501-202502在家待业；202503-202505宏亮专升本就职；202506-至今在家待业"</f>
        <v>201909-202306新乡医学院三全学院，智能医学工程学院生物医学工程专业就读；202307-202412河南汇博医疗公司就职；202501-202502在家待业；202503-202505宏亮专升本就职；202506-至今在家待业</v>
      </c>
    </row>
    <row r="901" spans="1:9">
      <c r="A901" s="1" t="str">
        <f>"411224200203302814"</f>
        <v>411224200203302814</v>
      </c>
      <c r="B901" s="1" t="str">
        <f t="shared" si="444"/>
        <v>群众</v>
      </c>
      <c r="C901" s="1" t="str">
        <f t="shared" si="446"/>
        <v>本科</v>
      </c>
      <c r="D901" s="1" t="str">
        <f>"20240630"</f>
        <v>20240630</v>
      </c>
      <c r="E901" s="1" t="str">
        <f>"桂林理工大学博文管理学院"</f>
        <v>桂林理工大学博文管理学院</v>
      </c>
      <c r="F901" s="1" t="str">
        <f>"计算机科学与技术"</f>
        <v>计算机科学与技术</v>
      </c>
      <c r="G901" s="1" t="str">
        <f>"河南省三门峡卢氏县"</f>
        <v>河南省三门峡卢氏县</v>
      </c>
      <c r="H901" s="1" t="str">
        <f t="shared" si="442"/>
        <v>无</v>
      </c>
      <c r="I901" s="1" t="str">
        <f>"2020年10月至2024年6月在桂林理工大学博文管理学院信息工程学院计算机科学与技术就读"</f>
        <v>2020年10月至2024年6月在桂林理工大学博文管理学院信息工程学院计算机科学与技术就读</v>
      </c>
    </row>
    <row r="902" spans="1:9">
      <c r="A902" s="1" t="str">
        <f>"411323200309150520"</f>
        <v>411323200309150520</v>
      </c>
      <c r="B902" s="1" t="str">
        <f>"共青团员"</f>
        <v>共青团员</v>
      </c>
      <c r="C902" s="1" t="str">
        <f t="shared" si="446"/>
        <v>本科</v>
      </c>
      <c r="D902" s="1" t="str">
        <f>"20250625"</f>
        <v>20250625</v>
      </c>
      <c r="E902" s="1" t="str">
        <f>"河南工业大学"</f>
        <v>河南工业大学</v>
      </c>
      <c r="F902" s="1" t="str">
        <f>"化学"</f>
        <v>化学</v>
      </c>
      <c r="G902" s="1" t="str">
        <f>"河南省南阳市淅川县上集镇西坪头村"</f>
        <v>河南省南阳市淅川县上集镇西坪头村</v>
      </c>
      <c r="H902" s="1" t="str">
        <f t="shared" si="442"/>
        <v>无</v>
      </c>
      <c r="I902" s="1" t="str">
        <f>"2021年9月至2025年6月，就读于河南工业大学化学化工学院化学专业，是全日制学历。"</f>
        <v>2021年9月至2025年6月，就读于河南工业大学化学化工学院化学专业，是全日制学历。</v>
      </c>
    </row>
    <row r="903" spans="1:9">
      <c r="A903" s="1" t="str">
        <f>"422823199708120016"</f>
        <v>422823199708120016</v>
      </c>
      <c r="B903" s="1" t="str">
        <f t="shared" si="445"/>
        <v>中共党员</v>
      </c>
      <c r="C903" s="1" t="str">
        <f>"专科"</f>
        <v>专科</v>
      </c>
      <c r="D903" s="1" t="str">
        <f>"20240118"</f>
        <v>20240118</v>
      </c>
      <c r="E903" s="1" t="str">
        <f>"西安电子科技大学"</f>
        <v>西安电子科技大学</v>
      </c>
      <c r="F903" s="1" t="str">
        <f>"行政管理"</f>
        <v>行政管理</v>
      </c>
      <c r="G903" s="1" t="str">
        <f>"湖北省恩施州巴东县云四路"</f>
        <v>湖北省恩施州巴东县云四路</v>
      </c>
      <c r="H903" s="1" t="str">
        <f t="shared" si="442"/>
        <v>无</v>
      </c>
      <c r="I903" s="1" t="str">
        <f>"201903-202401西安电子科技大学就读 非全日制
201609-202409服役武警四川总队
202503至今巴东消防大队"</f>
        <v>201903-202401西安电子科技大学就读 非全日制
201609-202409服役武警四川总队
202503至今巴东消防大队</v>
      </c>
    </row>
    <row r="904" spans="1:9">
      <c r="A904" s="1" t="str">
        <f>"411327199908261548"</f>
        <v>411327199908261548</v>
      </c>
      <c r="B904" s="1" t="str">
        <f t="shared" si="445"/>
        <v>中共党员</v>
      </c>
      <c r="C904" s="1" t="str">
        <f t="shared" ref="C904:C906" si="447">"本科"</f>
        <v>本科</v>
      </c>
      <c r="D904" s="1" t="str">
        <f>"20220701"</f>
        <v>20220701</v>
      </c>
      <c r="E904" s="1" t="str">
        <f>"商丘学院"</f>
        <v>商丘学院</v>
      </c>
      <c r="F904" s="1" t="str">
        <f>"城乡规划"</f>
        <v>城乡规划</v>
      </c>
      <c r="G904" s="1" t="str">
        <f>"河南省南阳市内乡县湍东镇北符营村符营组"</f>
        <v>河南省南阳市内乡县湍东镇北符营村符营组</v>
      </c>
      <c r="H904" s="1" t="str">
        <f>"助理工程师"</f>
        <v>助理工程师</v>
      </c>
      <c r="I904" s="1" t="str">
        <f>"201809-202207 商丘学院全日制本科就读
201709-201807 内乡县高级中学复读
201409-201707 内乡县高级中学就读
201109-201407 内乡县复兴中学就读
200509-201107 北符营村中心小学就读"</f>
        <v>201809-202207 商丘学院全日制本科就读
201709-201807 内乡县高级中学复读
201409-201707 内乡县高级中学就读
201109-201407 内乡县复兴中学就读
200509-201107 北符营村中心小学就读</v>
      </c>
    </row>
    <row r="905" spans="1:9">
      <c r="A905" s="1" t="str">
        <f>"411327199911100315"</f>
        <v>411327199911100315</v>
      </c>
      <c r="B905" s="1" t="str">
        <f t="shared" ref="B905:B910" si="448">"共青团员"</f>
        <v>共青团员</v>
      </c>
      <c r="C905" s="1" t="str">
        <f t="shared" si="447"/>
        <v>本科</v>
      </c>
      <c r="D905" s="1" t="str">
        <f>"20220701"</f>
        <v>20220701</v>
      </c>
      <c r="E905" s="1" t="str">
        <f>"黄河科技学院"</f>
        <v>黄河科技学院</v>
      </c>
      <c r="F905" s="1" t="str">
        <f>"土木工程"</f>
        <v>土木工程</v>
      </c>
      <c r="G905" s="1" t="str">
        <f>"河南省南阳市内乡县城关镇状元府8号楼1801"</f>
        <v>河南省南阳市内乡县城关镇状元府8号楼1801</v>
      </c>
      <c r="H905" s="1" t="str">
        <f t="shared" ref="H905:H908" si="449">"无"</f>
        <v>无</v>
      </c>
      <c r="I905" s="1" t="str">
        <f>"201809-202207 黄河科技学院应用技术学院土木工程专业就读 是全日制学历"</f>
        <v>201809-202207 黄河科技学院应用技术学院土木工程专业就读 是全日制学历</v>
      </c>
    </row>
    <row r="906" spans="1:9">
      <c r="A906" s="1" t="str">
        <f>"371324200203175213"</f>
        <v>371324200203175213</v>
      </c>
      <c r="B906" s="1" t="str">
        <f t="shared" ref="B906:B909" si="450">"群众"</f>
        <v>群众</v>
      </c>
      <c r="C906" s="1" t="str">
        <f t="shared" si="447"/>
        <v>本科</v>
      </c>
      <c r="D906" s="1" t="str">
        <f>"20240630"</f>
        <v>20240630</v>
      </c>
      <c r="E906" s="1" t="str">
        <f>"汉口学院"</f>
        <v>汉口学院</v>
      </c>
      <c r="F906" s="1" t="str">
        <f>"音乐学"</f>
        <v>音乐学</v>
      </c>
      <c r="G906" s="1" t="str">
        <f>"山东省临沂市兰陵县卞庄街道赵官庄珠山二路大风车幼儿园"</f>
        <v>山东省临沂市兰陵县卞庄街道赵官庄珠山二路大风车幼儿园</v>
      </c>
      <c r="H906" s="1" t="str">
        <f t="shared" si="449"/>
        <v>无</v>
      </c>
      <c r="I906" s="1" t="str">
        <f>"202009-202406 汉口学院音乐学院音乐学 就读 全日制学历。
202406至今 山东省临沂市待业。"</f>
        <v>202009-202406 汉口学院音乐学院音乐学 就读 全日制学历。
202406至今 山东省临沂市待业。</v>
      </c>
    </row>
    <row r="907" spans="1:9">
      <c r="A907" s="1" t="str">
        <f>"412824199612213183"</f>
        <v>412824199612213183</v>
      </c>
      <c r="B907" s="1" t="str">
        <f t="shared" si="450"/>
        <v>群众</v>
      </c>
      <c r="C907" s="1" t="str">
        <f>"硕士研究生"</f>
        <v>硕士研究生</v>
      </c>
      <c r="D907" s="1" t="str">
        <f>"20220630"</f>
        <v>20220630</v>
      </c>
      <c r="E907" s="1" t="str">
        <f>"中共吉林省委党校"</f>
        <v>中共吉林省委党校</v>
      </c>
      <c r="F907" s="1" t="str">
        <f>"马克思主义哲学"</f>
        <v>马克思主义哲学</v>
      </c>
      <c r="G907" s="1" t="str">
        <f>"驻马店市西平县柏城镇"</f>
        <v>驻马店市西平县柏城镇</v>
      </c>
      <c r="H907" s="1" t="str">
        <f t="shared" si="449"/>
        <v>无</v>
      </c>
      <c r="I907" s="1" t="str">
        <f>"201409-201806 洛阳师范学院新闻学专业就读 全日制学历
201909-202206 中共吉林省委党校马克思主义哲学专业就读 全日制学历
202206-202410 驻马店市待业
202410至今漯河市就业"</f>
        <v>201409-201806 洛阳师范学院新闻学专业就读 全日制学历
201909-202206 中共吉林省委党校马克思主义哲学专业就读 全日制学历
202206-202410 驻马店市待业
202410至今漯河市就业</v>
      </c>
    </row>
    <row r="908" spans="1:9">
      <c r="A908" s="1" t="str">
        <f>"411327200004303528"</f>
        <v>411327200004303528</v>
      </c>
      <c r="B908" s="1" t="str">
        <f t="shared" si="448"/>
        <v>共青团员</v>
      </c>
      <c r="C908" s="1" t="str">
        <f t="shared" ref="C908:C910" si="451">"本科"</f>
        <v>本科</v>
      </c>
      <c r="D908" s="1" t="str">
        <f t="shared" ref="D908:D912" si="452">"20230701"</f>
        <v>20230701</v>
      </c>
      <c r="E908" s="1" t="str">
        <f>"许昌学院"</f>
        <v>许昌学院</v>
      </c>
      <c r="F908" s="1" t="str">
        <f>"思想政治教育"</f>
        <v>思想政治教育</v>
      </c>
      <c r="G908" s="1" t="str">
        <f>"河南省南阳市内乡县板场乡"</f>
        <v>河南省南阳市内乡县板场乡</v>
      </c>
      <c r="H908" s="1" t="str">
        <f t="shared" si="449"/>
        <v>无</v>
      </c>
      <c r="I908" s="1" t="str">
        <f>"201909-202307就读于许昌学院思想政治教育专业，是全日制学历
202308-202506任职于许昌陶瓷职业学院"</f>
        <v>201909-202307就读于许昌学院思想政治教育专业，是全日制学历
202308-202506任职于许昌陶瓷职业学院</v>
      </c>
    </row>
    <row r="909" spans="1:9">
      <c r="A909" s="1" t="str">
        <f>"411330199806030026"</f>
        <v>411330199806030026</v>
      </c>
      <c r="B909" s="1" t="str">
        <f t="shared" si="450"/>
        <v>群众</v>
      </c>
      <c r="C909" s="1" t="str">
        <f t="shared" si="451"/>
        <v>本科</v>
      </c>
      <c r="D909" s="1" t="str">
        <f>"2021.07"</f>
        <v>2021.07</v>
      </c>
      <c r="E909" s="1" t="str">
        <f>"安阳工学院"</f>
        <v>安阳工学院</v>
      </c>
      <c r="F909" s="1" t="str">
        <f>"工商管理"</f>
        <v>工商管理</v>
      </c>
      <c r="G909" s="1" t="str">
        <f>"河南省南阳市西峡县白羽北路幸福佳苑西区"</f>
        <v>河南省南阳市西峡县白羽北路幸福佳苑西区</v>
      </c>
      <c r="H909" s="1" t="str">
        <f>"初级会计证"</f>
        <v>初级会计证</v>
      </c>
      <c r="I909" s="1" t="str">
        <f>"201609-201907  河南经贸职业学院会计学院会计电算化就读  全日制
201909-202107  安阳工学院财管学院工商管理专业就读  全日制
202107-202507  西峡县众德汽车部件有限公司"</f>
        <v>201609-201907  河南经贸职业学院会计学院会计电算化就读  全日制
201909-202107  安阳工学院财管学院工商管理专业就读  全日制
202107-202507  西峡县众德汽车部件有限公司</v>
      </c>
    </row>
    <row r="910" spans="1:9">
      <c r="A910" s="1" t="str">
        <f>"411327200207243916"</f>
        <v>411327200207243916</v>
      </c>
      <c r="B910" s="1" t="str">
        <f t="shared" si="448"/>
        <v>共青团员</v>
      </c>
      <c r="C910" s="1" t="str">
        <f t="shared" si="451"/>
        <v>本科</v>
      </c>
      <c r="D910" s="1" t="str">
        <f>"20250701"</f>
        <v>20250701</v>
      </c>
      <c r="E910" s="1" t="str">
        <f>"郑州财经学院"</f>
        <v>郑州财经学院</v>
      </c>
      <c r="F910" s="1" t="str">
        <f>"物流管理"</f>
        <v>物流管理</v>
      </c>
      <c r="G910" s="1" t="str">
        <f>"河南省南阳市内乡县乍曲乡清泉村"</f>
        <v>河南省南阳市内乡县乍曲乡清泉村</v>
      </c>
      <c r="H910" s="1" t="str">
        <f t="shared" ref="H910:H912" si="453">"无"</f>
        <v>无</v>
      </c>
      <c r="I910" s="1" t="str">
        <f>"202109-202507 郑州财经学院 管理学院物流管理专业就读 全日制本科学历"</f>
        <v>202109-202507 郑州财经学院 管理学院物流管理专业就读 全日制本科学历</v>
      </c>
    </row>
    <row r="911" spans="1:9">
      <c r="A911" s="1" t="str">
        <f>"411327199701012077"</f>
        <v>411327199701012077</v>
      </c>
      <c r="B911" s="1" t="str">
        <f t="shared" ref="B911:B917" si="454">"群众"</f>
        <v>群众</v>
      </c>
      <c r="C911" s="1" t="str">
        <f t="shared" ref="C911:C914" si="455">"专科"</f>
        <v>专科</v>
      </c>
      <c r="D911" s="1" t="str">
        <f t="shared" si="452"/>
        <v>20230701</v>
      </c>
      <c r="E911" s="1" t="str">
        <f>"郑州工业应用技术学院"</f>
        <v>郑州工业应用技术学院</v>
      </c>
      <c r="F911" s="1" t="str">
        <f>"计算机应用技术"</f>
        <v>计算机应用技术</v>
      </c>
      <c r="G911" s="1" t="str">
        <f>"内乡县湍东镇菊韵花苑"</f>
        <v>内乡县湍东镇菊韵花苑</v>
      </c>
      <c r="H911" s="1" t="str">
        <f t="shared" si="453"/>
        <v>无</v>
      </c>
      <c r="I911" s="1" t="str">
        <f>"202103-202307在郑州工业应用技术学院就读，成人大专。201810-202507在内乡县公安局从事辅警工作"</f>
        <v>202103-202307在郑州工业应用技术学院就读，成人大专。201810-202507在内乡县公安局从事辅警工作</v>
      </c>
    </row>
    <row r="912" spans="1:9">
      <c r="A912" s="1" t="str">
        <f>"41132720000725002X"</f>
        <v>41132720000725002X</v>
      </c>
      <c r="B912" s="1" t="str">
        <f>"中共党员"</f>
        <v>中共党员</v>
      </c>
      <c r="C912" s="1" t="str">
        <f t="shared" ref="C912:C921" si="456">"本科"</f>
        <v>本科</v>
      </c>
      <c r="D912" s="1" t="str">
        <f t="shared" si="452"/>
        <v>20230701</v>
      </c>
      <c r="E912" s="1" t="str">
        <f>"洛阳理工学院"</f>
        <v>洛阳理工学院</v>
      </c>
      <c r="F912" s="1" t="str">
        <f>"市场营销"</f>
        <v>市场营销</v>
      </c>
      <c r="G912" s="1" t="str">
        <f>"河南省南阳市内乡县城关镇郦都花园小区"</f>
        <v>河南省南阳市内乡县城关镇郦都花园小区</v>
      </c>
      <c r="H912" s="1" t="str">
        <f t="shared" si="453"/>
        <v>无</v>
      </c>
      <c r="I912" s="1" t="str">
        <f>"201909-202307 洛阳理工学院经济与管理学院市场营销专业就读
202307-至今 在河南省南阳市内乡县待业"</f>
        <v>201909-202307 洛阳理工学院经济与管理学院市场营销专业就读
202307-至今 在河南省南阳市内乡县待业</v>
      </c>
    </row>
    <row r="913" ht="108" spans="1:9">
      <c r="A913" s="1" t="str">
        <f>"411327200102220048"</f>
        <v>411327200102220048</v>
      </c>
      <c r="B913" s="1" t="str">
        <f t="shared" ref="B913:B918" si="457">"共青团员"</f>
        <v>共青团员</v>
      </c>
      <c r="C913" s="1" t="str">
        <f t="shared" si="455"/>
        <v>专科</v>
      </c>
      <c r="D913" s="1" t="str">
        <f>"20220607"</f>
        <v>20220607</v>
      </c>
      <c r="E913" s="1" t="str">
        <f>"河南推拿职业技术学院"</f>
        <v>河南推拿职业技术学院</v>
      </c>
      <c r="F913" s="1" t="str">
        <f>"康复治疗技术"</f>
        <v>康复治疗技术</v>
      </c>
      <c r="G913" s="1" t="str">
        <f>"南阳人民路"</f>
        <v>南阳人民路</v>
      </c>
      <c r="H913" s="1" t="str">
        <f>"康复治疗师（士）"</f>
        <v>康复治疗师（士）</v>
      </c>
      <c r="I913" s="3" t="s">
        <v>215</v>
      </c>
    </row>
    <row r="914" spans="1:9">
      <c r="A914" s="1" t="str">
        <f>"41128219981227452X"</f>
        <v>41128219981227452X</v>
      </c>
      <c r="B914" s="1" t="str">
        <f t="shared" si="454"/>
        <v>群众</v>
      </c>
      <c r="C914" s="1" t="str">
        <f t="shared" si="455"/>
        <v>专科</v>
      </c>
      <c r="D914" s="1" t="str">
        <f>"20220104"</f>
        <v>20220104</v>
      </c>
      <c r="E914" s="1" t="str">
        <f>"北京语言大学"</f>
        <v>北京语言大学</v>
      </c>
      <c r="F914" s="1" t="str">
        <f t="shared" ref="F914:F918" si="458">"汉语言文学"</f>
        <v>汉语言文学</v>
      </c>
      <c r="G914" s="1" t="str">
        <f>"河南省南阳市内乡县公安局"</f>
        <v>河南省南阳市内乡县公安局</v>
      </c>
      <c r="H914" s="1" t="str">
        <f t="shared" ref="H914:H919" si="459">"无"</f>
        <v>无</v>
      </c>
      <c r="I914" s="1" t="str">
        <f>"2013年9月-2016年6月  南阳市宛西中专
2017年9月至今内乡县公安局
2019年3月-2022年1月 北京语言大学（大专）"</f>
        <v>2013年9月-2016年6月  南阳市宛西中专
2017年9月至今内乡县公安局
2019年3月-2022年1月 北京语言大学（大专）</v>
      </c>
    </row>
    <row r="915" spans="1:9">
      <c r="A915" s="1" t="str">
        <f>"411327199901240031"</f>
        <v>411327199901240031</v>
      </c>
      <c r="B915" s="1" t="str">
        <f t="shared" si="457"/>
        <v>共青团员</v>
      </c>
      <c r="C915" s="1" t="str">
        <f t="shared" si="456"/>
        <v>本科</v>
      </c>
      <c r="D915" s="1" t="str">
        <f>"20250731"</f>
        <v>20250731</v>
      </c>
      <c r="E915" s="1" t="str">
        <f>"国家开放大学"</f>
        <v>国家开放大学</v>
      </c>
      <c r="F915" s="1" t="str">
        <f>"行政管理"</f>
        <v>行政管理</v>
      </c>
      <c r="G915" s="1" t="str">
        <f>"河南省内乡县城关镇新民路书院北组"</f>
        <v>河南省内乡县城关镇新民路书院北组</v>
      </c>
      <c r="H915" s="1" t="str">
        <f t="shared" si="459"/>
        <v>无</v>
      </c>
      <c r="I915" s="1" t="str">
        <f>"200409-201006  就读于内乡县城关镇第一小学；
201009-201306  就读于内乡县初级中学；
201309-201606  就读于内乡县实验高中；
201609-201809  参军入伍；
201811-202004  就职于河南久联神威民爆器材有限公司；
202004-202208  就职于镇平县神威爆破工程有限公司；
202211月至今  就职于南阳市菊苑建设工程有限公司。"</f>
        <v>200409-201006  就读于内乡县城关镇第一小学；
201009-201306  就读于内乡县初级中学；
201309-201606  就读于内乡县实验高中；
201609-201809  参军入伍；
201811-202004  就职于河南久联神威民爆器材有限公司；
202004-202208  就职于镇平县神威爆破工程有限公司；
202211月至今  就职于南阳市菊苑建设工程有限公司。</v>
      </c>
    </row>
    <row r="916" spans="1:9">
      <c r="A916" s="1" t="str">
        <f>"411303200207220174"</f>
        <v>411303200207220174</v>
      </c>
      <c r="B916" s="1" t="str">
        <f t="shared" si="454"/>
        <v>群众</v>
      </c>
      <c r="C916" s="1" t="str">
        <f t="shared" si="456"/>
        <v>本科</v>
      </c>
      <c r="D916" s="1" t="str">
        <f>"20250607"</f>
        <v>20250607</v>
      </c>
      <c r="E916" s="1" t="str">
        <f>"安阳师范学院"</f>
        <v>安阳师范学院</v>
      </c>
      <c r="F916" s="1" t="str">
        <f>"环境设计"</f>
        <v>环境设计</v>
      </c>
      <c r="G916" s="1" t="str">
        <f>"河南省南阳市卧龙区十二里河"</f>
        <v>河南省南阳市卧龙区十二里河</v>
      </c>
      <c r="H916" s="1" t="str">
        <f t="shared" si="459"/>
        <v>无</v>
      </c>
      <c r="I916" s="1" t="str">
        <f>"202109-202306 河南省建筑职业技术学院 就读
202309-202506 安阳师范学院"</f>
        <v>202109-202306 河南省建筑职业技术学院 就读
202309-202506 安阳师范学院</v>
      </c>
    </row>
    <row r="917" spans="1:9">
      <c r="A917" s="1" t="str">
        <f>"411327200203030024"</f>
        <v>411327200203030024</v>
      </c>
      <c r="B917" s="1" t="str">
        <f t="shared" si="454"/>
        <v>群众</v>
      </c>
      <c r="C917" s="1" t="str">
        <f t="shared" si="456"/>
        <v>本科</v>
      </c>
      <c r="D917" s="1" t="str">
        <f>"20240605"</f>
        <v>20240605</v>
      </c>
      <c r="E917" s="1" t="str">
        <f>"安阳学院"</f>
        <v>安阳学院</v>
      </c>
      <c r="F917" s="1" t="str">
        <f t="shared" si="458"/>
        <v>汉语言文学</v>
      </c>
      <c r="G917" s="1" t="str">
        <f>"河南省南阳市内乡县新民路12巷"</f>
        <v>河南省南阳市内乡县新民路12巷</v>
      </c>
      <c r="H917" s="1" t="str">
        <f t="shared" si="459"/>
        <v>无</v>
      </c>
      <c r="I917" s="1" t="str">
        <f>"202009-202406 在安阳学院文法学院汉语言文学专业就读，全日制本科学历。202407-202410内乡郦都学校初中部语文教师。202411-至今 待业"</f>
        <v>202009-202406 在安阳学院文法学院汉语言文学专业就读，全日制本科学历。202407-202410内乡郦都学校初中部语文教师。202411-至今 待业</v>
      </c>
    </row>
    <row r="918" spans="1:9">
      <c r="A918" s="1" t="str">
        <f>"411324199909135827"</f>
        <v>411324199909135827</v>
      </c>
      <c r="B918" s="1" t="str">
        <f t="shared" si="457"/>
        <v>共青团员</v>
      </c>
      <c r="C918" s="1" t="str">
        <f t="shared" si="456"/>
        <v>本科</v>
      </c>
      <c r="D918" s="1" t="str">
        <f>"20230620"</f>
        <v>20230620</v>
      </c>
      <c r="E918" s="1" t="str">
        <f>"长春师范大学"</f>
        <v>长春师范大学</v>
      </c>
      <c r="F918" s="1" t="str">
        <f t="shared" si="458"/>
        <v>汉语言文学</v>
      </c>
      <c r="G918" s="1" t="str">
        <f>"河南省南阳市镇平县柳泉铺乡大湖村袁庄"</f>
        <v>河南省南阳市镇平县柳泉铺乡大湖村袁庄</v>
      </c>
      <c r="H918" s="1" t="str">
        <f t="shared" si="459"/>
        <v>无</v>
      </c>
      <c r="I918" s="1" t="str">
        <f>"201809-202106 长春师范大学学校 化学学院 商检技术就读 全日制专科
202109-202306长春师范大学学校 文学院 汉语言文学就读 全日制本科"</f>
        <v>201809-202106 长春师范大学学校 化学学院 商检技术就读 全日制专科
202109-202306长春师范大学学校 文学院 汉语言文学就读 全日制本科</v>
      </c>
    </row>
    <row r="919" spans="1:9">
      <c r="A919" s="1" t="str">
        <f>"411326199705284823"</f>
        <v>411326199705284823</v>
      </c>
      <c r="B919" s="1" t="str">
        <f t="shared" ref="B919:B924" si="460">"群众"</f>
        <v>群众</v>
      </c>
      <c r="C919" s="1" t="str">
        <f t="shared" si="456"/>
        <v>本科</v>
      </c>
      <c r="D919" s="1" t="str">
        <f>"20210701"</f>
        <v>20210701</v>
      </c>
      <c r="E919" s="1" t="str">
        <f>"信阳农林学院"</f>
        <v>信阳农林学院</v>
      </c>
      <c r="F919" s="1" t="str">
        <f>"食品科学与工程"</f>
        <v>食品科学与工程</v>
      </c>
      <c r="G919" s="1" t="str">
        <f>"河南省南阳市南召县人民南路福润小区"</f>
        <v>河南省南阳市南召县人民南路福润小区</v>
      </c>
      <c r="H919" s="1" t="str">
        <f t="shared" si="459"/>
        <v>无</v>
      </c>
      <c r="I919" s="1" t="str">
        <f>"201609-201906 平顶山工业职业技术学院 专科 管理学院就读营养配餐专业  是全日制学历；
201909-202107 信阳农林学院 本科 食品学院就读食品科学与工程专业  是全日制学历；
202108-202112 杭州云谷食品有限公司 食品技术员；
202112-202211 在家待业；
202211-至今 南召县审计局 公益岗人员；"</f>
        <v>201609-201906 平顶山工业职业技术学院 专科 管理学院就读营养配餐专业  是全日制学历；
201909-202107 信阳农林学院 本科 食品学院就读食品科学与工程专业  是全日制学历；
202108-202112 杭州云谷食品有限公司 食品技术员；
202112-202211 在家待业；
202211-至今 南召县审计局 公益岗人员；</v>
      </c>
    </row>
    <row r="920" spans="1:9">
      <c r="A920" s="1" t="str">
        <f>"410423200001016928"</f>
        <v>410423200001016928</v>
      </c>
      <c r="B920" s="1" t="str">
        <f t="shared" ref="B920:B923" si="461">"共青团员"</f>
        <v>共青团员</v>
      </c>
      <c r="C920" s="1" t="str">
        <f t="shared" si="456"/>
        <v>本科</v>
      </c>
      <c r="D920" s="1" t="str">
        <f>"20230701"</f>
        <v>20230701</v>
      </c>
      <c r="E920" s="1" t="str">
        <f>"信阳学院"</f>
        <v>信阳学院</v>
      </c>
      <c r="F920" s="1" t="str">
        <f>"小学教育"</f>
        <v>小学教育</v>
      </c>
      <c r="G920" s="1" t="str">
        <f>"河南省平顶山市鲁山县观音寺乡"</f>
        <v>河南省平顶山市鲁山县观音寺乡</v>
      </c>
      <c r="H920" s="1" t="str">
        <f>"初级语文教师资格证"</f>
        <v>初级语文教师资格证</v>
      </c>
      <c r="I920" s="1" t="str">
        <f>"20190901-20230701信阳学院教育学院小学教育专业就读，是全日制学历"</f>
        <v>20190901-20230701信阳学院教育学院小学教育专业就读，是全日制学历</v>
      </c>
    </row>
    <row r="921" spans="1:9">
      <c r="A921" s="1" t="str">
        <f>"411325200102030022"</f>
        <v>411325200102030022</v>
      </c>
      <c r="B921" s="1" t="str">
        <f t="shared" si="461"/>
        <v>共青团员</v>
      </c>
      <c r="C921" s="1" t="str">
        <f t="shared" si="456"/>
        <v>本科</v>
      </c>
      <c r="D921" s="1" t="str">
        <f>"2023-07-01"</f>
        <v>2023-07-01</v>
      </c>
      <c r="E921" s="1" t="str">
        <f>"洛阳师范学院"</f>
        <v>洛阳师范学院</v>
      </c>
      <c r="F921" s="1" t="str">
        <f>"学前教育专业"</f>
        <v>学前教育专业</v>
      </c>
      <c r="G921" s="1" t="str">
        <f>"河南省南阳市内乡县城关镇渚阳大街274号"</f>
        <v>河南省南阳市内乡县城关镇渚阳大街274号</v>
      </c>
      <c r="H921" s="1" t="str">
        <f t="shared" ref="H921:H933" si="462">"无"</f>
        <v>无</v>
      </c>
      <c r="I921" s="1" t="str">
        <f>"201909-202307，洛阳师范学院学前教育学院学前教育专业就读，全日制学历；
202307-202407，在家待业；
202407至今，内乡县公安局看护大队就职"</f>
        <v>201909-202307，洛阳师范学院学前教育学院学前教育专业就读，全日制学历；
202307-202407，在家待业；
202407至今，内乡县公安局看护大队就职</v>
      </c>
    </row>
    <row r="922" spans="1:9">
      <c r="A922" s="1" t="str">
        <f>"411327199411053911"</f>
        <v>411327199411053911</v>
      </c>
      <c r="B922" s="1" t="str">
        <f t="shared" si="460"/>
        <v>群众</v>
      </c>
      <c r="C922" s="1" t="str">
        <f>"专科"</f>
        <v>专科</v>
      </c>
      <c r="D922" s="1" t="str">
        <f>"20170701"</f>
        <v>20170701</v>
      </c>
      <c r="E922" s="1" t="str">
        <f>"郑州工程技术学院"</f>
        <v>郑州工程技术学院</v>
      </c>
      <c r="F922" s="1" t="str">
        <f>"电子商务"</f>
        <v>电子商务</v>
      </c>
      <c r="G922" s="1" t="str">
        <f>"内乡县梨园山庄"</f>
        <v>内乡县梨园山庄</v>
      </c>
      <c r="H922" s="1" t="str">
        <f t="shared" si="462"/>
        <v>无</v>
      </c>
      <c r="I922" s="1" t="str">
        <f>"201409-201707郑州工程技术学院  学生
201709----待业"</f>
        <v>201409-201707郑州工程技术学院  学生
201709----待业</v>
      </c>
    </row>
    <row r="923" spans="1:9">
      <c r="A923" s="1" t="str">
        <f>"412727200008102056"</f>
        <v>412727200008102056</v>
      </c>
      <c r="B923" s="1" t="str">
        <f t="shared" si="461"/>
        <v>共青团员</v>
      </c>
      <c r="C923" s="1" t="str">
        <f t="shared" ref="C923:C927" si="463">"本科"</f>
        <v>本科</v>
      </c>
      <c r="D923" s="1" t="str">
        <f>"20230701"</f>
        <v>20230701</v>
      </c>
      <c r="E923" s="1" t="str">
        <f>"洛阳理工学院"</f>
        <v>洛阳理工学院</v>
      </c>
      <c r="F923" s="1" t="str">
        <f>"酒店管理"</f>
        <v>酒店管理</v>
      </c>
      <c r="G923" s="1" t="str">
        <f>"河南省周口市淮阳区黄集乡"</f>
        <v>河南省周口市淮阳区黄集乡</v>
      </c>
      <c r="H923" s="1" t="str">
        <f t="shared" si="462"/>
        <v>无</v>
      </c>
      <c r="I923" s="1" t="str">
        <f>"20190901-20230701洛阳理工学院 经济与管理学院酒店管理专业就读，全日制
20230828-20250730 周口交通技师学院 合同工 工作"</f>
        <v>20190901-20230701洛阳理工学院 经济与管理学院酒店管理专业就读，全日制
20230828-20250730 周口交通技师学院 合同工 工作</v>
      </c>
    </row>
    <row r="924" spans="1:9">
      <c r="A924" s="1" t="str">
        <f>"41133019971017202X"</f>
        <v>41133019971017202X</v>
      </c>
      <c r="B924" s="1" t="str">
        <f t="shared" si="460"/>
        <v>群众</v>
      </c>
      <c r="C924" s="1" t="str">
        <f t="shared" si="463"/>
        <v>本科</v>
      </c>
      <c r="D924" s="1" t="str">
        <f>"20210701"</f>
        <v>20210701</v>
      </c>
      <c r="E924" s="1" t="str">
        <f>"安阳学院"</f>
        <v>安阳学院</v>
      </c>
      <c r="F924" s="1" t="str">
        <f>"旅游管理"</f>
        <v>旅游管理</v>
      </c>
      <c r="G924" s="1" t="str">
        <f>"河南省南阳市西峡县五里桥镇葛营村"</f>
        <v>河南省南阳市西峡县五里桥镇葛营村</v>
      </c>
      <c r="H924" s="1" t="str">
        <f t="shared" si="462"/>
        <v>无</v>
      </c>
      <c r="I924" s="1" t="str">
        <f>"20160901-20190701在河南农业职业学院食品科学与工程学院烹调工艺与营养专业就读全日制
20190901-20210701在安阳学院经济与管理学院读旅游管理专业全日制
20210701-20211201在南阳新东方烹饪学校工作
20211201-20230801待业
20230801至今在西峡恒庭劳务派遣公司工作
"</f>
        <v>20160901-20190701在河南农业职业学院食品科学与工程学院烹调工艺与营养专业就读全日制
20190901-20210701在安阳学院经济与管理学院读旅游管理专业全日制
20210701-20211201在南阳新东方烹饪学校工作
20211201-20230801待业
20230801至今在西峡恒庭劳务派遣公司工作
</v>
      </c>
    </row>
    <row r="925" spans="1:9">
      <c r="A925" s="1" t="str">
        <f>"410324199811060045"</f>
        <v>410324199811060045</v>
      </c>
      <c r="B925" s="1" t="str">
        <f t="shared" ref="B925:B930" si="464">"共青团员"</f>
        <v>共青团员</v>
      </c>
      <c r="C925" s="1" t="str">
        <f t="shared" si="463"/>
        <v>本科</v>
      </c>
      <c r="D925" s="1" t="str">
        <f>"20210701"</f>
        <v>20210701</v>
      </c>
      <c r="E925" s="1" t="str">
        <f>"郑州升达经贸管理学院"</f>
        <v>郑州升达经贸管理学院</v>
      </c>
      <c r="F925" s="1" t="str">
        <f>"金融学"</f>
        <v>金融学</v>
      </c>
      <c r="G925" s="1" t="str">
        <f>"河南省洛阳市栾川县城关镇山城半山小区"</f>
        <v>河南省洛阳市栾川县城关镇山城半山小区</v>
      </c>
      <c r="H925" s="1" t="str">
        <f t="shared" si="462"/>
        <v>无</v>
      </c>
      <c r="I925" s="1" t="str">
        <f>"201709——202107 郑州升达经贸管理学院 金融贸易学院 金融学专业 就读
202107——202508 待业"</f>
        <v>201709——202107 郑州升达经贸管理学院 金融贸易学院 金融学专业 就读
202107——202508 待业</v>
      </c>
    </row>
    <row r="926" spans="1:9">
      <c r="A926" s="1" t="str">
        <f>"410927200204051048"</f>
        <v>410927200204051048</v>
      </c>
      <c r="B926" s="1" t="str">
        <f t="shared" ref="B926:B929" si="465">"中共党员"</f>
        <v>中共党员</v>
      </c>
      <c r="C926" s="1" t="str">
        <f t="shared" si="463"/>
        <v>本科</v>
      </c>
      <c r="D926" s="1" t="str">
        <f>"20250701"</f>
        <v>20250701</v>
      </c>
      <c r="E926" s="1" t="str">
        <f>"珠海科技学院"</f>
        <v>珠海科技学院</v>
      </c>
      <c r="F926" s="1" t="str">
        <f>"视觉传达设计"</f>
        <v>视觉传达设计</v>
      </c>
      <c r="G926" s="1" t="str">
        <f>"河南省濮阳市台前县盛凯城市之光"</f>
        <v>河南省濮阳市台前县盛凯城市之光</v>
      </c>
      <c r="H926" s="1" t="str">
        <f t="shared" si="462"/>
        <v>无</v>
      </c>
      <c r="I926" s="1" t="str">
        <f>"202109-202507珠海科技学院美术与设计学院视觉传达设计专业就读，是全日制学历。"</f>
        <v>202109-202507珠海科技学院美术与设计学院视觉传达设计专业就读，是全日制学历。</v>
      </c>
    </row>
    <row r="927" spans="1:9">
      <c r="A927" s="1" t="str">
        <f>"41132720000412452X"</f>
        <v>41132720000412452X</v>
      </c>
      <c r="B927" s="1" t="str">
        <f t="shared" si="464"/>
        <v>共青团员</v>
      </c>
      <c r="C927" s="1" t="str">
        <f t="shared" si="463"/>
        <v>本科</v>
      </c>
      <c r="D927" s="1" t="str">
        <f>"20220630"</f>
        <v>20220630</v>
      </c>
      <c r="E927" s="1" t="str">
        <f>"南京特殊教育师范学院"</f>
        <v>南京特殊教育师范学院</v>
      </c>
      <c r="F927" s="1" t="str">
        <f>"数学与应用数学"</f>
        <v>数学与应用数学</v>
      </c>
      <c r="G927" s="1" t="str">
        <f>"内乡县酸枣园"</f>
        <v>内乡县酸枣园</v>
      </c>
      <c r="H927" s="1" t="str">
        <f t="shared" si="462"/>
        <v>无</v>
      </c>
      <c r="I927" s="1" t="str">
        <f>"201809-202206 就读于南京特殊教育师范学院 数学与信息科学学院 数学与应用数学专业，全日制学历"</f>
        <v>201809-202206 就读于南京特殊教育师范学院 数学与信息科学学院 数学与应用数学专业，全日制学历</v>
      </c>
    </row>
    <row r="928" spans="1:9">
      <c r="A928" s="1" t="str">
        <f>"411327199207310028"</f>
        <v>411327199207310028</v>
      </c>
      <c r="B928" s="1" t="str">
        <f t="shared" si="465"/>
        <v>中共党员</v>
      </c>
      <c r="C928" s="1" t="str">
        <f>"专科"</f>
        <v>专科</v>
      </c>
      <c r="D928" s="1" t="str">
        <f>"20120701"</f>
        <v>20120701</v>
      </c>
      <c r="E928" s="1" t="str">
        <f>"华北水利水电学院"</f>
        <v>华北水利水电学院</v>
      </c>
      <c r="F928" s="1" t="str">
        <f>"计算机应用技术"</f>
        <v>计算机应用技术</v>
      </c>
      <c r="G928" s="1" t="str">
        <f>"河南省南阳市内乡县湍东镇唐城小区一号楼"</f>
        <v>河南省南阳市内乡县湍东镇唐城小区一号楼</v>
      </c>
      <c r="H928" s="1" t="str">
        <f t="shared" si="462"/>
        <v>无</v>
      </c>
      <c r="I928" s="1" t="str">
        <f>"200909-201207 华北水利水电学院水利职业学院计算机应用技术专业就读，全日制学历。20120630取得中国人民解放军信息工程大学信息技术应用与管理专业本科毕业证书；
201208-201412在郑州英之杰教育公司
201501-201507东福印务工程部
201508-201810内乡县企业养老保险管理局征缴科工作；
201811-201903在家待业
201904至今 内乡县公安局辅警
"</f>
        <v>200909-201207 华北水利水电学院水利职业学院计算机应用技术专业就读，全日制学历。20120630取得中国人民解放军信息工程大学信息技术应用与管理专业本科毕业证书；
201208-201412在郑州英之杰教育公司
201501-201507东福印务工程部
201508-201810内乡县企业养老保险管理局征缴科工作；
201811-201903在家待业
201904至今 内乡县公安局辅警
</v>
      </c>
    </row>
    <row r="929" spans="1:9">
      <c r="A929" s="1" t="str">
        <f>"411327200007090329"</f>
        <v>411327200007090329</v>
      </c>
      <c r="B929" s="1" t="str">
        <f t="shared" si="465"/>
        <v>中共党员</v>
      </c>
      <c r="C929" s="1" t="str">
        <f t="shared" ref="C929:C941" si="466">"本科"</f>
        <v>本科</v>
      </c>
      <c r="D929" s="1" t="str">
        <f>"20220614"</f>
        <v>20220614</v>
      </c>
      <c r="E929" s="1" t="str">
        <f>"福建工程学院"</f>
        <v>福建工程学院</v>
      </c>
      <c r="F929" s="1" t="str">
        <f>"国际经济与贸易"</f>
        <v>国际经济与贸易</v>
      </c>
      <c r="G929" s="1" t="str">
        <f>"河南省内乡县大桥乡灵山村小邹营路西157号"</f>
        <v>河南省内乡县大桥乡灵山村小邹营路西157号</v>
      </c>
      <c r="H929" s="1" t="str">
        <f t="shared" si="462"/>
        <v>无</v>
      </c>
      <c r="I929" s="1" t="str">
        <f>"201809-202206 福建工程学院 互联网经贸学院 国际经济与贸易专业就读
202207-202501 南阳纽拓商贸有限公司 电商运营 工作
202502-202507 河南省内乡县大桥乡灵山村待业"</f>
        <v>201809-202206 福建工程学院 互联网经贸学院 国际经济与贸易专业就读
202207-202501 南阳纽拓商贸有限公司 电商运营 工作
202502-202507 河南省内乡县大桥乡灵山村待业</v>
      </c>
    </row>
    <row r="930" spans="1:9">
      <c r="A930" s="1" t="str">
        <f>"411327199909090023"</f>
        <v>411327199909090023</v>
      </c>
      <c r="B930" s="1" t="str">
        <f t="shared" si="464"/>
        <v>共青团员</v>
      </c>
      <c r="C930" s="1" t="str">
        <f>"专科"</f>
        <v>专科</v>
      </c>
      <c r="D930" s="1" t="str">
        <f>"20190701"</f>
        <v>20190701</v>
      </c>
      <c r="E930" s="1" t="str">
        <f>"开封文化艺术职业学院"</f>
        <v>开封文化艺术职业学院</v>
      </c>
      <c r="F930" s="1" t="str">
        <f>"艺术设计"</f>
        <v>艺术设计</v>
      </c>
      <c r="G930" s="1" t="str">
        <f>"河南省南阳市内乡县渚阳大街与新民路交叉口"</f>
        <v>河南省南阳市内乡县渚阳大街与新民路交叉口</v>
      </c>
      <c r="H930" s="1" t="str">
        <f t="shared" si="462"/>
        <v>无</v>
      </c>
      <c r="I930" s="1" t="str">
        <f>"2013.09-2015.07：河南省南阳市内乡县实验初中就读
2015.09-2017.07：河南省南阳市内乡县第一高级中学就读
2017.09-2019.07：河南省开封市开封文化艺术职业学院（开封教育学院）艺术设计专业就读
2020:学习并取得教师资格证 并专升本考上洛阳师范学院就读
2021.03-2023.07:洛阳师范学院 （非全日制）
2023.07—2025.07期间在菊谭学校任职"</f>
        <v>2013.09-2015.07：河南省南阳市内乡县实验初中就读
2015.09-2017.07：河南省南阳市内乡县第一高级中学就读
2017.09-2019.07：河南省开封市开封文化艺术职业学院（开封教育学院）艺术设计专业就读
2020:学习并取得教师资格证 并专升本考上洛阳师范学院就读
2021.03-2023.07:洛阳师范学院 （非全日制）
2023.07—2025.07期间在菊谭学校任职</v>
      </c>
    </row>
    <row r="931" spans="1:9">
      <c r="A931" s="1" t="str">
        <f>"411303200307080017"</f>
        <v>411303200307080017</v>
      </c>
      <c r="B931" s="1" t="str">
        <f t="shared" ref="B931:B934" si="467">"群众"</f>
        <v>群众</v>
      </c>
      <c r="C931" s="1" t="str">
        <f t="shared" si="466"/>
        <v>本科</v>
      </c>
      <c r="D931" s="1" t="str">
        <f>"20250701"</f>
        <v>20250701</v>
      </c>
      <c r="E931" s="1" t="str">
        <f>"西藏民族大学"</f>
        <v>西藏民族大学</v>
      </c>
      <c r="F931" s="1" t="str">
        <f>"数学与应用数学"</f>
        <v>数学与应用数学</v>
      </c>
      <c r="G931" s="1" t="str">
        <f>"河南南阳卧龙区光武路常绿林溪谷9号楼1703"</f>
        <v>河南南阳卧龙区光武路常绿林溪谷9号楼1703</v>
      </c>
      <c r="H931" s="1" t="str">
        <f t="shared" si="462"/>
        <v>无</v>
      </c>
      <c r="I931" s="1" t="str">
        <f>"202109-202507 西藏民族大学教育学院数学与应用数学就读 全日制本科"</f>
        <v>202109-202507 西藏民族大学教育学院数学与应用数学就读 全日制本科</v>
      </c>
    </row>
    <row r="932" spans="1:9">
      <c r="A932" s="1" t="str">
        <f>"411327200001254230"</f>
        <v>411327200001254230</v>
      </c>
      <c r="B932" s="1" t="str">
        <f>"中共党员"</f>
        <v>中共党员</v>
      </c>
      <c r="C932" s="1" t="str">
        <f t="shared" si="466"/>
        <v>本科</v>
      </c>
      <c r="D932" s="1" t="str">
        <f>"20220701"</f>
        <v>20220701</v>
      </c>
      <c r="E932" s="1" t="str">
        <f>"河南财政金融学院"</f>
        <v>河南财政金融学院</v>
      </c>
      <c r="F932" s="1" t="str">
        <f>"社会工作"</f>
        <v>社会工作</v>
      </c>
      <c r="G932" s="1" t="str">
        <f>"河南省南阳市内乡县"</f>
        <v>河南省南阳市内乡县</v>
      </c>
      <c r="H932" s="1" t="str">
        <f t="shared" si="462"/>
        <v>无</v>
      </c>
      <c r="I932" s="1" t="str">
        <f>"201809-202207 河南财政金融学院法学院社会工作专业就读 全日制学历
2022-07-至今  自由职业，外卖员"</f>
        <v>201809-202207 河南财政金融学院法学院社会工作专业就读 全日制学历
2022-07-至今  自由职业，外卖员</v>
      </c>
    </row>
    <row r="933" spans="1:9">
      <c r="A933" s="1" t="str">
        <f>"411327199908230012"</f>
        <v>411327199908230012</v>
      </c>
      <c r="B933" s="1" t="str">
        <f t="shared" si="467"/>
        <v>群众</v>
      </c>
      <c r="C933" s="1" t="str">
        <f t="shared" si="466"/>
        <v>本科</v>
      </c>
      <c r="D933" s="1" t="str">
        <f>"20210701"</f>
        <v>20210701</v>
      </c>
      <c r="E933" s="1" t="str">
        <f>"郑州商学院"</f>
        <v>郑州商学院</v>
      </c>
      <c r="F933" s="1" t="str">
        <f>"会计学"</f>
        <v>会计学</v>
      </c>
      <c r="G933" s="1" t="str">
        <f>"河南省南阳市西峡县荣耀龙城"</f>
        <v>河南省南阳市西峡县荣耀龙城</v>
      </c>
      <c r="H933" s="1" t="str">
        <f t="shared" si="462"/>
        <v>无</v>
      </c>
      <c r="I933" s="1" t="str">
        <f>"201709-202107 郑州商学院就读
202309-至今 河南淅强建设工程集团有限公司"</f>
        <v>201709-202107 郑州商学院就读
202309-至今 河南淅强建设工程集团有限公司</v>
      </c>
    </row>
    <row r="934" spans="1:9">
      <c r="A934" s="1" t="str">
        <f>"411327200202201135"</f>
        <v>411327200202201135</v>
      </c>
      <c r="B934" s="1" t="str">
        <f t="shared" si="467"/>
        <v>群众</v>
      </c>
      <c r="C934" s="1" t="str">
        <f t="shared" si="466"/>
        <v>本科</v>
      </c>
      <c r="D934" s="1" t="str">
        <f>"20250701"</f>
        <v>20250701</v>
      </c>
      <c r="E934" s="1" t="str">
        <f>"南阳理工学院"</f>
        <v>南阳理工学院</v>
      </c>
      <c r="F934" s="1" t="str">
        <f>"财务管理"</f>
        <v>财务管理</v>
      </c>
      <c r="G934" s="1" t="str">
        <f>"河南省南阳市内乡县赤眉镇朱陈村上家组832号"</f>
        <v>河南省南阳市内乡县赤眉镇朱陈村上家组832号</v>
      </c>
      <c r="H934" s="1" t="str">
        <f>"初级会计证"</f>
        <v>初级会计证</v>
      </c>
      <c r="I934" s="1" t="str">
        <f>"20210901—-20250701在南阳理工学院范蠡商学院就读财务管理专业，是全日制学历"</f>
        <v>20210901—-20250701在南阳理工学院范蠡商学院就读财务管理专业，是全日制学历</v>
      </c>
    </row>
    <row r="935" spans="1:9">
      <c r="A935" s="1" t="str">
        <f>"411327200001154520"</f>
        <v>411327200001154520</v>
      </c>
      <c r="B935" s="1" t="str">
        <f t="shared" ref="B935:B939" si="468">"共青团员"</f>
        <v>共青团员</v>
      </c>
      <c r="C935" s="1" t="str">
        <f t="shared" si="466"/>
        <v>本科</v>
      </c>
      <c r="D935" s="1" t="str">
        <f>"20230701"</f>
        <v>20230701</v>
      </c>
      <c r="E935" s="1" t="str">
        <f>"许昌学院"</f>
        <v>许昌学院</v>
      </c>
      <c r="F935" s="1" t="str">
        <f>"小学教育"</f>
        <v>小学教育</v>
      </c>
      <c r="G935" s="1" t="str">
        <f>"河南省南阳市内乡县"</f>
        <v>河南省南阳市内乡县</v>
      </c>
      <c r="H935" s="1" t="str">
        <f>"普通话证书，小学教师资格证"</f>
        <v>普通话证书，小学教师资格证</v>
      </c>
      <c r="I935" s="1" t="str">
        <f>"201809-202107漯河职业技术学院 小学教育 全日制
202109-202307许昌学院 小学教育 全日制"</f>
        <v>201809-202107漯河职业技术学院 小学教育 全日制
202109-202307许昌学院 小学教育 全日制</v>
      </c>
    </row>
    <row r="936" spans="1:9">
      <c r="A936" s="1" t="str">
        <f>"411325200001140329"</f>
        <v>411325200001140329</v>
      </c>
      <c r="B936" s="1" t="str">
        <f>"中共党员"</f>
        <v>中共党员</v>
      </c>
      <c r="C936" s="1" t="str">
        <f t="shared" si="466"/>
        <v>本科</v>
      </c>
      <c r="D936" s="1" t="str">
        <f>"20230701"</f>
        <v>20230701</v>
      </c>
      <c r="E936" s="1" t="str">
        <f>"河南农业大学"</f>
        <v>河南农业大学</v>
      </c>
      <c r="F936" s="1" t="str">
        <f>"园艺技术与工程"</f>
        <v>园艺技术与工程</v>
      </c>
      <c r="G936" s="1" t="str">
        <f>"河南省南阳市内乡县大桥乡谢营村"</f>
        <v>河南省南阳市内乡县大桥乡谢营村</v>
      </c>
      <c r="H936" s="1" t="str">
        <f t="shared" ref="H936:H943" si="469">"无"</f>
        <v>无</v>
      </c>
      <c r="I936" s="1" t="str">
        <f>"201909-202307于河南农业大学许昌校区园艺技术与工程专业就读，全日制学历；202307-今于河南农业大学烟草学院农艺与种业专业就读，全日制。"</f>
        <v>201909-202307于河南农业大学许昌校区园艺技术与工程专业就读，全日制学历；202307-今于河南农业大学烟草学院农艺与种业专业就读，全日制。</v>
      </c>
    </row>
    <row r="937" spans="1:9">
      <c r="A937" s="1" t="str">
        <f>"411324200211201939"</f>
        <v>411324200211201939</v>
      </c>
      <c r="B937" s="1" t="str">
        <f t="shared" si="468"/>
        <v>共青团员</v>
      </c>
      <c r="C937" s="1" t="str">
        <f t="shared" si="466"/>
        <v>本科</v>
      </c>
      <c r="D937" s="1" t="str">
        <f>"20240623"</f>
        <v>20240623</v>
      </c>
      <c r="E937" s="1" t="str">
        <f>"丽水学院"</f>
        <v>丽水学院</v>
      </c>
      <c r="F937" s="1" t="str">
        <f>"旅游管理"</f>
        <v>旅游管理</v>
      </c>
      <c r="G937" s="1" t="str">
        <f>"河南省南阳市镇平县侯集镇"</f>
        <v>河南省南阳市镇平县侯集镇</v>
      </c>
      <c r="H937" s="1" t="str">
        <f>"初级会计证"</f>
        <v>初级会计证</v>
      </c>
      <c r="I937" s="1" t="str">
        <f>"202010-202406 丽水学院商学院旅游管理专业就读 全日制"</f>
        <v>202010-202406 丽水学院商学院旅游管理专业就读 全日制</v>
      </c>
    </row>
    <row r="938" spans="1:9">
      <c r="A938" s="1" t="str">
        <f>"411327199805082547"</f>
        <v>411327199805082547</v>
      </c>
      <c r="B938" s="1" t="str">
        <f t="shared" ref="B938:B942" si="470">"群众"</f>
        <v>群众</v>
      </c>
      <c r="C938" s="1" t="str">
        <f t="shared" si="466"/>
        <v>本科</v>
      </c>
      <c r="D938" s="1" t="str">
        <f>"20200701"</f>
        <v>20200701</v>
      </c>
      <c r="E938" s="1" t="str">
        <f>"郑州师范学院"</f>
        <v>郑州师范学院</v>
      </c>
      <c r="F938" s="1" t="str">
        <f>"美术学"</f>
        <v>美术学</v>
      </c>
      <c r="G938" s="1" t="str">
        <f>"南阳市内乡县"</f>
        <v>南阳市内乡县</v>
      </c>
      <c r="H938" s="1" t="str">
        <f t="shared" si="469"/>
        <v>无</v>
      </c>
      <c r="I938" s="1" t="str">
        <f>"201609-202007本科就读于郑州师范学院 美术学专业 全日制
202009-202102内乡县城关镇第五小学代课美术 
202103-202108在家待业
202109-202409 特岗教师服务于内乡县灵山雷锋学校
202409- 内乡县灵山雷锋学校"</f>
        <v>201609-202007本科就读于郑州师范学院 美术学专业 全日制
202009-202102内乡县城关镇第五小学代课美术 
202103-202108在家待业
202109-202409 特岗教师服务于内乡县灵山雷锋学校
202409- 内乡县灵山雷锋学校</v>
      </c>
    </row>
    <row r="939" spans="1:9">
      <c r="A939" s="1" t="str">
        <f>"411321199911030320"</f>
        <v>411321199911030320</v>
      </c>
      <c r="B939" s="1" t="str">
        <f t="shared" si="468"/>
        <v>共青团员</v>
      </c>
      <c r="C939" s="1" t="str">
        <f t="shared" si="466"/>
        <v>本科</v>
      </c>
      <c r="D939" s="1" t="str">
        <f>"20210621"</f>
        <v>20210621</v>
      </c>
      <c r="E939" s="1" t="str">
        <f>"河南牧业经济学院"</f>
        <v>河南牧业经济学院</v>
      </c>
      <c r="F939" s="1" t="str">
        <f>"国际经济与贸易"</f>
        <v>国际经济与贸易</v>
      </c>
      <c r="G939" s="1" t="str">
        <f>"河南省南阳市"</f>
        <v>河南省南阳市</v>
      </c>
      <c r="H939" s="1" t="str">
        <f t="shared" si="469"/>
        <v>无</v>
      </c>
      <c r="I939" s="1" t="str">
        <f>"201709-202106 河南牧业经济学院经济贸易系国际经济与贸易专业就读，是全日制学历。"</f>
        <v>201709-202106 河南牧业经济学院经济贸易系国际经济与贸易专业就读，是全日制学历。</v>
      </c>
    </row>
    <row r="940" spans="1:9">
      <c r="A940" s="1" t="str">
        <f>"360423200011034527"</f>
        <v>360423200011034527</v>
      </c>
      <c r="B940" s="1" t="str">
        <f t="shared" si="470"/>
        <v>群众</v>
      </c>
      <c r="C940" s="1" t="str">
        <f t="shared" si="466"/>
        <v>本科</v>
      </c>
      <c r="D940" s="1" t="str">
        <f>"20220630"</f>
        <v>20220630</v>
      </c>
      <c r="E940" s="1" t="str">
        <f>"江西财经大学"</f>
        <v>江西财经大学</v>
      </c>
      <c r="F940" s="1" t="str">
        <f>"国际经济与贸易"</f>
        <v>国际经济与贸易</v>
      </c>
      <c r="G940" s="1" t="str">
        <f>"河南省洛阳市涧西区"</f>
        <v>河南省洛阳市涧西区</v>
      </c>
      <c r="H940" s="1" t="str">
        <f t="shared" si="469"/>
        <v>无</v>
      </c>
      <c r="I940" s="1" t="str">
        <f>"201809-202206 江西财经大学 国际经贸学院 国际经济与贸易专业就读 全日制学历
202207-202304 宁波豪雅进出口集团有限公司 产品线运营助理职位
202305-202307 宁波市金山中心  待业
202308-202506 宁波奥克斯智能科技股份有限公司 标书制作职位
202507-至今     河南省洛阳市涧西区 待业"</f>
        <v>201809-202206 江西财经大学 国际经贸学院 国际经济与贸易专业就读 全日制学历
202207-202304 宁波豪雅进出口集团有限公司 产品线运营助理职位
202305-202307 宁波市金山中心  待业
202308-202506 宁波奥克斯智能科技股份有限公司 标书制作职位
202507-至今     河南省洛阳市涧西区 待业</v>
      </c>
    </row>
    <row r="941" spans="1:9">
      <c r="A941" s="1" t="str">
        <f>"640321200111080327"</f>
        <v>640321200111080327</v>
      </c>
      <c r="B941" s="1" t="str">
        <f t="shared" ref="B941:B945" si="471">"共青团员"</f>
        <v>共青团员</v>
      </c>
      <c r="C941" s="1" t="str">
        <f t="shared" si="466"/>
        <v>本科</v>
      </c>
      <c r="D941" s="1" t="str">
        <f>"20240630"</f>
        <v>20240630</v>
      </c>
      <c r="E941" s="1" t="str">
        <f>"南京林业大学"</f>
        <v>南京林业大学</v>
      </c>
      <c r="F941" s="1" t="str">
        <f>"给排水科学与工程"</f>
        <v>给排水科学与工程</v>
      </c>
      <c r="G941" s="1" t="str">
        <f>"宁夏回族自治区中卫市沙坡头区"</f>
        <v>宁夏回族自治区中卫市沙坡头区</v>
      </c>
      <c r="H941" s="1" t="str">
        <f t="shared" si="469"/>
        <v>无</v>
      </c>
      <c r="I941" s="1" t="str">
        <f>"20200912-20240630 南京林业大学 给排水科学与工程  全日制学历"</f>
        <v>20200912-20240630 南京林业大学 给排水科学与工程  全日制学历</v>
      </c>
    </row>
    <row r="942" spans="1:9">
      <c r="A942" s="1" t="str">
        <f>"411327199612264512"</f>
        <v>411327199612264512</v>
      </c>
      <c r="B942" s="1" t="str">
        <f t="shared" si="470"/>
        <v>群众</v>
      </c>
      <c r="C942" s="1" t="str">
        <f>"专科"</f>
        <v>专科</v>
      </c>
      <c r="D942" s="1" t="str">
        <f>"20180701"</f>
        <v>20180701</v>
      </c>
      <c r="E942" s="1" t="str">
        <f>"河南工业职业技术学院"</f>
        <v>河南工业职业技术学院</v>
      </c>
      <c r="F942" s="1" t="str">
        <f>"会计电算化"</f>
        <v>会计电算化</v>
      </c>
      <c r="G942" s="1" t="str">
        <f>"河南省南阳市内乡县赵店乡"</f>
        <v>河南省南阳市内乡县赵店乡</v>
      </c>
      <c r="H942" s="1" t="str">
        <f t="shared" si="469"/>
        <v>无</v>
      </c>
      <c r="I942" s="1" t="str">
        <f>"2015.9.1-2018.7.1 在河南工业职业技术学院就读 经管院系财务专业（会计电算化）
2018.7.1-2020.4.1就职于南阳市中科会计师事务所 审计助理
2020.4.1-2024.2.1就职于内乡县财政局购岗人员（工作地点岞曲）
2024.2.1-2025.7.30就职于西峡县供销合作社联合社"</f>
        <v>2015.9.1-2018.7.1 在河南工业职业技术学院就读 经管院系财务专业（会计电算化）
2018.7.1-2020.4.1就职于南阳市中科会计师事务所 审计助理
2020.4.1-2024.2.1就职于内乡县财政局购岗人员（工作地点岞曲）
2024.2.1-2025.7.30就职于西峡县供销合作社联合社</v>
      </c>
    </row>
    <row r="943" spans="1:9">
      <c r="A943" s="1" t="str">
        <f>"411327200003120025"</f>
        <v>411327200003120025</v>
      </c>
      <c r="B943" s="1" t="str">
        <f>"中共党员"</f>
        <v>中共党员</v>
      </c>
      <c r="C943" s="1" t="str">
        <f t="shared" ref="C943:C954" si="472">"本科"</f>
        <v>本科</v>
      </c>
      <c r="D943" s="1" t="str">
        <f>"20220701"</f>
        <v>20220701</v>
      </c>
      <c r="E943" s="1" t="str">
        <f>"信阳师范学院"</f>
        <v>信阳师范学院</v>
      </c>
      <c r="F943" s="1" t="str">
        <f>"历史学"</f>
        <v>历史学</v>
      </c>
      <c r="G943" s="1" t="str">
        <f>"河南省内乡县城关镇清心路"</f>
        <v>河南省内乡县城关镇清心路</v>
      </c>
      <c r="H943" s="1" t="str">
        <f t="shared" si="469"/>
        <v>无</v>
      </c>
      <c r="I943" s="1" t="str">
        <f>"201809-202207 信阳师范学院就读（全日制）
"</f>
        <v>201809-202207 信阳师范学院就读（全日制）
</v>
      </c>
    </row>
    <row r="944" spans="1:9">
      <c r="A944" s="1" t="str">
        <f>"371401199804290423"</f>
        <v>371401199804290423</v>
      </c>
      <c r="B944" s="1" t="str">
        <f t="shared" si="471"/>
        <v>共青团员</v>
      </c>
      <c r="C944" s="1" t="str">
        <f t="shared" si="472"/>
        <v>本科</v>
      </c>
      <c r="D944" s="1" t="str">
        <f>"20220615"</f>
        <v>20220615</v>
      </c>
      <c r="E944" s="1" t="str">
        <f>"青岛大学"</f>
        <v>青岛大学</v>
      </c>
      <c r="F944" s="1" t="str">
        <f>"小学教育"</f>
        <v>小学教育</v>
      </c>
      <c r="G944" s="1" t="str">
        <f>"内乡县郦都国际2期"</f>
        <v>内乡县郦都国际2期</v>
      </c>
      <c r="H944" s="1" t="str">
        <f>"教师资格证，普通话证"</f>
        <v>教师资格证，普通话证</v>
      </c>
      <c r="I944" s="1" t="str">
        <f>"201609-201906  枣庄学院光电工程学院物理教育专业就读，全日制
201907-202002  待业
202003-202206  青岛大学小学教育专业就读，非全日制"</f>
        <v>201609-201906  枣庄学院光电工程学院物理教育专业就读，全日制
201907-202002  待业
202003-202206  青岛大学小学教育专业就读，非全日制</v>
      </c>
    </row>
    <row r="945" spans="1:9">
      <c r="A945" s="1" t="str">
        <f>"411324200106201910"</f>
        <v>411324200106201910</v>
      </c>
      <c r="B945" s="1" t="str">
        <f t="shared" si="471"/>
        <v>共青团员</v>
      </c>
      <c r="C945" s="1" t="str">
        <f t="shared" si="472"/>
        <v>本科</v>
      </c>
      <c r="D945" s="1" t="str">
        <f>"20250701"</f>
        <v>20250701</v>
      </c>
      <c r="E945" s="1" t="str">
        <f>"长春建筑学院"</f>
        <v>长春建筑学院</v>
      </c>
      <c r="F945" s="1" t="str">
        <f>"房地产开发与管理"</f>
        <v>房地产开发与管理</v>
      </c>
      <c r="G945" s="1" t="str">
        <f>"河南省南阳市镇平县"</f>
        <v>河南省南阳市镇平县</v>
      </c>
      <c r="H945" s="1" t="str">
        <f t="shared" ref="H945:H950" si="473">"无"</f>
        <v>无</v>
      </c>
      <c r="I945" s="1" t="str">
        <f>"202109-202507长春建筑学院管理学院房地产开发与管理专业就读，是全日制学历"</f>
        <v>202109-202507长春建筑学院管理学院房地产开发与管理专业就读，是全日制学历</v>
      </c>
    </row>
    <row r="946" spans="1:9">
      <c r="A946" s="1" t="str">
        <f>"411327199710020028"</f>
        <v>411327199710020028</v>
      </c>
      <c r="B946" s="1" t="str">
        <f t="shared" ref="B946:B948" si="474">"群众"</f>
        <v>群众</v>
      </c>
      <c r="C946" s="1" t="str">
        <f t="shared" si="472"/>
        <v>本科</v>
      </c>
      <c r="D946" s="1" t="str">
        <f>"20200701"</f>
        <v>20200701</v>
      </c>
      <c r="E946" s="1" t="str">
        <f>"郑州升达经贸管理学院"</f>
        <v>郑州升达经贸管理学院</v>
      </c>
      <c r="F946" s="1" t="str">
        <f>"金融学"</f>
        <v>金融学</v>
      </c>
      <c r="G946" s="1" t="str">
        <f>"河南省内乡县"</f>
        <v>河南省内乡县</v>
      </c>
      <c r="H946" s="1" t="str">
        <f t="shared" si="473"/>
        <v>无</v>
      </c>
      <c r="I946" s="1" t="str">
        <f>"201609-202007 郑州升达经贸管理学院 就读 全日制
202009至今 内乡县第六小学任职"</f>
        <v>201609-202007 郑州升达经贸管理学院 就读 全日制
202009至今 内乡县第六小学任职</v>
      </c>
    </row>
    <row r="947" spans="1:9">
      <c r="A947" s="1" t="str">
        <f>"411081200108304973"</f>
        <v>411081200108304973</v>
      </c>
      <c r="B947" s="1" t="str">
        <f t="shared" si="474"/>
        <v>群众</v>
      </c>
      <c r="C947" s="1" t="str">
        <f t="shared" si="472"/>
        <v>本科</v>
      </c>
      <c r="D947" s="1" t="str">
        <f>"20240701"</f>
        <v>20240701</v>
      </c>
      <c r="E947" s="1" t="str">
        <f>"信阳农林学院"</f>
        <v>信阳农林学院</v>
      </c>
      <c r="F947" s="1" t="str">
        <f>"茶学"</f>
        <v>茶学</v>
      </c>
      <c r="G947" s="1" t="str">
        <f>"河南许昌"</f>
        <v>河南许昌</v>
      </c>
      <c r="H947" s="1" t="str">
        <f>"三级插花花艺师证书；三级评茶员证书"</f>
        <v>三级插花花艺师证书；三级评茶员证书</v>
      </c>
      <c r="I947" s="1" t="str">
        <f>"20220901-20240701：信阳农林学院就读，茶学专业，全日制专升本
20190901-20220701；河南林业职业学院就读：园林工程技术专业，全日制
20160901-20190701；禹州市高级中学就读，文科，全日制"</f>
        <v>20220901-20240701：信阳农林学院就读，茶学专业，全日制专升本
20190901-20220701；河南林业职业学院就读：园林工程技术专业，全日制
20160901-20190701；禹州市高级中学就读，文科，全日制</v>
      </c>
    </row>
    <row r="948" spans="1:9">
      <c r="A948" s="1" t="str">
        <f>"411327199809191564"</f>
        <v>411327199809191564</v>
      </c>
      <c r="B948" s="1" t="str">
        <f t="shared" si="474"/>
        <v>群众</v>
      </c>
      <c r="C948" s="1" t="str">
        <f t="shared" si="472"/>
        <v>本科</v>
      </c>
      <c r="D948" s="1" t="str">
        <f>"20210701"</f>
        <v>20210701</v>
      </c>
      <c r="E948" s="1" t="str">
        <f>"郑州商学院"</f>
        <v>郑州商学院</v>
      </c>
      <c r="F948" s="1" t="str">
        <f>"工商管理"</f>
        <v>工商管理</v>
      </c>
      <c r="G948" s="1" t="str">
        <f>"内乡县县衙路"</f>
        <v>内乡县县衙路</v>
      </c>
      <c r="H948" s="1" t="str">
        <f t="shared" si="473"/>
        <v>无</v>
      </c>
      <c r="I948" s="1" t="str">
        <f>"2016.9-2019.7 郑州财税金融职业学院 物流管理专业  全日制 
2019.9-2021.7 郑州商学院 工商管理专业 全日制 
2021.7至今内乡县住建局工作"</f>
        <v>2016.9-2019.7 郑州财税金融职业学院 物流管理专业  全日制 
2019.9-2021.7 郑州商学院 工商管理专业 全日制 
2021.7至今内乡县住建局工作</v>
      </c>
    </row>
    <row r="949" spans="1:9">
      <c r="A949" s="1" t="str">
        <f>"411330200208211543"</f>
        <v>411330200208211543</v>
      </c>
      <c r="B949" s="1" t="str">
        <f>"共青团员"</f>
        <v>共青团员</v>
      </c>
      <c r="C949" s="1" t="str">
        <f t="shared" si="472"/>
        <v>本科</v>
      </c>
      <c r="D949" s="1" t="str">
        <f>"20240701"</f>
        <v>20240701</v>
      </c>
      <c r="E949" s="1" t="str">
        <f>"河南科技学院"</f>
        <v>河南科技学院</v>
      </c>
      <c r="F949" s="1" t="str">
        <f>"数学与应用数学"</f>
        <v>数学与应用数学</v>
      </c>
      <c r="G949" s="1" t="str">
        <f>"河南省南阳市西峡县莲花后岗油厂路"</f>
        <v>河南省南阳市西峡县莲花后岗油厂路</v>
      </c>
      <c r="H949" s="1" t="str">
        <f t="shared" si="473"/>
        <v>无</v>
      </c>
      <c r="I949" s="1" t="str">
        <f>"202009-202406河南科技学院就读
202407至今待业"</f>
        <v>202009-202406河南科技学院就读
202407至今待业</v>
      </c>
    </row>
    <row r="950" spans="1:9">
      <c r="A950" s="1" t="str">
        <f>"411526199709256353"</f>
        <v>411526199709256353</v>
      </c>
      <c r="B950" s="1" t="str">
        <f>"共青团员"</f>
        <v>共青团员</v>
      </c>
      <c r="C950" s="1" t="str">
        <f t="shared" si="472"/>
        <v>本科</v>
      </c>
      <c r="D950" s="1" t="str">
        <f>"20210701"</f>
        <v>20210701</v>
      </c>
      <c r="E950" s="1" t="str">
        <f>"郑州升达经贸管理学院"</f>
        <v>郑州升达经贸管理学院</v>
      </c>
      <c r="F950" s="1" t="str">
        <f>"市场营销"</f>
        <v>市场营销</v>
      </c>
      <c r="G950" s="1" t="str">
        <f>"河南省潢川县五中家园"</f>
        <v>河南省潢川县五中家园</v>
      </c>
      <c r="H950" s="1" t="str">
        <f t="shared" si="473"/>
        <v>无</v>
      </c>
      <c r="I950" s="1" t="str">
        <f>"2019.09--2021.07  郑州升达经贸管理学院市场营销专业全日制本科学习
2021.07--2021.10  中铁18局集团一公司锦绣柳园安置区项目部见习生
2021.10--2024.12  中铁18局集团一公司京津冀工程管理部锦绣柳园安置区项目部设备物资部部员
2024.12--         中铁18局集团一公司京津冀工程管理部锦绣柳园安置区项目部设备物资部部员、技术员"</f>
        <v>2019.09--2021.07  郑州升达经贸管理学院市场营销专业全日制本科学习
2021.07--2021.10  中铁18局集团一公司锦绣柳园安置区项目部见习生
2021.10--2024.12  中铁18局集团一公司京津冀工程管理部锦绣柳园安置区项目部设备物资部部员
2024.12--         中铁18局集团一公司京津冀工程管理部锦绣柳园安置区项目部设备物资部部员、技术员</v>
      </c>
    </row>
    <row r="951" spans="1:9">
      <c r="A951" s="1" t="str">
        <f>"411330200111045120"</f>
        <v>411330200111045120</v>
      </c>
      <c r="B951" s="1" t="str">
        <f t="shared" ref="B951:B953" si="475">"群众"</f>
        <v>群众</v>
      </c>
      <c r="C951" s="1" t="str">
        <f t="shared" si="472"/>
        <v>本科</v>
      </c>
      <c r="D951" s="1" t="str">
        <f>"20250617"</f>
        <v>20250617</v>
      </c>
      <c r="E951" s="1" t="str">
        <f>"南阳理工学院"</f>
        <v>南阳理工学院</v>
      </c>
      <c r="F951" s="1" t="str">
        <f t="shared" ref="F951:F956" si="476">"财务管理"</f>
        <v>财务管理</v>
      </c>
      <c r="G951" s="1" t="str">
        <f>"河南省南阳市西峡县城关镇帝景天城"</f>
        <v>河南省南阳市西峡县城关镇帝景天城</v>
      </c>
      <c r="H951" s="1" t="str">
        <f>"会计专业技术资格证书"</f>
        <v>会计专业技术资格证书</v>
      </c>
      <c r="I951" s="1" t="str">
        <f>"202009-202307 郑州城市学院商学院会计专业就读
202309-202506 南阳理工学院范蠡商学院财务管理专业就读"</f>
        <v>202009-202307 郑州城市学院商学院会计专业就读
202309-202506 南阳理工学院范蠡商学院财务管理专业就读</v>
      </c>
    </row>
    <row r="952" spans="1:9">
      <c r="A952" s="1" t="str">
        <f>"341602199401236053"</f>
        <v>341602199401236053</v>
      </c>
      <c r="B952" s="1" t="str">
        <f t="shared" si="475"/>
        <v>群众</v>
      </c>
      <c r="C952" s="1" t="str">
        <f t="shared" si="472"/>
        <v>本科</v>
      </c>
      <c r="D952" s="1" t="str">
        <f>"20170701"</f>
        <v>20170701</v>
      </c>
      <c r="E952" s="1" t="str">
        <f>"合肥工业大学"</f>
        <v>合肥工业大学</v>
      </c>
      <c r="F952" s="1" t="str">
        <f>"电气工程及其自动化"</f>
        <v>电气工程及其自动化</v>
      </c>
      <c r="G952" s="1" t="str">
        <f>"安徽省合肥市蜀山区新西茗阁"</f>
        <v>安徽省合肥市蜀山区新西茗阁</v>
      </c>
      <c r="H952" s="1" t="str">
        <f>"机电助理工程师"</f>
        <v>机电助理工程师</v>
      </c>
      <c r="I952" s="1" t="str">
        <f>"201309-201707 合肥工业大学 就读 全日制学历
201707-201806 彩虹（合肥）液晶玻璃有限公司 电气技术员
201806-201809 待业
201809-202309 安徽华泓信息技术有限公司 电气工程师
202309-至今 待业"</f>
        <v>201309-201707 合肥工业大学 就读 全日制学历
201707-201806 彩虹（合肥）液晶玻璃有限公司 电气技术员
201806-201809 待业
201809-202309 安徽华泓信息技术有限公司 电气工程师
202309-至今 待业</v>
      </c>
    </row>
    <row r="953" spans="1:9">
      <c r="A953" s="1" t="str">
        <f>"411325199706084528"</f>
        <v>411325199706084528</v>
      </c>
      <c r="B953" s="1" t="str">
        <f t="shared" si="475"/>
        <v>群众</v>
      </c>
      <c r="C953" s="1" t="str">
        <f t="shared" si="472"/>
        <v>本科</v>
      </c>
      <c r="D953" s="1" t="str">
        <f>"2019-07-01"</f>
        <v>2019-07-01</v>
      </c>
      <c r="E953" s="1" t="str">
        <f>"河南农业大学"</f>
        <v>河南农业大学</v>
      </c>
      <c r="F953" s="1" t="str">
        <f>"环境设计"</f>
        <v>环境设计</v>
      </c>
      <c r="G953" s="1" t="str">
        <f>"内乡县南关幸福小区2号楼"</f>
        <v>内乡县南关幸福小区2号楼</v>
      </c>
      <c r="H953" s="1" t="str">
        <f t="shared" ref="H953:H963" si="477">"无"</f>
        <v>无</v>
      </c>
      <c r="I953" s="1" t="str">
        <f>"201509-201907河南农业大学林学院艺术系环境设计专业就读，全日制本科。201908-202205河南郑州待业。202207-202306河南雅致广告有限公司工作，职位是拍摄剪辑，工作内容拍摄剪辑短视频。202307-202507河南南阳待业。"</f>
        <v>201509-201907河南农业大学林学院艺术系环境设计专业就读，全日制本科。201908-202205河南郑州待业。202207-202306河南雅致广告有限公司工作，职位是拍摄剪辑，工作内容拍摄剪辑短视频。202307-202507河南南阳待业。</v>
      </c>
    </row>
    <row r="954" spans="1:9">
      <c r="A954" s="1" t="str">
        <f>"411324200107162239"</f>
        <v>411324200107162239</v>
      </c>
      <c r="B954" s="1" t="str">
        <f>"中共党员"</f>
        <v>中共党员</v>
      </c>
      <c r="C954" s="1" t="str">
        <f t="shared" si="472"/>
        <v>本科</v>
      </c>
      <c r="D954" s="1" t="str">
        <f>"20240701"</f>
        <v>20240701</v>
      </c>
      <c r="E954" s="1" t="str">
        <f>"郑州经贸学院"</f>
        <v>郑州经贸学院</v>
      </c>
      <c r="F954" s="1" t="str">
        <f t="shared" si="476"/>
        <v>财务管理</v>
      </c>
      <c r="G954" s="1" t="str">
        <f>"河南省南阳市镇平县建设大道西段149号"</f>
        <v>河南省南阳市镇平县建设大道西段149号</v>
      </c>
      <c r="H954" s="1" t="str">
        <f t="shared" si="477"/>
        <v>无</v>
      </c>
      <c r="I954" s="1" t="str">
        <f>"201909-202206 河南职业技术学院学校商学院审计专业就读，全日制学历；202209-202406 郑州经贸学院会计学院财务管理专业就读，全日制学历；202406至今在镇平待业。"</f>
        <v>201909-202206 河南职业技术学院学校商学院审计专业就读，全日制学历；202209-202406 郑州经贸学院会计学院财务管理专业就读，全日制学历；202406至今在镇平待业。</v>
      </c>
    </row>
    <row r="955" spans="1:9">
      <c r="A955" s="1" t="str">
        <f>"411282200303095027"</f>
        <v>411282200303095027</v>
      </c>
      <c r="B955" s="1" t="str">
        <f t="shared" ref="B955:B959" si="478">"群众"</f>
        <v>群众</v>
      </c>
      <c r="C955" s="1" t="str">
        <f>"专科"</f>
        <v>专科</v>
      </c>
      <c r="D955" s="1" t="str">
        <f>"20250625"</f>
        <v>20250625</v>
      </c>
      <c r="E955" s="1" t="str">
        <f>"天津城市建设管理职业技术学院"</f>
        <v>天津城市建设管理职业技术学院</v>
      </c>
      <c r="F955" s="1" t="str">
        <f>"室内艺术设计"</f>
        <v>室内艺术设计</v>
      </c>
      <c r="G955" s="1" t="str">
        <f>"河南省三门峡市灵宝市函谷花园小区"</f>
        <v>河南省三门峡市灵宝市函谷花园小区</v>
      </c>
      <c r="H955" s="1" t="str">
        <f>"室内设计初级资格证"</f>
        <v>室内设计初级资格证</v>
      </c>
      <c r="I955" s="1" t="str">
        <f>"202209--202506在天津城市建设管理职业技术学院建工系室内艺术设计专业就读。全日制"</f>
        <v>202209--202506在天津城市建设管理职业技术学院建工系室内艺术设计专业就读。全日制</v>
      </c>
    </row>
    <row r="956" ht="391.5" spans="1:9">
      <c r="A956" s="1" t="str">
        <f>"410928199011293949"</f>
        <v>410928199011293949</v>
      </c>
      <c r="B956" s="1" t="str">
        <f t="shared" si="478"/>
        <v>群众</v>
      </c>
      <c r="C956" s="1" t="str">
        <f t="shared" ref="C956:C959" si="479">"本科"</f>
        <v>本科</v>
      </c>
      <c r="D956" s="1" t="str">
        <f>"2017-01-08"</f>
        <v>2017-01-08</v>
      </c>
      <c r="E956" s="1" t="str">
        <f>"北京大学"</f>
        <v>北京大学</v>
      </c>
      <c r="F956" s="1" t="str">
        <f t="shared" si="476"/>
        <v>财务管理</v>
      </c>
      <c r="G956" s="1" t="str">
        <f>"河南省郑州市高新技术开发区沟赵乡金辉优步花园"</f>
        <v>河南省郑州市高新技术开发区沟赵乡金辉优步花园</v>
      </c>
      <c r="H956" s="1" t="str">
        <f t="shared" si="477"/>
        <v>无</v>
      </c>
      <c r="I956" s="3" t="s">
        <v>216</v>
      </c>
    </row>
    <row r="957" spans="1:9">
      <c r="A957" s="1" t="str">
        <f>"321322200303240017"</f>
        <v>321322200303240017</v>
      </c>
      <c r="B957" s="1" t="str">
        <f>"中共预备党员"</f>
        <v>中共预备党员</v>
      </c>
      <c r="C957" s="1" t="str">
        <f t="shared" si="479"/>
        <v>本科</v>
      </c>
      <c r="D957" s="1" t="str">
        <f>"20250623"</f>
        <v>20250623</v>
      </c>
      <c r="E957" s="1" t="str">
        <f>"安徽财经大学"</f>
        <v>安徽财经大学</v>
      </c>
      <c r="F957" s="1" t="str">
        <f>"环境设计"</f>
        <v>环境设计</v>
      </c>
      <c r="G957" s="1" t="str">
        <f>"江苏省宿迁市沭阳县沭城镇东城馥邦a1 1105"</f>
        <v>江苏省宿迁市沭阳县沭城镇东城馥邦a1 1105</v>
      </c>
      <c r="H957" s="1" t="str">
        <f t="shared" si="477"/>
        <v>无</v>
      </c>
      <c r="I957" s="1" t="str">
        <f>"202109-202506 安徽财经大学艺术学院环境设计专业就读。"</f>
        <v>202109-202506 安徽财经大学艺术学院环境设计专业就读。</v>
      </c>
    </row>
    <row r="958" spans="1:9">
      <c r="A958" s="1" t="str">
        <f>"411327199802182542"</f>
        <v>411327199802182542</v>
      </c>
      <c r="B958" s="1" t="str">
        <f t="shared" ref="B958:B962" si="480">"共青团员"</f>
        <v>共青团员</v>
      </c>
      <c r="C958" s="1" t="str">
        <f t="shared" si="479"/>
        <v>本科</v>
      </c>
      <c r="D958" s="1" t="str">
        <f>"20240607"</f>
        <v>20240607</v>
      </c>
      <c r="E958" s="1" t="str">
        <f>"河南师范大学新联学院"</f>
        <v>河南师范大学新联学院</v>
      </c>
      <c r="F958" s="1" t="str">
        <f>"市场营销"</f>
        <v>市场营销</v>
      </c>
      <c r="G958" s="1" t="str">
        <f>"河南省南阳市内乡县金水港"</f>
        <v>河南省南阳市内乡县金水港</v>
      </c>
      <c r="H958" s="1" t="str">
        <f t="shared" si="477"/>
        <v>无</v>
      </c>
      <c r="I958" s="1" t="str">
        <f>" 201909-202406 河南师范大学新联学院商学院市场营销就读
 202406-至今 内乡菊潭初中"</f>
        <v> 201909-202406 河南师范大学新联学院商学院市场营销就读
 202406-至今 内乡菊潭初中</v>
      </c>
    </row>
    <row r="959" spans="1:9">
      <c r="A959" s="1" t="str">
        <f>"410423199106176615"</f>
        <v>410423199106176615</v>
      </c>
      <c r="B959" s="1" t="str">
        <f t="shared" si="478"/>
        <v>群众</v>
      </c>
      <c r="C959" s="1" t="str">
        <f t="shared" si="479"/>
        <v>本科</v>
      </c>
      <c r="D959" s="1" t="str">
        <f>"20240630"</f>
        <v>20240630</v>
      </c>
      <c r="E959" s="1" t="str">
        <f>"信阳师范大学"</f>
        <v>信阳师范大学</v>
      </c>
      <c r="F959" s="1" t="str">
        <f>"环境设计"</f>
        <v>环境设计</v>
      </c>
      <c r="G959" s="1" t="str">
        <f>"河南省平顶山市鲁山县宋庄"</f>
        <v>河南省平顶山市鲁山县宋庄</v>
      </c>
      <c r="H959" s="1" t="str">
        <f t="shared" si="477"/>
        <v>无</v>
      </c>
      <c r="I959" s="1" t="str">
        <f>"201009-201307 郑州职业技术学院  就读  全日制专科
202406  信阳师范大学 自考本科"</f>
        <v>201009-201307 郑州职业技术学院  就读  全日制专科
202406  信阳师范大学 自考本科</v>
      </c>
    </row>
    <row r="960" spans="1:9">
      <c r="A960" s="1" t="str">
        <f>"412727199508110049"</f>
        <v>412727199508110049</v>
      </c>
      <c r="B960" s="1" t="str">
        <f>"中共预备党员"</f>
        <v>中共预备党员</v>
      </c>
      <c r="C960" s="1" t="str">
        <f>"硕士研究生"</f>
        <v>硕士研究生</v>
      </c>
      <c r="D960" s="1" t="str">
        <f>"20250109"</f>
        <v>20250109</v>
      </c>
      <c r="E960" s="1" t="str">
        <f>"天津外国语大学"</f>
        <v>天津外国语大学</v>
      </c>
      <c r="F960" s="1" t="str">
        <f>"哲学"</f>
        <v>哲学</v>
      </c>
      <c r="G960" s="1" t="str">
        <f>"河南省周口市淮阳县城关回族镇南坛"</f>
        <v>河南省周口市淮阳县城关回族镇南坛</v>
      </c>
      <c r="H960" s="1" t="str">
        <f t="shared" si="477"/>
        <v>无</v>
      </c>
      <c r="I960" s="1" t="str">
        <f>"201609-202007 黄河科技学院 外国语学院 商务英语（全日制本科）
202007-202209 河南省淮阳县（待业）
202209-202501天津外国语大学 英语学院 哲学（全日制硕士2.5学制）"</f>
        <v>201609-202007 黄河科技学院 外国语学院 商务英语（全日制本科）
202007-202209 河南省淮阳县（待业）
202209-202501天津外国语大学 英语学院 哲学（全日制硕士2.5学制）</v>
      </c>
    </row>
    <row r="961" spans="1:9">
      <c r="A961" s="1" t="str">
        <f>"411327200309162535"</f>
        <v>411327200309162535</v>
      </c>
      <c r="B961" s="1" t="str">
        <f t="shared" si="480"/>
        <v>共青团员</v>
      </c>
      <c r="C961" s="1" t="str">
        <f t="shared" ref="C961:C963" si="481">"专科"</f>
        <v>专科</v>
      </c>
      <c r="D961" s="1" t="str">
        <f>"20250613"</f>
        <v>20250613</v>
      </c>
      <c r="E961" s="1" t="str">
        <f>"河南水利与环境职业学院"</f>
        <v>河南水利与环境职业学院</v>
      </c>
      <c r="F961" s="1" t="str">
        <f>"园林工程技术"</f>
        <v>园林工程技术</v>
      </c>
      <c r="G961" s="1" t="str">
        <f>"河南省南阳市内乡县王店镇"</f>
        <v>河南省南阳市内乡县王店镇</v>
      </c>
      <c r="H961" s="1" t="str">
        <f t="shared" si="477"/>
        <v>无</v>
      </c>
      <c r="I961" s="1" t="str">
        <f>"202209-202506在河南水利与环境职业学院环境工程系园林工程技术专业就读，是全日制学历。"</f>
        <v>202209-202506在河南水利与环境职业学院环境工程系园林工程技术专业就读，是全日制学历。</v>
      </c>
    </row>
    <row r="962" spans="1:9">
      <c r="A962" s="1" t="str">
        <f>"411525200106216941"</f>
        <v>411525200106216941</v>
      </c>
      <c r="B962" s="1" t="str">
        <f t="shared" si="480"/>
        <v>共青团员</v>
      </c>
      <c r="C962" s="1" t="str">
        <f t="shared" si="481"/>
        <v>专科</v>
      </c>
      <c r="D962" s="1" t="str">
        <f>"20220701"</f>
        <v>20220701</v>
      </c>
      <c r="E962" s="1" t="str">
        <f>"河南工业贸易职业学院"</f>
        <v>河南工业贸易职业学院</v>
      </c>
      <c r="F962" s="1" t="str">
        <f>"会计（注册会计师方向）"</f>
        <v>会计（注册会计师方向）</v>
      </c>
      <c r="G962" s="1" t="str">
        <f>"河南省信阳市固始县沙河铺乡"</f>
        <v>河南省信阳市固始县沙河铺乡</v>
      </c>
      <c r="H962" s="1" t="str">
        <f t="shared" si="477"/>
        <v>无</v>
      </c>
      <c r="I962" s="1" t="str">
        <f>"201909--202206河南工业贸易职业学院的会计（注册会计师方向）专业就读，是全日制学历"</f>
        <v>201909--202206河南工业贸易职业学院的会计（注册会计师方向）专业就读，是全日制学历</v>
      </c>
    </row>
    <row r="963" spans="1:9">
      <c r="A963" s="1" t="str">
        <f>"41132719931006251X"</f>
        <v>41132719931006251X</v>
      </c>
      <c r="B963" s="1" t="str">
        <f t="shared" ref="B963:B965" si="482">"群众"</f>
        <v>群众</v>
      </c>
      <c r="C963" s="1" t="str">
        <f t="shared" si="481"/>
        <v>专科</v>
      </c>
      <c r="D963" s="1" t="str">
        <f>"20160701"</f>
        <v>20160701</v>
      </c>
      <c r="E963" s="1" t="str">
        <f>"河南工学院"</f>
        <v>河南工学院</v>
      </c>
      <c r="F963" s="1" t="str">
        <f>"数控设备应用与维护"</f>
        <v>数控设备应用与维护</v>
      </c>
      <c r="G963" s="1" t="str">
        <f>"河南省南阳市内乡县祥和阁小区"</f>
        <v>河南省南阳市内乡县祥和阁小区</v>
      </c>
      <c r="H963" s="1" t="str">
        <f t="shared" si="477"/>
        <v>无</v>
      </c>
      <c r="I963" s="1" t="str">
        <f>"2013年9月-2016年7月河南工学院
2019年3月-2021年7月南阳师范学院（成人自考）
2016年7月-2017年7月 实习
2017年10月-2022年6月 牧原公司上班
2022年6月—2022年10月 待业
2022年10月-2024年5月 河南天行健工程咨询有限公司
2024年5月-至今 待业"</f>
        <v>2013年9月-2016年7月河南工学院
2019年3月-2021年7月南阳师范学院（成人自考）
2016年7月-2017年7月 实习
2017年10月-2022年6月 牧原公司上班
2022年6月—2022年10月 待业
2022年10月-2024年5月 河南天行健工程咨询有限公司
2024年5月-至今 待业</v>
      </c>
    </row>
    <row r="964" spans="1:9">
      <c r="A964" s="1" t="str">
        <f>"411325199206090016"</f>
        <v>411325199206090016</v>
      </c>
      <c r="B964" s="1" t="str">
        <f t="shared" si="482"/>
        <v>群众</v>
      </c>
      <c r="C964" s="1" t="str">
        <f t="shared" ref="C964:C969" si="483">"本科"</f>
        <v>本科</v>
      </c>
      <c r="D964" s="1" t="str">
        <f>"20141230"</f>
        <v>20141230</v>
      </c>
      <c r="E964" s="1" t="str">
        <f>"河南财经政法大学"</f>
        <v>河南财经政法大学</v>
      </c>
      <c r="F964" s="1" t="str">
        <f>"会计"</f>
        <v>会计</v>
      </c>
      <c r="G964" s="1" t="str">
        <f>"河南省南阳市唐河县滨河街道办事处新安社区居委会160号"</f>
        <v>河南省南阳市唐河县滨河街道办事处新安社区居委会160号</v>
      </c>
      <c r="H964" s="1" t="str">
        <f>"会计从业资格证"</f>
        <v>会计从业资格证</v>
      </c>
      <c r="I964" s="1" t="str">
        <f>"20121230-20141230河南财经政法大学会计专业就读，非全日制"</f>
        <v>20121230-20141230河南财经政法大学会计专业就读，非全日制</v>
      </c>
    </row>
    <row r="965" spans="1:9">
      <c r="A965" s="1" t="str">
        <f>"411330200110291565"</f>
        <v>411330200110291565</v>
      </c>
      <c r="B965" s="1" t="str">
        <f t="shared" si="482"/>
        <v>群众</v>
      </c>
      <c r="C965" s="1" t="str">
        <f t="shared" si="483"/>
        <v>本科</v>
      </c>
      <c r="D965" s="1" t="str">
        <f>"20240619"</f>
        <v>20240619</v>
      </c>
      <c r="E965" s="1" t="str">
        <f>"哈尔滨学院"</f>
        <v>哈尔滨学院</v>
      </c>
      <c r="F965" s="1" t="str">
        <f>"财务管理"</f>
        <v>财务管理</v>
      </c>
      <c r="G965" s="1" t="str">
        <f>"西峡县世纪大道西段135号嘉和小区"</f>
        <v>西峡县世纪大道西段135号嘉和小区</v>
      </c>
      <c r="H965" s="1" t="str">
        <f>"初级会计25年5月通过"</f>
        <v>初级会计25年5月通过</v>
      </c>
      <c r="I965" s="1" t="str">
        <f>"202009-202406 哈尔滨学院 就读
202407-202504 龙成集团有限公司 会计岗位"</f>
        <v>202009-202406 哈尔滨学院 就读
202407-202504 龙成集团有限公司 会计岗位</v>
      </c>
    </row>
    <row r="966" spans="1:9">
      <c r="A966" s="1" t="str">
        <f>"411327200108011116"</f>
        <v>411327200108011116</v>
      </c>
      <c r="B966" s="1" t="str">
        <f>"共青团员"</f>
        <v>共青团员</v>
      </c>
      <c r="C966" s="1" t="str">
        <f t="shared" si="483"/>
        <v>本科</v>
      </c>
      <c r="D966" s="1" t="str">
        <f>"20240605"</f>
        <v>20240605</v>
      </c>
      <c r="E966" s="1" t="str">
        <f>"商丘学院"</f>
        <v>商丘学院</v>
      </c>
      <c r="F966" s="1" t="str">
        <f>"物联网工程"</f>
        <v>物联网工程</v>
      </c>
      <c r="G966" s="1" t="str">
        <f>"河南省南阳市内乡县"</f>
        <v>河南省南阳市内乡县</v>
      </c>
      <c r="H966" s="1" t="str">
        <f t="shared" ref="H966:H969" si="484">"无"</f>
        <v>无</v>
      </c>
      <c r="I966" s="1" t="str">
        <f>"202209-202406 商丘学院 物联网工程专业 就读 全日制
201909-202206 河南应用技术职业学院 物联网应用技术专业 就读 全日制
201609-201906 内乡实验高级中学 就读 全日制"</f>
        <v>202209-202406 商丘学院 物联网工程专业 就读 全日制
201909-202206 河南应用技术职业学院 物联网应用技术专业 就读 全日制
201609-201906 内乡实验高级中学 就读 全日制</v>
      </c>
    </row>
    <row r="967" spans="1:9">
      <c r="A967" s="1" t="str">
        <f>"510704200101235125"</f>
        <v>510704200101235125</v>
      </c>
      <c r="B967" s="1" t="str">
        <f>"共青团员"</f>
        <v>共青团员</v>
      </c>
      <c r="C967" s="1" t="str">
        <f t="shared" si="483"/>
        <v>本科</v>
      </c>
      <c r="D967" s="1" t="str">
        <f>"20250620"</f>
        <v>20250620</v>
      </c>
      <c r="E967" s="1" t="str">
        <f>"洛阳师范学院"</f>
        <v>洛阳师范学院</v>
      </c>
      <c r="F967" s="1" t="str">
        <f>"汉语言文学"</f>
        <v>汉语言文学</v>
      </c>
      <c r="G967" s="1" t="str">
        <f>"河南省巩义市紫荆路街道南官庄社区3号院"</f>
        <v>河南省巩义市紫荆路街道南官庄社区3号院</v>
      </c>
      <c r="H967" s="1" t="str">
        <f t="shared" si="484"/>
        <v>无</v>
      </c>
      <c r="I967" s="1" t="str">
        <f>"202009-202306在新乡学院人文学院语文教育专业就读 全日制学历
202309-202506在洛阳师范学院文学院汉语言文学专业就读 全日制学历
202506-至今家中待业"</f>
        <v>202009-202306在新乡学院人文学院语文教育专业就读 全日制学历
202309-202506在洛阳师范学院文学院汉语言文学专业就读 全日制学历
202506-至今家中待业</v>
      </c>
    </row>
    <row r="968" spans="1:9">
      <c r="A968" s="1" t="str">
        <f>"411330200011050045"</f>
        <v>411330200011050045</v>
      </c>
      <c r="B968" s="1" t="str">
        <f>"中共党员"</f>
        <v>中共党员</v>
      </c>
      <c r="C968" s="1" t="str">
        <f t="shared" si="483"/>
        <v>本科</v>
      </c>
      <c r="D968" s="1" t="str">
        <f>"20230630"</f>
        <v>20230630</v>
      </c>
      <c r="E968" s="1" t="str">
        <f>"南京农业大学"</f>
        <v>南京农业大学</v>
      </c>
      <c r="F968" s="1" t="str">
        <f>"农业电气化"</f>
        <v>农业电气化</v>
      </c>
      <c r="G968" s="1" t="str">
        <f>"西峡县莲花路莲花副食批发"</f>
        <v>西峡县莲花路莲花副食批发</v>
      </c>
      <c r="H968" s="1" t="str">
        <f t="shared" si="484"/>
        <v>无</v>
      </c>
      <c r="I968" s="1" t="str">
        <f>"201909-202306 南京农业大学工学院农业电气化专业就读，全日制本科学历；
202307-202505 西安比亚迪有限公司，第十四事业部，担任品质工程师；
202506-至今 南阳市西峡县 待业。"</f>
        <v>201909-202306 南京农业大学工学院农业电气化专业就读，全日制本科学历；
202307-202505 西安比亚迪有限公司，第十四事业部，担任品质工程师；
202506-至今 南阳市西峡县 待业。</v>
      </c>
    </row>
    <row r="969" spans="1:9">
      <c r="A969" s="1" t="str">
        <f>"411324200207102225"</f>
        <v>411324200207102225</v>
      </c>
      <c r="B969" s="1" t="str">
        <f t="shared" ref="B969:B979" si="485">"群众"</f>
        <v>群众</v>
      </c>
      <c r="C969" s="1" t="str">
        <f t="shared" si="483"/>
        <v>本科</v>
      </c>
      <c r="D969" s="1" t="str">
        <f>"20240610"</f>
        <v>20240610</v>
      </c>
      <c r="E969" s="1" t="str">
        <f>"新乡学院"</f>
        <v>新乡学院</v>
      </c>
      <c r="F969" s="1" t="str">
        <f>"人力资源管理"</f>
        <v>人力资源管理</v>
      </c>
      <c r="G969" s="1" t="str">
        <f>"河南省南阳市镇平县新城广场"</f>
        <v>河南省南阳市镇平县新城广场</v>
      </c>
      <c r="H969" s="1" t="str">
        <f t="shared" si="484"/>
        <v>无</v>
      </c>
      <c r="I969" s="1" t="str">
        <f>"202009-202406 新乡学院人力资源管理专业 就读
202406-202507 河南省南阳市镇平县待业"</f>
        <v>202009-202406 新乡学院人力资源管理专业 就读
202406-202507 河南省南阳市镇平县待业</v>
      </c>
    </row>
    <row r="970" spans="1:9">
      <c r="A970" s="1" t="str">
        <f>"41132419990221344X"</f>
        <v>41132419990221344X</v>
      </c>
      <c r="B970" s="1" t="str">
        <f t="shared" si="485"/>
        <v>群众</v>
      </c>
      <c r="C970" s="1" t="str">
        <f t="shared" ref="C970:C975" si="486">"专科"</f>
        <v>专科</v>
      </c>
      <c r="D970" s="1" t="str">
        <f>"20240102"</f>
        <v>20240102</v>
      </c>
      <c r="E970" s="1" t="str">
        <f>"国家开放大学"</f>
        <v>国家开放大学</v>
      </c>
      <c r="F970" s="1" t="str">
        <f>"学前教育"</f>
        <v>学前教育</v>
      </c>
      <c r="G970" s="1" t="str">
        <f>"河南省南阳市内乡县城关镇林业局后东风家园5楼"</f>
        <v>河南省南阳市内乡县城关镇林业局后东风家园5楼</v>
      </c>
      <c r="H970" s="1" t="str">
        <f>"普通话二甲"</f>
        <v>普通话二甲</v>
      </c>
      <c r="I970" s="1" t="str">
        <f>"202109-202401宁波电视大学就读学前教育，非全日制大专"</f>
        <v>202109-202401宁波电视大学就读学前教育，非全日制大专</v>
      </c>
    </row>
    <row r="971" spans="1:9">
      <c r="A971" s="1" t="str">
        <f>"411327200111162089"</f>
        <v>411327200111162089</v>
      </c>
      <c r="B971" s="1" t="str">
        <f t="shared" si="485"/>
        <v>群众</v>
      </c>
      <c r="C971" s="1" t="str">
        <f t="shared" ref="C971:C976" si="487">"本科"</f>
        <v>本科</v>
      </c>
      <c r="D971" s="1" t="str">
        <f>"20220701"</f>
        <v>20220701</v>
      </c>
      <c r="E971" s="1" t="str">
        <f>"黄河交通学院"</f>
        <v>黄河交通学院</v>
      </c>
      <c r="F971" s="1" t="str">
        <f>"工程造价"</f>
        <v>工程造价</v>
      </c>
      <c r="G971" s="1" t="str">
        <f>"河南省南阳市邓州市明园小区"</f>
        <v>河南省南阳市邓州市明园小区</v>
      </c>
      <c r="H971" s="1" t="str">
        <f>"无"</f>
        <v>无</v>
      </c>
      <c r="I971" s="1" t="str">
        <f>"201809-202207 黄河交通学院 交通工程学院 工程造价专业就读，全日制学历；
202207-202401想念食品股份有限公司就业；
202402-至今邓州市城乡污水处理有限公司"</f>
        <v>201809-202207 黄河交通学院 交通工程学院 工程造价专业就读，全日制学历；
202207-202401想念食品股份有限公司就业；
202402-至今邓州市城乡污水处理有限公司</v>
      </c>
    </row>
    <row r="972" spans="1:9">
      <c r="A972" s="1" t="str">
        <f>"411327199604043728"</f>
        <v>411327199604043728</v>
      </c>
      <c r="B972" s="1" t="str">
        <f t="shared" si="485"/>
        <v>群众</v>
      </c>
      <c r="C972" s="1" t="str">
        <f t="shared" si="486"/>
        <v>专科</v>
      </c>
      <c r="D972" s="1" t="str">
        <f>"20170701"</f>
        <v>20170701</v>
      </c>
      <c r="E972" s="1" t="str">
        <f>"黄河科技学院"</f>
        <v>黄河科技学院</v>
      </c>
      <c r="F972" s="1" t="str">
        <f>"护理"</f>
        <v>护理</v>
      </c>
      <c r="G972" s="1" t="str">
        <f>"河南省南阳市内乡县桃溪镇庙岗街69号"</f>
        <v>河南省南阳市内乡县桃溪镇庙岗街69号</v>
      </c>
      <c r="H972" s="1" t="str">
        <f>"护师"</f>
        <v>护师</v>
      </c>
      <c r="I972" s="1" t="str">
        <f>"201409-201707 在黄河科技学院护理专业就读全日制"</f>
        <v>201409-201707 在黄河科技学院护理专业就读全日制</v>
      </c>
    </row>
    <row r="973" spans="1:9">
      <c r="A973" s="1" t="str">
        <f>"411381199110124235"</f>
        <v>411381199110124235</v>
      </c>
      <c r="B973" s="1" t="str">
        <f t="shared" si="485"/>
        <v>群众</v>
      </c>
      <c r="C973" s="1" t="str">
        <f t="shared" si="487"/>
        <v>本科</v>
      </c>
      <c r="D973" s="1" t="str">
        <f>"20180701"</f>
        <v>20180701</v>
      </c>
      <c r="E973" s="1" t="str">
        <f>"南阳理工学院"</f>
        <v>南阳理工学院</v>
      </c>
      <c r="F973" s="1" t="str">
        <f>"土木工程"</f>
        <v>土木工程</v>
      </c>
      <c r="G973" s="1" t="str">
        <f>"河南省南阳市卧龙区"</f>
        <v>河南省南阳市卧龙区</v>
      </c>
      <c r="H973" s="1" t="str">
        <f>"二级建造师"</f>
        <v>二级建造师</v>
      </c>
      <c r="I973" s="1" t="str">
        <f>"201203-201501于西安科技大学建筑工程技术专业就读，非全日制大专
201502-201602 待业
201603-201807于南阳理工学院土木工程专业就读，非全日制本科
201808-201809 待业
201810-201912  南阳市美万家实业有限公司
202001-至今  正扬建设有限公司"</f>
        <v>201203-201501于西安科技大学建筑工程技术专业就读，非全日制大专
201502-201602 待业
201603-201807于南阳理工学院土木工程专业就读，非全日制本科
201808-201809 待业
201810-201912  南阳市美万家实业有限公司
202001-至今  正扬建设有限公司</v>
      </c>
    </row>
    <row r="974" spans="1:9">
      <c r="A974" s="1" t="str">
        <f>"411327199703171127"</f>
        <v>411327199703171127</v>
      </c>
      <c r="B974" s="1" t="str">
        <f t="shared" si="485"/>
        <v>群众</v>
      </c>
      <c r="C974" s="1" t="str">
        <f>"硕士研究生"</f>
        <v>硕士研究生</v>
      </c>
      <c r="D974" s="1" t="str">
        <f>"2021.06"</f>
        <v>2021.06</v>
      </c>
      <c r="E974" s="1" t="str">
        <f>"华中师范大学"</f>
        <v>华中师范大学</v>
      </c>
      <c r="F974" s="1" t="str">
        <f>"中国语言文学"</f>
        <v>中国语言文学</v>
      </c>
      <c r="G974" s="1" t="str">
        <f>"河南省南阳市内乡县赤眉镇陈湾村陈南组"</f>
        <v>河南省南阳市内乡县赤眉镇陈湾村陈南组</v>
      </c>
      <c r="H974" s="1" t="str">
        <f t="shared" ref="H974:H979" si="488">"无"</f>
        <v>无</v>
      </c>
      <c r="I974" s="1" t="str">
        <f>"201409-201807 河南师范大学 汉语国际教育  就读
201809-202106 华中师范大学 中国语言文学  就读
202107-202408  武汉市硚口区崇仁路小学      教师
202409至今        在家待业"</f>
        <v>201409-201807 河南师范大学 汉语国际教育  就读
201809-202106 华中师范大学 中国语言文学  就读
202107-202408  武汉市硚口区崇仁路小学      教师
202409至今        在家待业</v>
      </c>
    </row>
    <row r="975" spans="1:9">
      <c r="A975" s="1" t="str">
        <f>"411327199006234516"</f>
        <v>411327199006234516</v>
      </c>
      <c r="B975" s="1" t="str">
        <f t="shared" si="485"/>
        <v>群众</v>
      </c>
      <c r="C975" s="1" t="str">
        <f t="shared" si="486"/>
        <v>专科</v>
      </c>
      <c r="D975" s="1" t="str">
        <f>"20120701"</f>
        <v>20120701</v>
      </c>
      <c r="E975" s="1" t="str">
        <f>"南阳医学高等专科学校"</f>
        <v>南阳医学高等专科学校</v>
      </c>
      <c r="F975" s="1" t="str">
        <f>"中医学（中西医结合方向）"</f>
        <v>中医学（中西医结合方向）</v>
      </c>
      <c r="G975" s="1" t="str">
        <f>"河南省南阳市内乡县赵店乡杜沟村"</f>
        <v>河南省南阳市内乡县赵店乡杜沟村</v>
      </c>
      <c r="H975" s="1" t="str">
        <f>"XC10+41411325000026"</f>
        <v>XC10+41411325000026</v>
      </c>
      <c r="I975" s="1" t="str">
        <f>"201009-201207 南阳医学高等专科学校  中医学（中西医结合方向）就读 全日制学历
201207-202003 内乡县七里坪乡卫生院上班
202003-至今 内乡县杜沟村卫生室工作"</f>
        <v>201009-201207 南阳医学高等专科学校  中医学（中西医结合方向）就读 全日制学历
201207-202003 内乡县七里坪乡卫生院上班
202003-至今 内乡县杜沟村卫生室工作</v>
      </c>
    </row>
    <row r="976" spans="1:9">
      <c r="A976" s="1" t="str">
        <f>"411381200107110305"</f>
        <v>411381200107110305</v>
      </c>
      <c r="B976" s="1" t="str">
        <f t="shared" si="485"/>
        <v>群众</v>
      </c>
      <c r="C976" s="1" t="str">
        <f t="shared" si="487"/>
        <v>本科</v>
      </c>
      <c r="D976" s="1" t="str">
        <f>"2024年12月30日"</f>
        <v>2024年12月30日</v>
      </c>
      <c r="E976" s="1" t="str">
        <f>"信阳师范大学"</f>
        <v>信阳师范大学</v>
      </c>
      <c r="F976" s="1" t="str">
        <f>"环境设计"</f>
        <v>环境设计</v>
      </c>
      <c r="G976" s="1" t="str">
        <f>"河南省邓州市穰城路财富世家"</f>
        <v>河南省邓州市穰城路财富世家</v>
      </c>
      <c r="H976" s="1" t="str">
        <f>"广告设计师"</f>
        <v>广告设计师</v>
      </c>
      <c r="I976" s="1" t="str">
        <f>"2020.10--2023.6就读南阳农业职业学院艺术设计 全日制专科
2023. 9--2024.12就读信阳师范大学环境设计   非全日制自考本科
2025.1--2025.4河南省邓州市待业
2025.4--至今 就业河南省先天下种业有限公司"</f>
        <v>2020.10--2023.6就读南阳农业职业学院艺术设计 全日制专科
2023. 9--2024.12就读信阳师范大学环境设计   非全日制自考本科
2025.1--2025.4河南省邓州市待业
2025.4--至今 就业河南省先天下种业有限公司</v>
      </c>
    </row>
    <row r="977" spans="1:9">
      <c r="A977" s="1" t="str">
        <f>"411323200402150082"</f>
        <v>411323200402150082</v>
      </c>
      <c r="B977" s="1" t="str">
        <f t="shared" si="485"/>
        <v>群众</v>
      </c>
      <c r="C977" s="1" t="str">
        <f t="shared" ref="C977:C981" si="489">"专科"</f>
        <v>专科</v>
      </c>
      <c r="D977" s="1" t="str">
        <f>"20250701"</f>
        <v>20250701</v>
      </c>
      <c r="E977" s="1" t="str">
        <f>"南阳农业职业学院"</f>
        <v>南阳农业职业学院</v>
      </c>
      <c r="F977" s="1" t="str">
        <f>"音乐教育"</f>
        <v>音乐教育</v>
      </c>
      <c r="G977" s="1" t="str">
        <f>"河南省南阳市西峡县"</f>
        <v>河南省南阳市西峡县</v>
      </c>
      <c r="H977" s="1" t="str">
        <f t="shared" si="488"/>
        <v>无</v>
      </c>
      <c r="I977" s="1" t="str">
        <f>"202209-202507南阳农业职业学院人文艺术学院音乐教育专业就读。全日制学历"</f>
        <v>202209-202507南阳农业职业学院人文艺术学院音乐教育专业就读。全日制学历</v>
      </c>
    </row>
    <row r="978" spans="1:9">
      <c r="A978" s="1" t="str">
        <f>"411327200309103922"</f>
        <v>411327200309103922</v>
      </c>
      <c r="B978" s="1" t="str">
        <f t="shared" si="485"/>
        <v>群众</v>
      </c>
      <c r="C978" s="1" t="str">
        <f t="shared" si="489"/>
        <v>专科</v>
      </c>
      <c r="D978" s="1" t="str">
        <f>"20240701"</f>
        <v>20240701</v>
      </c>
      <c r="E978" s="1" t="str">
        <f>"三门峡职业技术学院"</f>
        <v>三门峡职业技术学院</v>
      </c>
      <c r="F978" s="1" t="str">
        <f>"学前教育"</f>
        <v>学前教育</v>
      </c>
      <c r="G978" s="1" t="str">
        <f>"河南省内乡县乍曲乡红庙村李营3号附一号"</f>
        <v>河南省内乡县乍曲乡红庙村李营3号附一号</v>
      </c>
      <c r="H978" s="1" t="str">
        <f t="shared" si="488"/>
        <v>无</v>
      </c>
      <c r="I978" s="1" t="str">
        <f>"20210901—20240701 三门峡职业技术学院就读
20240910—20250701幼儿园"</f>
        <v>20210901—20240701 三门峡职业技术学院就读
20240910—20250701幼儿园</v>
      </c>
    </row>
    <row r="979" spans="1:9">
      <c r="A979" s="1" t="str">
        <f>"411323200401151710"</f>
        <v>411323200401151710</v>
      </c>
      <c r="B979" s="1" t="str">
        <f t="shared" si="485"/>
        <v>群众</v>
      </c>
      <c r="C979" s="1" t="str">
        <f t="shared" ref="C979:C984" si="490">"本科"</f>
        <v>本科</v>
      </c>
      <c r="D979" s="1" t="str">
        <f>"20250615"</f>
        <v>20250615</v>
      </c>
      <c r="E979" s="1" t="str">
        <f>"华北水利水电大学"</f>
        <v>华北水利水电大学</v>
      </c>
      <c r="F979" s="1" t="str">
        <f>"水务工程"</f>
        <v>水务工程</v>
      </c>
      <c r="G979" s="1" t="str">
        <f>"河南省南阳市淅川县寺湾镇秦家沟村一组127号"</f>
        <v>河南省南阳市淅川县寺湾镇秦家沟村一组127号</v>
      </c>
      <c r="H979" s="1" t="str">
        <f t="shared" si="488"/>
        <v>无</v>
      </c>
      <c r="I979" s="1" t="str">
        <f>"202109-202506华北水利水电大学就读"</f>
        <v>202109-202506华北水利水电大学就读</v>
      </c>
    </row>
    <row r="980" spans="1:9">
      <c r="A980" s="1" t="str">
        <f>"41138120021005425X"</f>
        <v>41138120021005425X</v>
      </c>
      <c r="B980" s="1" t="str">
        <f>"共青团员"</f>
        <v>共青团员</v>
      </c>
      <c r="C980" s="1" t="str">
        <f t="shared" si="490"/>
        <v>本科</v>
      </c>
      <c r="D980" s="1" t="str">
        <f>"20250607"</f>
        <v>20250607</v>
      </c>
      <c r="E980" s="1" t="str">
        <f>"河南大学"</f>
        <v>河南大学</v>
      </c>
      <c r="F980" s="1" t="str">
        <f>"视觉传达设计"</f>
        <v>视觉传达设计</v>
      </c>
      <c r="G980" s="1" t="str">
        <f>"河南省邓州市十林镇十西村"</f>
        <v>河南省邓州市十林镇十西村</v>
      </c>
      <c r="H980" s="1" t="str">
        <f>"广告设计师高级工"</f>
        <v>广告设计师高级工</v>
      </c>
      <c r="I980" s="1" t="str">
        <f>"202109-202506河南大学欧亚国际学院视觉传达设计专业就读，全日制学历。"</f>
        <v>202109-202506河南大学欧亚国际学院视觉传达设计专业就读，全日制学历。</v>
      </c>
    </row>
    <row r="981" spans="1:9">
      <c r="A981" s="1" t="str">
        <f>"411327199410253321"</f>
        <v>411327199410253321</v>
      </c>
      <c r="B981" s="1" t="str">
        <f t="shared" ref="B981:B983" si="491">"群众"</f>
        <v>群众</v>
      </c>
      <c r="C981" s="1" t="str">
        <f t="shared" si="489"/>
        <v>专科</v>
      </c>
      <c r="D981" s="1" t="str">
        <f>"20170701"</f>
        <v>20170701</v>
      </c>
      <c r="E981" s="1" t="str">
        <f>"河南理工大学万方科技学院"</f>
        <v>河南理工大学万方科技学院</v>
      </c>
      <c r="F981" s="1" t="str">
        <f>"会计"</f>
        <v>会计</v>
      </c>
      <c r="G981" s="1" t="str">
        <f>"河南省南阳市内乡县七里坪乡马尾村"</f>
        <v>河南省南阳市内乡县七里坪乡马尾村</v>
      </c>
      <c r="H981" s="1" t="str">
        <f t="shared" ref="H981:H993" si="492">"无"</f>
        <v>无</v>
      </c>
      <c r="I981" s="1" t="str">
        <f>"201409-201707河南理工大学万方科技学院会计专业就读，是全日制学历。
201707-20171230通过自学考试取得河南科技大学会计电算化专业毕业证，非全日制学历。
201801-202003在名硕电脑（苏州）有限公司工作，任分组织职务。
202004-202109在七里坪乡马尾村务农。
202110至今在七里坪乡退役军人服务站工作，担任信息员。"</f>
        <v>201409-201707河南理工大学万方科技学院会计专业就读，是全日制学历。
201707-20171230通过自学考试取得河南科技大学会计电算化专业毕业证，非全日制学历。
201801-202003在名硕电脑（苏州）有限公司工作，任分组织职务。
202004-202109在七里坪乡马尾村务农。
202110至今在七里坪乡退役军人服务站工作，担任信息员。</v>
      </c>
    </row>
    <row r="982" spans="1:9">
      <c r="A982" s="1" t="str">
        <f>"411423199707041012"</f>
        <v>411423199707041012</v>
      </c>
      <c r="B982" s="1" t="str">
        <f t="shared" si="491"/>
        <v>群众</v>
      </c>
      <c r="C982" s="1" t="str">
        <f>"硕士研究生"</f>
        <v>硕士研究生</v>
      </c>
      <c r="D982" s="1" t="str">
        <f>"20250610"</f>
        <v>20250610</v>
      </c>
      <c r="E982" s="1" t="str">
        <f>"苏州科技大学"</f>
        <v>苏州科技大学</v>
      </c>
      <c r="F982" s="1" t="str">
        <f>"中国史"</f>
        <v>中国史</v>
      </c>
      <c r="G982" s="1" t="str">
        <f>"河南省商丘市宁陵县张弓镇"</f>
        <v>河南省商丘市宁陵县张弓镇</v>
      </c>
      <c r="H982" s="1" t="str">
        <f>"高中历史教师资格证"</f>
        <v>高中历史教师资格证</v>
      </c>
      <c r="I982" s="1" t="str">
        <f>"201609-202007 河南财经政法大学，工商管理学院市场营销专业就读，取得大学本科学历（全日制）；
202008-202108 商丘市移动公司柘城分公司，市场营销部工作，普通职员
202108-202209 在河南省商丘市宁陵县张弓镇待业；
202209-202506 苏州科技大学，社会发展与公共管理学院历史系中国史专业就读，取得历史学硕士学位（全日制）
"</f>
        <v>201609-202007 河南财经政法大学，工商管理学院市场营销专业就读，取得大学本科学历（全日制）；
202008-202108 商丘市移动公司柘城分公司，市场营销部工作，普通职员
202108-202209 在河南省商丘市宁陵县张弓镇待业；
202209-202506 苏州科技大学，社会发展与公共管理学院历史系中国史专业就读，取得历史学硕士学位（全日制）
</v>
      </c>
    </row>
    <row r="983" spans="1:9">
      <c r="A983" s="1" t="str">
        <f>"411381199904224510"</f>
        <v>411381199904224510</v>
      </c>
      <c r="B983" s="1" t="str">
        <f t="shared" si="491"/>
        <v>群众</v>
      </c>
      <c r="C983" s="1" t="str">
        <f>"专科"</f>
        <v>专科</v>
      </c>
      <c r="D983" s="1" t="str">
        <f>"20190701"</f>
        <v>20190701</v>
      </c>
      <c r="E983" s="1" t="str">
        <f>"中原工学院"</f>
        <v>中原工学院</v>
      </c>
      <c r="F983" s="1" t="str">
        <f>"专科软件技术"</f>
        <v>专科软件技术</v>
      </c>
      <c r="G983" s="1" t="str">
        <f>"张村镇张北社区"</f>
        <v>张村镇张北社区</v>
      </c>
      <c r="H983" s="1" t="str">
        <f t="shared" si="492"/>
        <v>无</v>
      </c>
      <c r="I983" s="1" t="str">
        <f>"2017-09-01 2019-07-01 中原工学院软件技术专业(两年全日制大专不存在违规情况)
2019-07-01 2020-10-22 郑州待业
2020-10-22 2022-05-17 南京诚迈科技
2022-05-17 2022-06-30 上海待业
2022-06-30 2022-08-25 深圳赢时胜信息技术
2022-08-25 2022-11-10 上海待业
2022-11-10 2023-03-01 上海晟峰科技
2023-03-01 至今 张村待业"</f>
        <v>2017-09-01 2019-07-01 中原工学院软件技术专业(两年全日制大专不存在违规情况)
2019-07-01 2020-10-22 郑州待业
2020-10-22 2022-05-17 南京诚迈科技
2022-05-17 2022-06-30 上海待业
2022-06-30 2022-08-25 深圳赢时胜信息技术
2022-08-25 2022-11-10 上海待业
2022-11-10 2023-03-01 上海晟峰科技
2023-03-01 至今 张村待业</v>
      </c>
    </row>
    <row r="984" spans="1:9">
      <c r="A984" s="1" t="str">
        <f>"411282200006164014"</f>
        <v>411282200006164014</v>
      </c>
      <c r="B984" s="1" t="str">
        <f t="shared" ref="B984:B989" si="493">"共青团员"</f>
        <v>共青团员</v>
      </c>
      <c r="C984" s="1" t="str">
        <f t="shared" si="490"/>
        <v>本科</v>
      </c>
      <c r="D984" s="1" t="str">
        <f>"20220722"</f>
        <v>20220722</v>
      </c>
      <c r="E984" s="1" t="str">
        <f>"安阳师范学院"</f>
        <v>安阳师范学院</v>
      </c>
      <c r="F984" s="1" t="str">
        <f>"数学与应用数学"</f>
        <v>数学与应用数学</v>
      </c>
      <c r="G984" s="1" t="str">
        <f>"灵宝市"</f>
        <v>灵宝市</v>
      </c>
      <c r="H984" s="1" t="str">
        <f t="shared" si="492"/>
        <v>无</v>
      </c>
      <c r="I984" s="1" t="str">
        <f>"2018-2022安阳师范学院就读"</f>
        <v>2018-2022安阳师范学院就读</v>
      </c>
    </row>
    <row r="985" spans="1:9">
      <c r="A985" s="1" t="str">
        <f>"411326199610221520"</f>
        <v>411326199610221520</v>
      </c>
      <c r="B985" s="1" t="str">
        <f>"中共党员"</f>
        <v>中共党员</v>
      </c>
      <c r="C985" s="1" t="str">
        <f>"硕士研究生"</f>
        <v>硕士研究生</v>
      </c>
      <c r="D985" s="1" t="str">
        <f>"20230701"</f>
        <v>20230701</v>
      </c>
      <c r="E985" s="1" t="str">
        <f>"信阳师范大学"</f>
        <v>信阳师范大学</v>
      </c>
      <c r="F985" s="1" t="str">
        <f>"学科教学（英语）"</f>
        <v>学科教学（英语）</v>
      </c>
      <c r="G985" s="1" t="str">
        <f>"河南省南阳市南召县南河店镇老将庄村"</f>
        <v>河南省南阳市南召县南河店镇老将庄村</v>
      </c>
      <c r="H985" s="1" t="str">
        <f t="shared" si="492"/>
        <v>无</v>
      </c>
      <c r="I985" s="1" t="str">
        <f>"201309-201607 南召县第一高级中学就读
201609-201907 信阳师范学院外国语学院英语教育专业就读，全日制学历
201909-202107 新乡学院外国语学院英语专业就读，全日制学历
202109-202307 信阳师范大学外国语学院学科教学（英语）专业就读，全日制学历
2023年7月至今 河南省南阳市南召县南河店镇待业"</f>
        <v>201309-201607 南召县第一高级中学就读
201609-201907 信阳师范学院外国语学院英语教育专业就读，全日制学历
201909-202107 新乡学院外国语学院英语专业就读，全日制学历
202109-202307 信阳师范大学外国语学院学科教学（英语）专业就读，全日制学历
2023年7月至今 河南省南阳市南召县南河店镇待业</v>
      </c>
    </row>
    <row r="986" spans="1:9">
      <c r="A986" s="1" t="str">
        <f>"411381200402280614"</f>
        <v>411381200402280614</v>
      </c>
      <c r="B986" s="1" t="str">
        <f>"群众"</f>
        <v>群众</v>
      </c>
      <c r="C986" s="1" t="str">
        <f>"专科"</f>
        <v>专科</v>
      </c>
      <c r="D986" s="1" t="str">
        <f>"20070701"</f>
        <v>20070701</v>
      </c>
      <c r="E986" s="1" t="str">
        <f>"山东信息职业技术学院"</f>
        <v>山东信息职业技术学院</v>
      </c>
      <c r="F986" s="1" t="str">
        <f>"计算机应用技术"</f>
        <v>计算机应用技术</v>
      </c>
      <c r="G986" s="1" t="str">
        <f>"河南省南阳市邓州市古城街道办事处三贤路113号"</f>
        <v>河南省南阳市邓州市古城街道办事处三贤路113号</v>
      </c>
      <c r="H986" s="1" t="str">
        <f t="shared" si="492"/>
        <v>无</v>
      </c>
      <c r="I986" s="1" t="str">
        <f>"202209-202507山东信息职业技术学院软件与大数据系计算机应用技术专业就读，是全日制学历"</f>
        <v>202209-202507山东信息职业技术学院软件与大数据系计算机应用技术专业就读，是全日制学历</v>
      </c>
    </row>
    <row r="987" spans="1:9">
      <c r="A987" s="1" t="str">
        <f>"411323200205125128"</f>
        <v>411323200205125128</v>
      </c>
      <c r="B987" s="1" t="str">
        <f t="shared" si="493"/>
        <v>共青团员</v>
      </c>
      <c r="C987" s="1" t="str">
        <f t="shared" ref="C987:C992" si="494">"本科"</f>
        <v>本科</v>
      </c>
      <c r="D987" s="1" t="str">
        <f>"20250701"</f>
        <v>20250701</v>
      </c>
      <c r="E987" s="1" t="str">
        <f>"信阳师范大学"</f>
        <v>信阳师范大学</v>
      </c>
      <c r="F987" s="1" t="str">
        <f>"历史学"</f>
        <v>历史学</v>
      </c>
      <c r="G987" s="1" t="str">
        <f>"河南省南阳市西峡县"</f>
        <v>河南省南阳市西峡县</v>
      </c>
      <c r="H987" s="1" t="str">
        <f t="shared" si="492"/>
        <v>无</v>
      </c>
      <c r="I987" s="1" t="str">
        <f>"20210901—20250701在信阳师范大学历史文化学院历史学就读，是全日制学历"</f>
        <v>20210901—20250701在信阳师范大学历史文化学院历史学就读，是全日制学历</v>
      </c>
    </row>
    <row r="988" spans="1:9">
      <c r="A988" s="1" t="str">
        <f>"411321200204220761"</f>
        <v>411321200204220761</v>
      </c>
      <c r="B988" s="1" t="str">
        <f t="shared" si="493"/>
        <v>共青团员</v>
      </c>
      <c r="C988" s="1" t="str">
        <f t="shared" si="494"/>
        <v>本科</v>
      </c>
      <c r="D988" s="1" t="str">
        <f>"20240701"</f>
        <v>20240701</v>
      </c>
      <c r="E988" s="1" t="str">
        <f>"商丘工学院"</f>
        <v>商丘工学院</v>
      </c>
      <c r="F988" s="1" t="str">
        <f>"信息管理与信息系统"</f>
        <v>信息管理与信息系统</v>
      </c>
      <c r="G988" s="1" t="str">
        <f>"南召"</f>
        <v>南召</v>
      </c>
      <c r="H988" s="1" t="str">
        <f t="shared" si="492"/>
        <v>无</v>
      </c>
      <c r="I988" s="1" t="str">
        <f>"202010-202407 商丘工学院 就读 "</f>
        <v>202010-202407 商丘工学院 就读 </v>
      </c>
    </row>
    <row r="989" spans="1:9">
      <c r="A989" s="1" t="str">
        <f>"410621199809280097"</f>
        <v>410621199809280097</v>
      </c>
      <c r="B989" s="1" t="str">
        <f t="shared" si="493"/>
        <v>共青团员</v>
      </c>
      <c r="C989" s="1" t="str">
        <f t="shared" si="494"/>
        <v>本科</v>
      </c>
      <c r="D989" s="1" t="str">
        <f>"20210701"</f>
        <v>20210701</v>
      </c>
      <c r="E989" s="1" t="str">
        <f>"河南城建学院"</f>
        <v>河南城建学院</v>
      </c>
      <c r="F989" s="1" t="str">
        <f>"给排水科学与工程"</f>
        <v>给排水科学与工程</v>
      </c>
      <c r="G989" s="1" t="str">
        <f>"河南省鹤壁市淇滨区"</f>
        <v>河南省鹤壁市淇滨区</v>
      </c>
      <c r="H989" s="1" t="str">
        <f t="shared" si="492"/>
        <v>无</v>
      </c>
      <c r="I989" s="1" t="str">
        <f>"201709-202107  河南城建学院市政与环境工程学院给排水科学与工程专业就读(全日制)；202107-202208待业；202209-202211鹤壁市水务集团技术员；202212-202307待业；202308-202407鹤壁市维城高级中学语文老师；202408-202411待业；202412-202506安阳市公安局留置看护支队辅警；202507-至今待业"</f>
        <v>201709-202107  河南城建学院市政与环境工程学院给排水科学与工程专业就读(全日制)；202107-202208待业；202209-202211鹤壁市水务集团技术员；202212-202307待业；202308-202407鹤壁市维城高级中学语文老师；202408-202411待业；202412-202506安阳市公安局留置看护支队辅警；202507-至今待业</v>
      </c>
    </row>
    <row r="990" spans="1:9">
      <c r="A990" s="1" t="str">
        <f>"410802199801060016"</f>
        <v>410802199801060016</v>
      </c>
      <c r="B990" s="1" t="str">
        <f>"中共党员"</f>
        <v>中共党员</v>
      </c>
      <c r="C990" s="1" t="str">
        <f t="shared" si="494"/>
        <v>本科</v>
      </c>
      <c r="D990" s="1" t="str">
        <f>"2021-06-22"</f>
        <v>2021-06-22</v>
      </c>
      <c r="E990" s="1" t="str">
        <f>"西安工业大学北方信息工程学院"</f>
        <v>西安工业大学北方信息工程学院</v>
      </c>
      <c r="F990" s="1" t="str">
        <f>"物联网工程"</f>
        <v>物联网工程</v>
      </c>
      <c r="G990" s="1" t="str">
        <f>"河南省焦作市解放区新华南街织物总厂楼2单元11号"</f>
        <v>河南省焦作市解放区新华南街织物总厂楼2单元11号</v>
      </c>
      <c r="H990" s="1" t="str">
        <f t="shared" si="492"/>
        <v>无</v>
      </c>
      <c r="I990" s="1" t="str">
        <f>"201709-202106 西安工业大学北方信息工程学元计算机系物联网工程专业就读 是全日制学历
202106-至今 在焦作市解放区新华南街织物总厂楼待业"</f>
        <v>201709-202106 西安工业大学北方信息工程学元计算机系物联网工程专业就读 是全日制学历
202106-至今 在焦作市解放区新华南街织物总厂楼待业</v>
      </c>
    </row>
    <row r="991" spans="1:9">
      <c r="A991" s="1" t="str">
        <f>"411327200203200089"</f>
        <v>411327200203200089</v>
      </c>
      <c r="B991" s="1" t="str">
        <f>"中共党员"</f>
        <v>中共党员</v>
      </c>
      <c r="C991" s="1" t="str">
        <f t="shared" si="494"/>
        <v>本科</v>
      </c>
      <c r="D991" s="1" t="str">
        <f>"20230701"</f>
        <v>20230701</v>
      </c>
      <c r="E991" s="1" t="str">
        <f>"南阳师范学院"</f>
        <v>南阳师范学院</v>
      </c>
      <c r="F991" s="1" t="str">
        <f>"计算机科学与技术"</f>
        <v>计算机科学与技术</v>
      </c>
      <c r="G991" s="1" t="str">
        <f>"河南省南阳市内乡县碧桂园天麓府"</f>
        <v>河南省南阳市内乡县碧桂园天麓府</v>
      </c>
      <c r="H991" s="1" t="str">
        <f t="shared" si="492"/>
        <v>无</v>
      </c>
      <c r="I991" s="1" t="str">
        <f>"201909-202307  南阳师范学院 就读
202307-至今  待业"</f>
        <v>201909-202307  南阳师范学院 就读
202307-至今  待业</v>
      </c>
    </row>
    <row r="992" spans="1:9">
      <c r="A992" s="1" t="str">
        <f>"411327199611040648"</f>
        <v>411327199611040648</v>
      </c>
      <c r="B992" s="1" t="str">
        <f>"群众"</f>
        <v>群众</v>
      </c>
      <c r="C992" s="1" t="str">
        <f t="shared" si="494"/>
        <v>本科</v>
      </c>
      <c r="D992" s="1" t="str">
        <f>"20240701"</f>
        <v>20240701</v>
      </c>
      <c r="E992" s="1" t="str">
        <f>"河南师范学院"</f>
        <v>河南师范学院</v>
      </c>
      <c r="F992" s="1" t="str">
        <f>"小学教育"</f>
        <v>小学教育</v>
      </c>
      <c r="G992" s="1" t="str">
        <f>"河南省南阳市"</f>
        <v>河南省南阳市</v>
      </c>
      <c r="H992" s="1" t="str">
        <f t="shared" si="492"/>
        <v>无</v>
      </c>
      <c r="I992" s="1" t="str">
        <f>"201609-201907在平顶山工业职业技术学院经济管理系市场营销专业就读，全日制学历。
201909-202207在马山河西学校代课。
202209-202407在河南师范大学教育系小学教育专业就读，非全日制学历。
2023年3月-2024年11月初在县城酒店管理。
2024年11月-至今因政府购岗在单位上班"</f>
        <v>201609-201907在平顶山工业职业技术学院经济管理系市场营销专业就读，全日制学历。
201909-202207在马山河西学校代课。
202209-202407在河南师范大学教育系小学教育专业就读，非全日制学历。
2023年3月-2024年11月初在县城酒店管理。
2024年11月-至今因政府购岗在单位上班</v>
      </c>
    </row>
    <row r="993" spans="1:9">
      <c r="A993" s="1" t="str">
        <f>"411330200312263140"</f>
        <v>411330200312263140</v>
      </c>
      <c r="B993" s="1" t="str">
        <f t="shared" ref="B993:B997" si="495">"共青团员"</f>
        <v>共青团员</v>
      </c>
      <c r="C993" s="1" t="str">
        <f t="shared" ref="C993:C996" si="496">"专科"</f>
        <v>专科</v>
      </c>
      <c r="D993" s="1" t="str">
        <f>"20250701"</f>
        <v>20250701</v>
      </c>
      <c r="E993" s="1" t="str">
        <f>"郑州城建职业学院"</f>
        <v>郑州城建职业学院</v>
      </c>
      <c r="F993" s="1" t="str">
        <f>"学前教育"</f>
        <v>学前教育</v>
      </c>
      <c r="G993" s="1" t="str">
        <f>"河南省南阳市西峡县重阳镇"</f>
        <v>河南省南阳市西峡县重阳镇</v>
      </c>
      <c r="H993" s="1" t="str">
        <f t="shared" si="492"/>
        <v>无</v>
      </c>
      <c r="I993" s="1" t="str">
        <f>"本人与202209-202506进入郑州城建职业学院，就读于教育与艺术学院，学前教育（师范）专业，为全日制"</f>
        <v>本人与202209-202506进入郑州城建职业学院，就读于教育与艺术学院，学前教育（师范）专业，为全日制</v>
      </c>
    </row>
    <row r="994" spans="1:9">
      <c r="A994" s="1" t="str">
        <f>"411327200305121525"</f>
        <v>411327200305121525</v>
      </c>
      <c r="B994" s="1" t="str">
        <f>"群众"</f>
        <v>群众</v>
      </c>
      <c r="C994" s="1" t="str">
        <f t="shared" si="496"/>
        <v>专科</v>
      </c>
      <c r="D994" s="1" t="str">
        <f>"2024年7月1日"</f>
        <v>2024年7月1日</v>
      </c>
      <c r="E994" s="1" t="str">
        <f>"郑州工业安全职业学院"</f>
        <v>郑州工业安全职业学院</v>
      </c>
      <c r="F994" s="1" t="str">
        <f>"动漫设计"</f>
        <v>动漫设计</v>
      </c>
      <c r="G994" s="1" t="str">
        <f>"河南省南阳市内乡县湍东镇张岗村张岗北23号"</f>
        <v>河南省南阳市内乡县湍东镇张岗村张岗北23号</v>
      </c>
      <c r="H994" s="1" t="str">
        <f>"职业技能等级证书"</f>
        <v>职业技能等级证书</v>
      </c>
      <c r="I994" s="1" t="str">
        <f>"2021年9月至2024年7月在郑州工业安全职业学院动漫设计专业三年制专科学习"</f>
        <v>2021年9月至2024年7月在郑州工业安全职业学院动漫设计专业三年制专科学习</v>
      </c>
    </row>
    <row r="995" spans="1:9">
      <c r="A995" s="1" t="str">
        <f>"411325200107130065"</f>
        <v>411325200107130065</v>
      </c>
      <c r="B995" s="1" t="str">
        <f t="shared" si="495"/>
        <v>共青团员</v>
      </c>
      <c r="C995" s="1" t="str">
        <f t="shared" ref="C995:C998" si="497">"本科"</f>
        <v>本科</v>
      </c>
      <c r="D995" s="1" t="str">
        <f>"20240701"</f>
        <v>20240701</v>
      </c>
      <c r="E995" s="1" t="str">
        <f>"河南科技学院"</f>
        <v>河南科技学院</v>
      </c>
      <c r="F995" s="1" t="str">
        <f>"园林"</f>
        <v>园林</v>
      </c>
      <c r="G995" s="1" t="str">
        <f>"河南省南阳市内乡县"</f>
        <v>河南省南阳市内乡县</v>
      </c>
      <c r="H995" s="1" t="str">
        <f t="shared" ref="H995:H998" si="498">"无"</f>
        <v>无</v>
      </c>
      <c r="I995" s="1" t="str">
        <f>"201909-202206 河南农业职业学院就读
202209-202407 河南科技学院就读
202407-至今 待业"</f>
        <v>201909-202206 河南农业职业学院就读
202209-202407 河南科技学院就读
202407-至今 待业</v>
      </c>
    </row>
    <row r="996" spans="1:9">
      <c r="A996" s="1" t="str">
        <f>"411327200309280099"</f>
        <v>411327200309280099</v>
      </c>
      <c r="B996" s="1" t="str">
        <f>"中共党员"</f>
        <v>中共党员</v>
      </c>
      <c r="C996" s="1" t="str">
        <f t="shared" si="496"/>
        <v>专科</v>
      </c>
      <c r="D996" s="1" t="str">
        <f>"20250701"</f>
        <v>20250701</v>
      </c>
      <c r="E996" s="1" t="str">
        <f>"河南机电职业学院"</f>
        <v>河南机电职业学院</v>
      </c>
      <c r="F996" s="1" t="str">
        <f>"工业机器人技术"</f>
        <v>工业机器人技术</v>
      </c>
      <c r="G996" s="1" t="str">
        <f>"内乡县"</f>
        <v>内乡县</v>
      </c>
      <c r="H996" s="1" t="str">
        <f>"普通话资格证"</f>
        <v>普通话资格证</v>
      </c>
      <c r="I996" s="1" t="str">
        <f>"202209-202507 河南机电职业学院 智能工程学院 工业机器人技术 全日制就读"</f>
        <v>202209-202507 河南机电职业学院 智能工程学院 工业机器人技术 全日制就读</v>
      </c>
    </row>
    <row r="997" spans="1:9">
      <c r="A997" s="1" t="str">
        <f>"411327199902120023"</f>
        <v>411327199902120023</v>
      </c>
      <c r="B997" s="1" t="str">
        <f t="shared" si="495"/>
        <v>共青团员</v>
      </c>
      <c r="C997" s="1" t="str">
        <f t="shared" si="497"/>
        <v>本科</v>
      </c>
      <c r="D997" s="1" t="str">
        <f>"20220701"</f>
        <v>20220701</v>
      </c>
      <c r="E997" s="1" t="str">
        <f>"安阳学院"</f>
        <v>安阳学院</v>
      </c>
      <c r="F997" s="1" t="str">
        <f>"汉语言文学"</f>
        <v>汉语言文学</v>
      </c>
      <c r="G997" s="1" t="str">
        <f>"河南省南阳市内乡县邮政小区"</f>
        <v>河南省南阳市内乡县邮政小区</v>
      </c>
      <c r="H997" s="1" t="str">
        <f t="shared" si="498"/>
        <v>无</v>
      </c>
      <c r="I997" s="1" t="str">
        <f>"201809-202207 安阳学院汉语言文学专业就读 是全日制学历"</f>
        <v>201809-202207 安阳学院汉语言文学专业就读 是全日制学历</v>
      </c>
    </row>
    <row r="998" spans="1:9">
      <c r="A998" s="1" t="str">
        <f>"411327200203010031"</f>
        <v>411327200203010031</v>
      </c>
      <c r="B998" s="1" t="str">
        <f t="shared" ref="B998:B1003" si="499">"群众"</f>
        <v>群众</v>
      </c>
      <c r="C998" s="1" t="str">
        <f t="shared" si="497"/>
        <v>本科</v>
      </c>
      <c r="D998" s="1" t="str">
        <f>"2024-06-20"</f>
        <v>2024-06-20</v>
      </c>
      <c r="E998" s="1" t="str">
        <f>"郑州科技学院"</f>
        <v>郑州科技学院</v>
      </c>
      <c r="F998" s="1" t="str">
        <f>"动画"</f>
        <v>动画</v>
      </c>
      <c r="G998" s="1" t="str">
        <f>"河南省内乡县湍东镇三桥"</f>
        <v>河南省内乡县湍东镇三桥</v>
      </c>
      <c r="H998" s="1" t="str">
        <f t="shared" si="498"/>
        <v>无</v>
      </c>
      <c r="I998" s="1" t="str">
        <f>"202009-202406 郑州科技学院 艺术学院 动画 就读。
202406-至今 待业。"</f>
        <v>202009-202406 郑州科技学院 艺术学院 动画 就读。
202406-至今 待业。</v>
      </c>
    </row>
    <row r="999" spans="1:9">
      <c r="A999" s="1" t="str">
        <f>"411323199605200523"</f>
        <v>411323199605200523</v>
      </c>
      <c r="B999" s="1" t="str">
        <f>"中共党员"</f>
        <v>中共党员</v>
      </c>
      <c r="C999" s="1" t="str">
        <f>"硕士研究生"</f>
        <v>硕士研究生</v>
      </c>
      <c r="D999" s="1" t="str">
        <f>"20230701"</f>
        <v>20230701</v>
      </c>
      <c r="E999" s="1" t="str">
        <f>"信阳师范大学"</f>
        <v>信阳师范大学</v>
      </c>
      <c r="F999" s="1" t="str">
        <f>"法律（非法学）"</f>
        <v>法律（非法学）</v>
      </c>
      <c r="G999" s="1" t="str">
        <f>"河南省淅川县商圣街道"</f>
        <v>河南省淅川县商圣街道</v>
      </c>
      <c r="H999" s="1" t="str">
        <f>"法律职业资格证书（A）"</f>
        <v>法律职业资格证书（A）</v>
      </c>
      <c r="I999" s="1" t="str">
        <f>"201409-201807河南工程学院外语学院英语专业就读，全日制本科；
201808-202008河南省淅川县待业；
202009-202307信阳师范大学法学与社会学学院法律（非法学）专业就读，全日制硕士研究生；
202308-202507河南框正律师事务所工作。"</f>
        <v>201409-201807河南工程学院外语学院英语专业就读，全日制本科；
201808-202008河南省淅川县待业；
202009-202307信阳师范大学法学与社会学学院法律（非法学）专业就读，全日制硕士研究生；
202308-202507河南框正律师事务所工作。</v>
      </c>
    </row>
    <row r="1000" spans="1:9">
      <c r="A1000" s="1" t="str">
        <f>"411325200303280343"</f>
        <v>411325200303280343</v>
      </c>
      <c r="B1000" s="1" t="str">
        <f t="shared" ref="B1000:B1004" si="500">"共青团员"</f>
        <v>共青团员</v>
      </c>
      <c r="C1000" s="1" t="str">
        <f t="shared" ref="C1000:C1006" si="501">"本科"</f>
        <v>本科</v>
      </c>
      <c r="D1000" s="1" t="str">
        <f>"20250606"</f>
        <v>20250606</v>
      </c>
      <c r="E1000" s="1" t="str">
        <f>"河南开封科技传媒学院"</f>
        <v>河南开封科技传媒学院</v>
      </c>
      <c r="F1000" s="1" t="str">
        <f>"会计学"</f>
        <v>会计学</v>
      </c>
      <c r="G1000" s="1" t="str">
        <f>"河南省南阳市卧龙区光武街道天工兰乔圣菲5号楼2单元1903"</f>
        <v>河南省南阳市卧龙区光武街道天工兰乔圣菲5号楼2单元1903</v>
      </c>
      <c r="H1000" s="1" t="str">
        <f>"初级会计师资格证书"</f>
        <v>初级会计师资格证书</v>
      </c>
      <c r="I1000" s="1" t="str">
        <f>"202109-202506 河南开封科技传媒学院就读。全日制学历"</f>
        <v>202109-202506 河南开封科技传媒学院就读。全日制学历</v>
      </c>
    </row>
    <row r="1001" spans="1:9">
      <c r="A1001" s="1" t="str">
        <f>"411327200402223320"</f>
        <v>411327200402223320</v>
      </c>
      <c r="B1001" s="1" t="str">
        <f t="shared" si="499"/>
        <v>群众</v>
      </c>
      <c r="C1001" s="1" t="str">
        <f>"专科"</f>
        <v>专科</v>
      </c>
      <c r="D1001" s="1" t="str">
        <f>"20250615"</f>
        <v>20250615</v>
      </c>
      <c r="E1001" s="1" t="str">
        <f>"南阳农业职业学院"</f>
        <v>南阳农业职业学院</v>
      </c>
      <c r="F1001" s="1" t="str">
        <f>"大数据与会计"</f>
        <v>大数据与会计</v>
      </c>
      <c r="G1001" s="1" t="str">
        <f>"河南省南阳市内乡县七里坪乡靳河村薛庄组9号"</f>
        <v>河南省南阳市内乡县七里坪乡靳河村薛庄组9号</v>
      </c>
      <c r="H1001" s="1" t="str">
        <f t="shared" ref="H1001:H1003" si="502">"无"</f>
        <v>无</v>
      </c>
      <c r="I1001" s="1" t="str">
        <f>"202209-202506在南阳农业职业学校商学院大数据与会计专业就读是全日制学历。"</f>
        <v>202209-202506在南阳农业职业学校商学院大数据与会计专业就读是全日制学历。</v>
      </c>
    </row>
    <row r="1002" spans="1:9">
      <c r="A1002" s="1" t="str">
        <f>"411327200003200076"</f>
        <v>411327200003200076</v>
      </c>
      <c r="B1002" s="1" t="str">
        <f t="shared" si="500"/>
        <v>共青团员</v>
      </c>
      <c r="C1002" s="1" t="str">
        <f>"专科"</f>
        <v>专科</v>
      </c>
      <c r="D1002" s="1" t="str">
        <f>"20230607"</f>
        <v>20230607</v>
      </c>
      <c r="E1002" s="1" t="str">
        <f>"南阳农业职业学院"</f>
        <v>南阳农业职业学院</v>
      </c>
      <c r="F1002" s="1" t="str">
        <f>"艺术设计"</f>
        <v>艺术设计</v>
      </c>
      <c r="G1002" s="1" t="str">
        <f>"河南省南阳市内乡县城关镇武装部家属楼"</f>
        <v>河南省南阳市内乡县城关镇武装部家属楼</v>
      </c>
      <c r="H1002" s="1" t="str">
        <f t="shared" si="502"/>
        <v>无</v>
      </c>
      <c r="I1002" s="1" t="str">
        <f>"201809-201909 南阳农业职业学院 就读
201909-202109  武警北京总队机动第一支队 服役
202109-202306   南阳农业职业学院 就读
2023-至今  未就业"</f>
        <v>201809-201909 南阳农业职业学院 就读
201909-202109  武警北京总队机动第一支队 服役
202109-202306   南阳农业职业学院 就读
2023-至今  未就业</v>
      </c>
    </row>
    <row r="1003" spans="1:9">
      <c r="A1003" s="1" t="str">
        <f>"41132720000506002X"</f>
        <v>41132720000506002X</v>
      </c>
      <c r="B1003" s="1" t="str">
        <f t="shared" si="499"/>
        <v>群众</v>
      </c>
      <c r="C1003" s="1" t="str">
        <f t="shared" si="501"/>
        <v>本科</v>
      </c>
      <c r="D1003" s="1" t="str">
        <f>"20220701"</f>
        <v>20220701</v>
      </c>
      <c r="E1003" s="1" t="str">
        <f>"河南科技大学"</f>
        <v>河南科技大学</v>
      </c>
      <c r="F1003" s="1" t="str">
        <f>"园林"</f>
        <v>园林</v>
      </c>
      <c r="G1003" s="1" t="str">
        <f>"河南省内乡县城关镇清真寺居委会对面"</f>
        <v>河南省内乡县城关镇清真寺居委会对面</v>
      </c>
      <c r="H1003" s="1" t="str">
        <f t="shared" si="502"/>
        <v>无</v>
      </c>
      <c r="I1003" s="1" t="str">
        <f>"20180901-20220701 河南科技大学 园艺与植物保护学院园林专业
20220701-20230601 在家（河南省内乡县）待业
20230601-20241101 内乡菊潭学校 公众号运营
20241101-至今  在家（河南省内乡县）待业"</f>
        <v>20180901-20220701 河南科技大学 园艺与植物保护学院园林专业
20220701-20230601 在家（河南省内乡县）待业
20230601-20241101 内乡菊潭学校 公众号运营
20241101-至今  在家（河南省内乡县）待业</v>
      </c>
    </row>
    <row r="1004" spans="1:9">
      <c r="A1004" s="1" t="str">
        <f>"410326200211160067"</f>
        <v>410326200211160067</v>
      </c>
      <c r="B1004" s="1" t="str">
        <f t="shared" si="500"/>
        <v>共青团员</v>
      </c>
      <c r="C1004" s="1" t="str">
        <f t="shared" si="501"/>
        <v>本科</v>
      </c>
      <c r="D1004" s="1" t="str">
        <f>"20250606"</f>
        <v>20250606</v>
      </c>
      <c r="E1004" s="1" t="str">
        <f>"南阳师范学院"</f>
        <v>南阳师范学院</v>
      </c>
      <c r="F1004" s="1" t="str">
        <f>"数据科学与大数据技术"</f>
        <v>数据科学与大数据技术</v>
      </c>
      <c r="G1004" s="1" t="str">
        <f>"河南省洛阳市汝阳县"</f>
        <v>河南省洛阳市汝阳县</v>
      </c>
      <c r="H1004" s="1" t="str">
        <f>"计算机程序设计员三级"</f>
        <v>计算机程序设计员三级</v>
      </c>
      <c r="I1004" s="1" t="str">
        <f>"20210901_20250606 在南阳师范学院人工智能与软件工程学院就读数据科学与大数据技术专业，是全日制学历"</f>
        <v>20210901_20250606 在南阳师范学院人工智能与软件工程学院就读数据科学与大数据技术专业，是全日制学历</v>
      </c>
    </row>
    <row r="1005" spans="1:9">
      <c r="A1005" s="1" t="str">
        <f>"411330199608081519"</f>
        <v>411330199608081519</v>
      </c>
      <c r="B1005" s="1" t="str">
        <f t="shared" ref="B1005:B1008" si="503">"群众"</f>
        <v>群众</v>
      </c>
      <c r="C1005" s="1" t="str">
        <f t="shared" si="501"/>
        <v>本科</v>
      </c>
      <c r="D1005" s="1" t="str">
        <f>"20190607"</f>
        <v>20190607</v>
      </c>
      <c r="E1005" s="1" t="str">
        <f>"郑州商学院"</f>
        <v>郑州商学院</v>
      </c>
      <c r="F1005" s="1" t="str">
        <f>"环境设计"</f>
        <v>环境设计</v>
      </c>
      <c r="G1005" s="1" t="str">
        <f>"河南省南阳市西峡县白羽街道莲花南路"</f>
        <v>河南省南阳市西峡县白羽街道莲花南路</v>
      </c>
      <c r="H1005" s="1" t="str">
        <f t="shared" ref="H1005:H1007" si="504">"无"</f>
        <v>无</v>
      </c>
      <c r="I1005" s="1" t="str">
        <f>"20150901-20190607   郑州商学院艺术学院艺术系环境设计专业就读
20190607-20230401  待业
20230401-至今   桐柏县先进制造业开发区管委会"</f>
        <v>20150901-20190607   郑州商学院艺术学院艺术系环境设计专业就读
20190607-20230401  待业
20230401-至今   桐柏县先进制造业开发区管委会</v>
      </c>
    </row>
    <row r="1006" spans="1:9">
      <c r="A1006" s="1" t="str">
        <f>"41132720010206003X"</f>
        <v>41132720010206003X</v>
      </c>
      <c r="B1006" s="1" t="str">
        <f t="shared" ref="B1006:B1013" si="505">"共青团员"</f>
        <v>共青团员</v>
      </c>
      <c r="C1006" s="1" t="str">
        <f t="shared" si="501"/>
        <v>本科</v>
      </c>
      <c r="D1006" s="1" t="str">
        <f>"20240630"</f>
        <v>20240630</v>
      </c>
      <c r="E1006" s="1" t="str">
        <f>"郑州西亚斯学院"</f>
        <v>郑州西亚斯学院</v>
      </c>
      <c r="F1006" s="1" t="str">
        <f>"电子信息工程"</f>
        <v>电子信息工程</v>
      </c>
      <c r="G1006" s="1" t="str">
        <f>"河南省南阳市内乡县菊潭大街北十七巷37号"</f>
        <v>河南省南阳市内乡县菊潭大街北十七巷37号</v>
      </c>
      <c r="H1006" s="1" t="str">
        <f t="shared" si="504"/>
        <v>无</v>
      </c>
      <c r="I1006" s="1" t="str">
        <f>"202009-202406郑州西亚斯学院电信与智能制造学院电子信息工程专业就读是全日制学历202407-202507在家自学"</f>
        <v>202009-202406郑州西亚斯学院电信与智能制造学院电子信息工程专业就读是全日制学历202407-202507在家自学</v>
      </c>
    </row>
    <row r="1007" spans="1:9">
      <c r="A1007" s="1" t="str">
        <f>"411326199810130033"</f>
        <v>411326199810130033</v>
      </c>
      <c r="B1007" s="1" t="str">
        <f t="shared" si="503"/>
        <v>群众</v>
      </c>
      <c r="C1007" s="1" t="str">
        <f>"专科"</f>
        <v>专科</v>
      </c>
      <c r="D1007" s="1" t="str">
        <f>"20190701"</f>
        <v>20190701</v>
      </c>
      <c r="E1007" s="1" t="str">
        <f>"河南科技学院"</f>
        <v>河南科技学院</v>
      </c>
      <c r="F1007" s="1" t="str">
        <f>"市场营销"</f>
        <v>市场营销</v>
      </c>
      <c r="G1007" s="1" t="str">
        <f>"河南省南阳市南召县"</f>
        <v>河南省南阳市南召县</v>
      </c>
      <c r="H1007" s="1" t="str">
        <f t="shared" si="504"/>
        <v>无</v>
      </c>
      <c r="I1007" s="1" t="str">
        <f>"2016.09-2019.07河南科技学院 市场营销专业 学生
2019.09-2021.09中国人民解放军92635部队 服兵役
2021.09-2022.05待业
2022.05-至今南阳市宛发投资有限公司就业"</f>
        <v>2016.09-2019.07河南科技学院 市场营销专业 学生
2019.09-2021.09中国人民解放军92635部队 服兵役
2021.09-2022.05待业
2022.05-至今南阳市宛发投资有限公司就业</v>
      </c>
    </row>
    <row r="1008" spans="1:9">
      <c r="A1008" s="1" t="str">
        <f>"411324200303181568"</f>
        <v>411324200303181568</v>
      </c>
      <c r="B1008" s="1" t="str">
        <f t="shared" si="503"/>
        <v>群众</v>
      </c>
      <c r="C1008" s="1" t="str">
        <f>"专科"</f>
        <v>专科</v>
      </c>
      <c r="D1008" s="1" t="str">
        <f>"20250620"</f>
        <v>20250620</v>
      </c>
      <c r="E1008" s="1" t="str">
        <f>"河南财政金融学院"</f>
        <v>河南财政金融学院</v>
      </c>
      <c r="F1008" s="1" t="str">
        <f>"大数据与会计"</f>
        <v>大数据与会计</v>
      </c>
      <c r="G1008" s="1" t="str">
        <f>"河南省南阳市"</f>
        <v>河南省南阳市</v>
      </c>
      <c r="H1008" s="1" t="str">
        <f>"初级会计证"</f>
        <v>初级会计证</v>
      </c>
      <c r="I1008" s="1" t="str">
        <f>"202209-202506河南财政金融学院大数据与会计就读，全日制专科学历20250620待业至今"</f>
        <v>202209-202506河南财政金融学院大数据与会计就读，全日制专科学历20250620待业至今</v>
      </c>
    </row>
    <row r="1009" spans="1:9">
      <c r="A1009" s="1" t="str">
        <f>"411327200202073161"</f>
        <v>411327200202073161</v>
      </c>
      <c r="B1009" s="1" t="str">
        <f t="shared" si="505"/>
        <v>共青团员</v>
      </c>
      <c r="C1009" s="1" t="str">
        <f t="shared" ref="C1009:C1013" si="506">"本科"</f>
        <v>本科</v>
      </c>
      <c r="D1009" s="1" t="str">
        <f>"20250607"</f>
        <v>20250607</v>
      </c>
      <c r="E1009" s="1" t="str">
        <f>"郑州航空工业管理学院"</f>
        <v>郑州航空工业管理学院</v>
      </c>
      <c r="F1009" s="1" t="str">
        <f>"金融学"</f>
        <v>金融学</v>
      </c>
      <c r="G1009" s="1" t="str">
        <f>"河南省南阳市内乡县状元府"</f>
        <v>河南省南阳市内乡县状元府</v>
      </c>
      <c r="H1009" s="1" t="str">
        <f t="shared" ref="H1009:H1011" si="507">"无"</f>
        <v>无</v>
      </c>
      <c r="I1009" s="1" t="str">
        <f>"202109-202506 郑州航空工业管理学院经济学院金融专业"</f>
        <v>202109-202506 郑州航空工业管理学院经济学院金融专业</v>
      </c>
    </row>
    <row r="1010" spans="1:9">
      <c r="A1010" s="1" t="str">
        <f>"411327199711124216"</f>
        <v>411327199711124216</v>
      </c>
      <c r="B1010" s="1" t="str">
        <f t="shared" ref="B1010:B1015" si="508">"群众"</f>
        <v>群众</v>
      </c>
      <c r="C1010" s="1" t="str">
        <f t="shared" si="506"/>
        <v>本科</v>
      </c>
      <c r="D1010" s="1" t="str">
        <f>"20210701"</f>
        <v>20210701</v>
      </c>
      <c r="E1010" s="1" t="str">
        <f>"黄河交通学院"</f>
        <v>黄河交通学院</v>
      </c>
      <c r="F1010" s="1" t="str">
        <f>"汽车服务工程"</f>
        <v>汽车服务工程</v>
      </c>
      <c r="G1010" s="1" t="str">
        <f>"河南省南阳市内乡县菊潭大街广源小区"</f>
        <v>河南省南阳市内乡县菊潭大街广源小区</v>
      </c>
      <c r="H1010" s="1" t="str">
        <f t="shared" si="507"/>
        <v>无</v>
      </c>
      <c r="I1010" s="1" t="str">
        <f>"201609-201906在黄河交通学院汽车工程院系汽车检测与维修专业就读，全日制学历。
201909-202106在黄河交通学院汽车工程院系汽车服务工程专业就读，全日制学历。"</f>
        <v>201609-201906在黄河交通学院汽车工程院系汽车检测与维修专业就读，全日制学历。
201909-202106在黄河交通学院汽车工程院系汽车服务工程专业就读，全日制学历。</v>
      </c>
    </row>
    <row r="1011" spans="1:9">
      <c r="A1011" s="1" t="str">
        <f>"140522199806055025"</f>
        <v>140522199806055025</v>
      </c>
      <c r="B1011" s="1" t="str">
        <f t="shared" si="505"/>
        <v>共青团员</v>
      </c>
      <c r="C1011" s="1" t="str">
        <f t="shared" si="506"/>
        <v>本科</v>
      </c>
      <c r="D1011" s="1" t="str">
        <f>"20200701"</f>
        <v>20200701</v>
      </c>
      <c r="E1011" s="1" t="str">
        <f>"河南理工大学"</f>
        <v>河南理工大学</v>
      </c>
      <c r="F1011" s="1" t="str">
        <f>"视觉传达设计"</f>
        <v>视觉传达设计</v>
      </c>
      <c r="G1011" s="1" t="str">
        <f>"山西省晋城市阳城县董封乡董封村新小区3号"</f>
        <v>山西省晋城市阳城县董封乡董封村新小区3号</v>
      </c>
      <c r="H1011" s="1" t="str">
        <f t="shared" si="507"/>
        <v>无</v>
      </c>
      <c r="I1011" s="1" t="str">
        <f>"201609-202007在河南理工大学建筑与艺术设计学院视觉传达设计专业就读，全日制本科；202007-202011在山西省晋城市阳城县待业；202011-202104在阳城县龙翔驾校工作；202104-202411在阳城县董封乡人民政府大学生公益性岗位工作；202411至今在山西省晋城市阳城县待业。"</f>
        <v>201609-202007在河南理工大学建筑与艺术设计学院视觉传达设计专业就读，全日制本科；202007-202011在山西省晋城市阳城县待业；202011-202104在阳城县龙翔驾校工作；202104-202411在阳城县董封乡人民政府大学生公益性岗位工作；202411至今在山西省晋城市阳城县待业。</v>
      </c>
    </row>
    <row r="1012" spans="1:9">
      <c r="A1012" s="1" t="str">
        <f>"411327200309273948"</f>
        <v>411327200309273948</v>
      </c>
      <c r="B1012" s="1" t="str">
        <f t="shared" si="505"/>
        <v>共青团员</v>
      </c>
      <c r="C1012" s="1" t="str">
        <f t="shared" si="506"/>
        <v>本科</v>
      </c>
      <c r="D1012" s="1" t="str">
        <f>"2025-07-01"</f>
        <v>2025-07-01</v>
      </c>
      <c r="E1012" s="1" t="str">
        <f>"海南师范大学"</f>
        <v>海南师范大学</v>
      </c>
      <c r="F1012" s="1" t="str">
        <f>"会计学"</f>
        <v>会计学</v>
      </c>
      <c r="G1012" s="1" t="str">
        <f>"河南省南阳市内乡县"</f>
        <v>河南省南阳市内乡县</v>
      </c>
      <c r="H1012" s="1" t="str">
        <f>"会计专业技术资格证"</f>
        <v>会计专业技术资格证</v>
      </c>
      <c r="I1012" s="1" t="str">
        <f>"202109-202507 海南师范大学经济与管理学院会计专业 就读"</f>
        <v>202109-202507 海南师范大学经济与管理学院会计专业 就读</v>
      </c>
    </row>
    <row r="1013" spans="1:9">
      <c r="A1013" s="1" t="str">
        <f>"410923200112033023"</f>
        <v>410923200112033023</v>
      </c>
      <c r="B1013" s="1" t="str">
        <f t="shared" si="505"/>
        <v>共青团员</v>
      </c>
      <c r="C1013" s="1" t="str">
        <f t="shared" si="506"/>
        <v>本科</v>
      </c>
      <c r="D1013" s="1" t="str">
        <f>"20240701"</f>
        <v>20240701</v>
      </c>
      <c r="E1013" s="1" t="str">
        <f>"郑州科技学院"</f>
        <v>郑州科技学院</v>
      </c>
      <c r="F1013" s="1" t="str">
        <f>"视觉传达设计"</f>
        <v>视觉传达设计</v>
      </c>
      <c r="G1013" s="1" t="str">
        <f>"濮阳市南乐县正大盛苑"</f>
        <v>濮阳市南乐县正大盛苑</v>
      </c>
      <c r="H1013" s="1" t="str">
        <f t="shared" ref="H1013:H1040" si="509">"无"</f>
        <v>无</v>
      </c>
      <c r="I1013" s="1" t="str">
        <f>"202009-202407郑州科技学院 视觉传达设计专业  全日制
201709-202007南乐县职业中专
2014-201706南乐县实验中学
南乐县第四实验小学
"</f>
        <v>202009-202407郑州科技学院 视觉传达设计专业  全日制
201709-202007南乐县职业中专
2014-201706南乐县实验中学
南乐县第四实验小学
</v>
      </c>
    </row>
    <row r="1014" spans="1:9">
      <c r="A1014" s="1" t="str">
        <f>"411327199712170329"</f>
        <v>411327199712170329</v>
      </c>
      <c r="B1014" s="1" t="str">
        <f t="shared" si="508"/>
        <v>群众</v>
      </c>
      <c r="C1014" s="1" t="str">
        <f t="shared" ref="C1014:C1018" si="510">"专科"</f>
        <v>专科</v>
      </c>
      <c r="D1014" s="1" t="str">
        <f>"20240630"</f>
        <v>20240630</v>
      </c>
      <c r="E1014" s="1" t="str">
        <f>"安徽城市管理职业学院"</f>
        <v>安徽城市管理职业学院</v>
      </c>
      <c r="F1014" s="1" t="str">
        <f>"学前教育"</f>
        <v>学前教育</v>
      </c>
      <c r="G1014" s="1" t="str">
        <f>"河南南阳内乡"</f>
        <v>河南南阳内乡</v>
      </c>
      <c r="H1014" s="1" t="str">
        <f t="shared" si="509"/>
        <v>无</v>
      </c>
      <c r="I1014" s="1" t="str">
        <f>"2021年11月13日至2024年6月30日在安徽城市管理职业学院学前教育专业就读，学历为全日制；2024年7月5日至2025年7月1日在广州百世供应链有限公司任数据分析师"</f>
        <v>2021年11月13日至2024年6月30日在安徽城市管理职业学院学前教育专业就读，学历为全日制；2024年7月5日至2025年7月1日在广州百世供应链有限公司任数据分析师</v>
      </c>
    </row>
    <row r="1015" spans="1:9">
      <c r="A1015" s="1" t="str">
        <f>"411327199912130014"</f>
        <v>411327199912130014</v>
      </c>
      <c r="B1015" s="1" t="str">
        <f t="shared" si="508"/>
        <v>群众</v>
      </c>
      <c r="C1015" s="1" t="str">
        <f t="shared" si="510"/>
        <v>专科</v>
      </c>
      <c r="D1015" s="1" t="str">
        <f>"20210701"</f>
        <v>20210701</v>
      </c>
      <c r="E1015" s="1" t="str">
        <f>"河南经贸职业学院"</f>
        <v>河南经贸职业学院</v>
      </c>
      <c r="F1015" s="1" t="str">
        <f>"计算机应用技术"</f>
        <v>计算机应用技术</v>
      </c>
      <c r="G1015" s="1" t="str">
        <f>"河南省南阳市内乡县城关镇教育路355号"</f>
        <v>河南省南阳市内乡县城关镇教育路355号</v>
      </c>
      <c r="H1015" s="1" t="str">
        <f t="shared" si="509"/>
        <v>无</v>
      </c>
      <c r="I1015" s="1" t="str">
        <f>"201809-202107 河南经贸职业学院就读"</f>
        <v>201809-202107 河南经贸职业学院就读</v>
      </c>
    </row>
    <row r="1016" spans="1:9">
      <c r="A1016" s="1" t="str">
        <f>"411330199910130019"</f>
        <v>411330199910130019</v>
      </c>
      <c r="B1016" s="1" t="str">
        <f>"共青团员"</f>
        <v>共青团员</v>
      </c>
      <c r="C1016" s="1" t="str">
        <f t="shared" ref="C1016:C1025" si="511">"本科"</f>
        <v>本科</v>
      </c>
      <c r="D1016" s="1" t="str">
        <f>"2022-07-01"</f>
        <v>2022-07-01</v>
      </c>
      <c r="E1016" s="1" t="str">
        <f>"闽南理工学院"</f>
        <v>闽南理工学院</v>
      </c>
      <c r="F1016" s="1" t="str">
        <f>"数字媒体技术"</f>
        <v>数字媒体技术</v>
      </c>
      <c r="G1016" s="1" t="str">
        <f>"南阳市内乡县湍东镇五里堡老乡组"</f>
        <v>南阳市内乡县湍东镇五里堡老乡组</v>
      </c>
      <c r="H1016" s="1" t="str">
        <f t="shared" si="509"/>
        <v>无</v>
      </c>
      <c r="I1016" s="1" t="str">
        <f>"201809-202207 闽南理工学院就读数字媒体技术专业 全日制
202207-202307 天津15PB
202307-202310 在内乡待业
202310-202405 南阳君天文化传媒
202405至今       在内乡待业"</f>
        <v>201809-202207 闽南理工学院就读数字媒体技术专业 全日制
202207-202307 天津15PB
202307-202310 在内乡待业
202310-202405 南阳君天文化传媒
202405至今       在内乡待业</v>
      </c>
    </row>
    <row r="1017" spans="1:9">
      <c r="A1017" s="1" t="str">
        <f>"410527199709153421"</f>
        <v>410527199709153421</v>
      </c>
      <c r="B1017" s="1" t="str">
        <f t="shared" ref="B1017:B1024" si="512">"群众"</f>
        <v>群众</v>
      </c>
      <c r="C1017" s="1" t="str">
        <f t="shared" si="511"/>
        <v>本科</v>
      </c>
      <c r="D1017" s="1" t="str">
        <f>"20190630"</f>
        <v>20190630</v>
      </c>
      <c r="E1017" s="1" t="str">
        <f>"郑州商学院"</f>
        <v>郑州商学院</v>
      </c>
      <c r="F1017" s="1" t="str">
        <f>"国际经济与贸易"</f>
        <v>国际经济与贸易</v>
      </c>
      <c r="G1017" s="1" t="str">
        <f>"河南省安阳市内黄县二安镇双安大道69号"</f>
        <v>河南省安阳市内黄县二安镇双安大道69号</v>
      </c>
      <c r="H1017" s="1" t="str">
        <f t="shared" si="509"/>
        <v>无</v>
      </c>
      <c r="I1017" s="1" t="str">
        <f>"大学：201509-201906 就读于郑州商学院经济学系国际经济与贸易专业，全日制学历；
201911-202112 于高途课堂任高级辅导老师兼组长；
202202-202403 于河南少年先锋学校任初中语文老师；
202404至今待业"</f>
        <v>大学：201509-201906 就读于郑州商学院经济学系国际经济与贸易专业，全日制学历；
201911-202112 于高途课堂任高级辅导老师兼组长；
202202-202403 于河南少年先锋学校任初中语文老师；
202404至今待业</v>
      </c>
    </row>
    <row r="1018" spans="1:9">
      <c r="A1018" s="1" t="str">
        <f>"411327199507263729"</f>
        <v>411327199507263729</v>
      </c>
      <c r="B1018" s="1" t="str">
        <f t="shared" si="512"/>
        <v>群众</v>
      </c>
      <c r="C1018" s="1" t="str">
        <f t="shared" si="510"/>
        <v>专科</v>
      </c>
      <c r="D1018" s="1" t="str">
        <f>"20180701"</f>
        <v>20180701</v>
      </c>
      <c r="E1018" s="1" t="str">
        <f>"郑州商贸旅游职业学院"</f>
        <v>郑州商贸旅游职业学院</v>
      </c>
      <c r="F1018" s="1" t="str">
        <f>"装潢艺术设计"</f>
        <v>装潢艺术设计</v>
      </c>
      <c r="G1018" s="1" t="str">
        <f>"河南省南阳市内乡县湍东镇彩虹城菜鸟驿站"</f>
        <v>河南省南阳市内乡县湍东镇彩虹城菜鸟驿站</v>
      </c>
      <c r="H1018" s="1" t="str">
        <f t="shared" si="509"/>
        <v>无</v>
      </c>
      <c r="I1018" s="1" t="str">
        <f>"201508—201807 郑州商贸旅游职业学院就读
201807—202003郑州红苹果装饰有限公司就职
202009—202107彭沟小学代课
202109—202409内乡牧原综合体就职
202409—202507在家待业"</f>
        <v>201508—201807 郑州商贸旅游职业学院就读
201807—202003郑州红苹果装饰有限公司就职
202009—202107彭沟小学代课
202109—202409内乡牧原综合体就职
202409—202507在家待业</v>
      </c>
    </row>
    <row r="1019" spans="1:9">
      <c r="A1019" s="1" t="str">
        <f>"410822200009051520"</f>
        <v>410822200009051520</v>
      </c>
      <c r="B1019" s="1" t="str">
        <f>"共青团员"</f>
        <v>共青团员</v>
      </c>
      <c r="C1019" s="1" t="str">
        <f t="shared" si="511"/>
        <v>本科</v>
      </c>
      <c r="D1019" s="1" t="str">
        <f>"20230701"</f>
        <v>20230701</v>
      </c>
      <c r="E1019" s="1" t="str">
        <f>"郑州师范学院"</f>
        <v>郑州师范学院</v>
      </c>
      <c r="F1019" s="1" t="str">
        <f>"汉语言文学"</f>
        <v>汉语言文学</v>
      </c>
      <c r="G1019" s="1" t="str">
        <f>"河南省焦作市博爱县月山镇上庄村二街"</f>
        <v>河南省焦作市博爱县月山镇上庄村二街</v>
      </c>
      <c r="H1019" s="1" t="str">
        <f t="shared" si="509"/>
        <v>无</v>
      </c>
      <c r="I1019" s="1" t="str">
        <f>"201809-202107 河南牧业经济学院 文法学院 网络新闻与传播专业就读，全日制学历；
202109-202307 郑州师范学院 文学院 汉语言文学专业就读，全日制学历。
202307-202402 河南省焦作市博爱县待业；
202402-202502 河南省郑州市惠济区实验小学（英才校区）就业；
202502-至今 河南省焦作市博爱县待业。"</f>
        <v>201809-202107 河南牧业经济学院 文法学院 网络新闻与传播专业就读，全日制学历；
202109-202307 郑州师范学院 文学院 汉语言文学专业就读，全日制学历。
202307-202402 河南省焦作市博爱县待业；
202402-202502 河南省郑州市惠济区实验小学（英才校区）就业；
202502-至今 河南省焦作市博爱县待业。</v>
      </c>
    </row>
    <row r="1020" spans="1:9">
      <c r="A1020" s="1" t="str">
        <f>"410328200006180520"</f>
        <v>410328200006180520</v>
      </c>
      <c r="B1020" s="1" t="str">
        <f>"中共党员"</f>
        <v>中共党员</v>
      </c>
      <c r="C1020" s="1" t="str">
        <f t="shared" si="511"/>
        <v>本科</v>
      </c>
      <c r="D1020" s="1" t="str">
        <f>"20230701"</f>
        <v>20230701</v>
      </c>
      <c r="E1020" s="1" t="str">
        <f>"郑州工商学院"</f>
        <v>郑州工商学院</v>
      </c>
      <c r="F1020" s="1" t="str">
        <f>"物联网工程"</f>
        <v>物联网工程</v>
      </c>
      <c r="G1020" s="1" t="str">
        <f>"河南省洛宁县园艺站家属院"</f>
        <v>河南省洛宁县园艺站家属院</v>
      </c>
      <c r="H1020" s="1" t="str">
        <f t="shared" si="509"/>
        <v>无</v>
      </c>
      <c r="I1020" s="1" t="str">
        <f>"201909-202307 郑州工商学院   信息工程学院物联网工程专业 就读
全日制学历
202307-至今 河南省洛阳市待业"</f>
        <v>201909-202307 郑州工商学院   信息工程学院物联网工程专业 就读
全日制学历
202307-至今 河南省洛阳市待业</v>
      </c>
    </row>
    <row r="1021" spans="1:9">
      <c r="A1021" s="1" t="str">
        <f>"411327199805302917"</f>
        <v>411327199805302917</v>
      </c>
      <c r="B1021" s="1" t="str">
        <f>"中共党员"</f>
        <v>中共党员</v>
      </c>
      <c r="C1021" s="1" t="str">
        <f t="shared" si="511"/>
        <v>本科</v>
      </c>
      <c r="D1021" s="1" t="str">
        <f>"20200701"</f>
        <v>20200701</v>
      </c>
      <c r="E1021" s="1" t="str">
        <f>"洛阳理工学院"</f>
        <v>洛阳理工学院</v>
      </c>
      <c r="F1021" s="1" t="str">
        <f>"国际经济与贸易"</f>
        <v>国际经济与贸易</v>
      </c>
      <c r="G1021" s="1" t="str">
        <f>"河南省南阳市内乡县湍东镇"</f>
        <v>河南省南阳市内乡县湍东镇</v>
      </c>
      <c r="H1021" s="1" t="str">
        <f t="shared" si="509"/>
        <v>无</v>
      </c>
      <c r="I1021" s="1" t="str">
        <f>"201609-202007 洛阳理工学院就读"</f>
        <v>201609-202007 洛阳理工学院就读</v>
      </c>
    </row>
    <row r="1022" spans="1:9">
      <c r="A1022" s="1" t="str">
        <f>"411327199610271540"</f>
        <v>411327199610271540</v>
      </c>
      <c r="B1022" s="1" t="str">
        <f t="shared" si="512"/>
        <v>群众</v>
      </c>
      <c r="C1022" s="1" t="str">
        <f t="shared" si="511"/>
        <v>本科</v>
      </c>
      <c r="D1022" s="1" t="str">
        <f>"20190701"</f>
        <v>20190701</v>
      </c>
      <c r="E1022" s="1" t="str">
        <f>"安阳工学院"</f>
        <v>安阳工学院</v>
      </c>
      <c r="F1022" s="1" t="str">
        <f>"财务管理"</f>
        <v>财务管理</v>
      </c>
      <c r="G1022" s="1" t="str">
        <f>"河南省南阳市内乡县湍东镇五里堡村杨营组"</f>
        <v>河南省南阳市内乡县湍东镇五里堡村杨营组</v>
      </c>
      <c r="H1022" s="1" t="str">
        <f t="shared" si="509"/>
        <v>无</v>
      </c>
      <c r="I1022" s="1" t="str">
        <f>"2012年8月至2015年6月，在内乡县高级中学学习；
2015年9月至2019年7月，安阳工学院 经济管理学院 财务管理专业；
2019年7月至2021年8月，牧原食品股份有限公司 任职融资专员；
2021年10月至今，在灌涨镇人民政府工作。"</f>
        <v>2012年8月至2015年6月，在内乡县高级中学学习；
2015年9月至2019年7月，安阳工学院 经济管理学院 财务管理专业；
2019年7月至2021年8月，牧原食品股份有限公司 任职融资专员；
2021年10月至今，在灌涨镇人民政府工作。</v>
      </c>
    </row>
    <row r="1023" spans="1:9">
      <c r="A1023" s="1" t="str">
        <f>"411327200305022543"</f>
        <v>411327200305022543</v>
      </c>
      <c r="B1023" s="1" t="str">
        <f t="shared" si="512"/>
        <v>群众</v>
      </c>
      <c r="C1023" s="1" t="str">
        <f t="shared" si="511"/>
        <v>本科</v>
      </c>
      <c r="D1023" s="1" t="str">
        <f>"20250701"</f>
        <v>20250701</v>
      </c>
      <c r="E1023" s="1" t="str">
        <f>"郑州升达经贸管理学院"</f>
        <v>郑州升达经贸管理学院</v>
      </c>
      <c r="F1023" s="1" t="str">
        <f>"金融学"</f>
        <v>金融学</v>
      </c>
      <c r="G1023" s="1" t="str">
        <f>"河南省南阳市内乡县王店镇马堂村樊坡底二组"</f>
        <v>河南省南阳市内乡县王店镇马堂村樊坡底二组</v>
      </c>
      <c r="H1023" s="1" t="str">
        <f t="shared" si="509"/>
        <v>无</v>
      </c>
      <c r="I1023" s="1" t="str">
        <f>"202109-202507在郑州升达经贸管理学院金融贸易学院金融学专业就读是全日制本科学历"</f>
        <v>202109-202507在郑州升达经贸管理学院金融贸易学院金融学专业就读是全日制本科学历</v>
      </c>
    </row>
    <row r="1024" spans="1:9">
      <c r="A1024" s="1" t="str">
        <f>"411328199902197772"</f>
        <v>411328199902197772</v>
      </c>
      <c r="B1024" s="1" t="str">
        <f t="shared" si="512"/>
        <v>群众</v>
      </c>
      <c r="C1024" s="1" t="str">
        <f t="shared" si="511"/>
        <v>本科</v>
      </c>
      <c r="D1024" s="1" t="str">
        <f>"20240701"</f>
        <v>20240701</v>
      </c>
      <c r="E1024" s="1" t="str">
        <f>"武汉科技大学"</f>
        <v>武汉科技大学</v>
      </c>
      <c r="F1024" s="1" t="str">
        <f>"计算机科学与技术"</f>
        <v>计算机科学与技术</v>
      </c>
      <c r="G1024" s="1" t="str">
        <f>"河南省南阳市新野县健康路"</f>
        <v>河南省南阳市新野县健康路</v>
      </c>
      <c r="H1024" s="1" t="str">
        <f t="shared" si="509"/>
        <v>无</v>
      </c>
      <c r="I1024" s="1" t="str">
        <f>"201702—202101  陕西广播电视大学  城市轨道交通运营管理  非全日制
202203—202407  武汉科技大学  计算机科学与技术  非全日制
201809—202309  73089部队59分队"</f>
        <v>201702—202101  陕西广播电视大学  城市轨道交通运营管理  非全日制
202203—202407  武汉科技大学  计算机科学与技术  非全日制
201809—202309  73089部队59分队</v>
      </c>
    </row>
    <row r="1025" spans="1:9">
      <c r="A1025" s="1" t="str">
        <f>"410927200011071018"</f>
        <v>410927200011071018</v>
      </c>
      <c r="B1025" s="1" t="str">
        <f>"共青团员"</f>
        <v>共青团员</v>
      </c>
      <c r="C1025" s="1" t="str">
        <f t="shared" si="511"/>
        <v>本科</v>
      </c>
      <c r="D1025" s="1" t="str">
        <f>"20250701"</f>
        <v>20250701</v>
      </c>
      <c r="E1025" s="1" t="str">
        <f>"信阳农林学院"</f>
        <v>信阳农林学院</v>
      </c>
      <c r="F1025" s="1" t="str">
        <f>"会展经济与管理"</f>
        <v>会展经济与管理</v>
      </c>
      <c r="G1025" s="1" t="str">
        <f>"河南省台前县绿苑社区"</f>
        <v>河南省台前县绿苑社区</v>
      </c>
      <c r="H1025" s="1" t="str">
        <f t="shared" si="509"/>
        <v>无</v>
      </c>
      <c r="I1025" s="1" t="str">
        <f>"202009-202307 郑州旅游学院 旅游学院 旅游管理专业 就读 全日制
202309-202507 信阳农林学院 旅游学院 会展经济与管理专业 就读 全日制"</f>
        <v>202009-202307 郑州旅游学院 旅游学院 旅游管理专业 就读 全日制
202309-202507 信阳农林学院 旅游学院 会展经济与管理专业 就读 全日制</v>
      </c>
    </row>
    <row r="1026" spans="1:9">
      <c r="A1026" s="1" t="str">
        <f>"411327200010023960"</f>
        <v>411327200010023960</v>
      </c>
      <c r="B1026" s="1" t="str">
        <f t="shared" ref="B1026:B1032" si="513">"群众"</f>
        <v>群众</v>
      </c>
      <c r="C1026" s="1" t="str">
        <f>"专科"</f>
        <v>专科</v>
      </c>
      <c r="D1026" s="1" t="str">
        <f>"20230701"</f>
        <v>20230701</v>
      </c>
      <c r="E1026" s="1" t="str">
        <f>"安阳师范学院"</f>
        <v>安阳师范学院</v>
      </c>
      <c r="F1026" s="1" t="str">
        <f>"计算机应用技术"</f>
        <v>计算机应用技术</v>
      </c>
      <c r="G1026" s="1" t="str">
        <f>"河南省南阳市宛城区大梁庄菜鸟驿站"</f>
        <v>河南省南阳市宛城区大梁庄菜鸟驿站</v>
      </c>
      <c r="H1026" s="1" t="str">
        <f t="shared" si="509"/>
        <v>无</v>
      </c>
      <c r="I1026" s="1" t="str">
        <f>"20210901-20230701在安阳师范学院学校的互联网+应用技术学院就读，全日制学历。"</f>
        <v>20210901-20230701在安阳师范学院学校的互联网+应用技术学院就读，全日制学历。</v>
      </c>
    </row>
    <row r="1027" spans="1:9">
      <c r="A1027" s="1" t="str">
        <f>"412822199808144498"</f>
        <v>412822199808144498</v>
      </c>
      <c r="B1027" s="1" t="str">
        <f t="shared" si="513"/>
        <v>群众</v>
      </c>
      <c r="C1027" s="1" t="str">
        <f t="shared" ref="C1027:C1046" si="514">"本科"</f>
        <v>本科</v>
      </c>
      <c r="D1027" s="1" t="str">
        <f>"20240630"</f>
        <v>20240630</v>
      </c>
      <c r="E1027" s="1" t="str">
        <f>"河南科技大学"</f>
        <v>河南科技大学</v>
      </c>
      <c r="F1027" s="1" t="str">
        <f>"电气工程及其自动化"</f>
        <v>电气工程及其自动化</v>
      </c>
      <c r="G1027" s="1" t="str">
        <f>"河南省驻马店市泌阳县高邑乡孙桥村委李湾"</f>
        <v>河南省驻马店市泌阳县高邑乡孙桥村委李湾</v>
      </c>
      <c r="H1027" s="1" t="str">
        <f t="shared" si="509"/>
        <v>无</v>
      </c>
      <c r="I1027" s="1" t="str">
        <f>"201709--201806 郑州财经学院（专科） 就读 机电一体化专业
201809--202009  32138部队  参军
202009--202206 郑州财经学院（专科） 就读 机电一体化专业
202209--202406 河南科技大学应用工程学院（本科） 就读  电气工程及其自动计划专业"</f>
        <v>201709--201806 郑州财经学院（专科） 就读 机电一体化专业
201809--202009  32138部队  参军
202009--202206 郑州财经学院（专科） 就读 机电一体化专业
202209--202406 河南科技大学应用工程学院（本科） 就读  电气工程及其自动计划专业</v>
      </c>
    </row>
    <row r="1028" spans="1:9">
      <c r="A1028" s="1" t="str">
        <f>"411327200105132035"</f>
        <v>411327200105132035</v>
      </c>
      <c r="B1028" s="1" t="str">
        <f>"共青团员"</f>
        <v>共青团员</v>
      </c>
      <c r="C1028" s="1" t="str">
        <f t="shared" si="514"/>
        <v>本科</v>
      </c>
      <c r="D1028" s="1" t="str">
        <f>"20230701"</f>
        <v>20230701</v>
      </c>
      <c r="E1028" s="1" t="str">
        <f>"郑州财经学院"</f>
        <v>郑州财经学院</v>
      </c>
      <c r="F1028" s="1" t="str">
        <f>"软件工程"</f>
        <v>软件工程</v>
      </c>
      <c r="G1028" s="1" t="str">
        <f>"河南省南阳市内乡县师岗镇"</f>
        <v>河南省南阳市内乡县师岗镇</v>
      </c>
      <c r="H1028" s="1" t="str">
        <f t="shared" si="509"/>
        <v>无</v>
      </c>
      <c r="I1028" s="1" t="str">
        <f>"201909-202306 郑州财经学院 软件工程 就读 取得全日制学历
202307-202309 待就业
202310-202401 老河口牧原饲料有限公司
202402-202507 待就业
"</f>
        <v>201909-202306 郑州财经学院 软件工程 就读 取得全日制学历
202307-202309 待就业
202310-202401 老河口牧原饲料有限公司
202402-202507 待就业
</v>
      </c>
    </row>
    <row r="1029" spans="1:9">
      <c r="A1029" s="1" t="str">
        <f>"411327199302131546"</f>
        <v>411327199302131546</v>
      </c>
      <c r="B1029" s="1" t="str">
        <f>"中共党员"</f>
        <v>中共党员</v>
      </c>
      <c r="C1029" s="1" t="str">
        <f t="shared" si="514"/>
        <v>本科</v>
      </c>
      <c r="D1029" s="1" t="str">
        <f>"20160701"</f>
        <v>20160701</v>
      </c>
      <c r="E1029" s="1" t="str">
        <f>"郑州航空工业管理学院"</f>
        <v>郑州航空工业管理学院</v>
      </c>
      <c r="F1029" s="1" t="str">
        <f>"档案学"</f>
        <v>档案学</v>
      </c>
      <c r="G1029" s="1" t="str">
        <f>"13409266627"</f>
        <v>13409266627</v>
      </c>
      <c r="H1029" s="1" t="str">
        <f t="shared" si="509"/>
        <v>无</v>
      </c>
      <c r="I1029" s="1" t="str">
        <f>"20110901-20140701 郑州航空工业管理学院就读会计与统计核算专业
20140901-20160701 郑州航空工业管理学院就读档案学专业"</f>
        <v>20110901-20140701 郑州航空工业管理学院就读会计与统计核算专业
20140901-20160701 郑州航空工业管理学院就读档案学专业</v>
      </c>
    </row>
    <row r="1030" spans="1:9">
      <c r="A1030" s="1" t="str">
        <f>"411327200107024214"</f>
        <v>411327200107024214</v>
      </c>
      <c r="B1030" s="1" t="str">
        <f t="shared" si="513"/>
        <v>群众</v>
      </c>
      <c r="C1030" s="1" t="str">
        <f t="shared" si="514"/>
        <v>本科</v>
      </c>
      <c r="D1030" s="1" t="str">
        <f>"20250701"</f>
        <v>20250701</v>
      </c>
      <c r="E1030" s="1" t="str">
        <f>"兰州财经大学"</f>
        <v>兰州财经大学</v>
      </c>
      <c r="F1030" s="1" t="str">
        <f>"统计学"</f>
        <v>统计学</v>
      </c>
      <c r="G1030" s="1" t="str">
        <f>"河南省南阳市内乡县城关镇菊潭大街三里桥头锦绣佳苑小区"</f>
        <v>河南省南阳市内乡县城关镇菊潭大街三里桥头锦绣佳苑小区</v>
      </c>
      <c r="H1030" s="1" t="str">
        <f t="shared" si="509"/>
        <v>无</v>
      </c>
      <c r="I1030" s="1" t="str">
        <f>"202009-202507兰州财经大学统计与数据科学学院就读统计学专业全日制学历。"</f>
        <v>202009-202507兰州财经大学统计与数据科学学院就读统计学专业全日制学历。</v>
      </c>
    </row>
    <row r="1031" spans="1:9">
      <c r="A1031" s="1" t="str">
        <f>"41272419941015217X"</f>
        <v>41272419941015217X</v>
      </c>
      <c r="B1031" s="1" t="str">
        <f t="shared" si="513"/>
        <v>群众</v>
      </c>
      <c r="C1031" s="1" t="str">
        <f t="shared" si="514"/>
        <v>本科</v>
      </c>
      <c r="D1031" s="1" t="str">
        <f>"20250610"</f>
        <v>20250610</v>
      </c>
      <c r="E1031" s="1" t="str">
        <f>"中原科技学院"</f>
        <v>中原科技学院</v>
      </c>
      <c r="F1031" s="1" t="str">
        <f>"旅游管理"</f>
        <v>旅游管理</v>
      </c>
      <c r="G1031" s="1" t="str">
        <f>"河南省郑州市中原区汇泉景悦城2号院"</f>
        <v>河南省郑州市中原区汇泉景悦城2号院</v>
      </c>
      <c r="H1031" s="1" t="str">
        <f t="shared" si="509"/>
        <v>无</v>
      </c>
      <c r="I1031" s="1" t="str">
        <f>"201509-201609 漯河职业技术学院空中乘务专业就读，全日制专科
201609-202109 中国人民解放军31050部队服役
202109-202307 漯河职业技术学院空中乘务专业就读，全日制专科
202309-202507 中原科技学院旅游管理专业就读。全日制本科"</f>
        <v>201509-201609 漯河职业技术学院空中乘务专业就读，全日制专科
201609-202109 中国人民解放军31050部队服役
202109-202307 漯河职业技术学院空中乘务专业就读，全日制专科
202309-202507 中原科技学院旅游管理专业就读。全日制本科</v>
      </c>
    </row>
    <row r="1032" ht="135" spans="1:9">
      <c r="A1032" s="1" t="str">
        <f>"410922199701011621"</f>
        <v>410922199701011621</v>
      </c>
      <c r="B1032" s="1" t="str">
        <f t="shared" si="513"/>
        <v>群众</v>
      </c>
      <c r="C1032" s="1" t="str">
        <f t="shared" si="514"/>
        <v>本科</v>
      </c>
      <c r="D1032" s="1" t="str">
        <f>"20180701"</f>
        <v>20180701</v>
      </c>
      <c r="E1032" s="1" t="str">
        <f>"上海政法学院"</f>
        <v>上海政法学院</v>
      </c>
      <c r="F1032" s="1" t="str">
        <f>"工商管理"</f>
        <v>工商管理</v>
      </c>
      <c r="G1032" s="1" t="str">
        <f>"河南省濮阳市清丰县幸福大道日杂公司家属院"</f>
        <v>河南省濮阳市清丰县幸福大道日杂公司家属院</v>
      </c>
      <c r="H1032" s="1" t="str">
        <f t="shared" si="509"/>
        <v>无</v>
      </c>
      <c r="I1032" s="3" t="s">
        <v>217</v>
      </c>
    </row>
    <row r="1033" spans="1:9">
      <c r="A1033" s="1" t="str">
        <f>"411323200308132128"</f>
        <v>411323200308132128</v>
      </c>
      <c r="B1033" s="1" t="str">
        <f t="shared" ref="B1033:B1036" si="515">"共青团员"</f>
        <v>共青团员</v>
      </c>
      <c r="C1033" s="1" t="str">
        <f t="shared" si="514"/>
        <v>本科</v>
      </c>
      <c r="D1033" s="1" t="str">
        <f>"20250701"</f>
        <v>20250701</v>
      </c>
      <c r="E1033" s="1" t="str">
        <f>"郑州大学"</f>
        <v>郑州大学</v>
      </c>
      <c r="F1033" s="1" t="str">
        <f>"国际经济与贸易"</f>
        <v>国际经济与贸易</v>
      </c>
      <c r="G1033" s="1" t="str">
        <f>"河南省南阳市淅川县荆紫关镇泰安东路55号"</f>
        <v>河南省南阳市淅川县荆紫关镇泰安东路55号</v>
      </c>
      <c r="H1033" s="1" t="str">
        <f t="shared" si="509"/>
        <v>无</v>
      </c>
      <c r="I1033" s="1" t="str">
        <f>"202109-202507 郑州大学商学院国际经济与贸易专业就读 全日制"</f>
        <v>202109-202507 郑州大学商学院国际经济与贸易专业就读 全日制</v>
      </c>
    </row>
    <row r="1034" spans="1:9">
      <c r="A1034" s="1" t="str">
        <f>"411327200005180320"</f>
        <v>411327200005180320</v>
      </c>
      <c r="B1034" s="1" t="str">
        <f>"群众"</f>
        <v>群众</v>
      </c>
      <c r="C1034" s="1" t="str">
        <f t="shared" si="514"/>
        <v>本科</v>
      </c>
      <c r="D1034" s="1" t="str">
        <f>" 20220701"</f>
        <v> 20220701</v>
      </c>
      <c r="E1034" s="1" t="str">
        <f>"河南师范大学"</f>
        <v>河南师范大学</v>
      </c>
      <c r="F1034" s="1" t="str">
        <f>"数学与应用数学"</f>
        <v>数学与应用数学</v>
      </c>
      <c r="G1034" s="1" t="str">
        <f>"河南省南阳市内乡县大桥乡陡沟村陡前组"</f>
        <v>河南省南阳市内乡县大桥乡陡沟村陡前组</v>
      </c>
      <c r="H1034" s="1" t="str">
        <f t="shared" si="509"/>
        <v>无</v>
      </c>
      <c r="I1034" s="1" t="str">
        <f>"201809-202207河南师范大学数学与信息科学学院数学与应用数学专业就读
202207-202507菊潭高中教书"</f>
        <v>201809-202207河南师范大学数学与信息科学学院数学与应用数学专业就读
202207-202507菊潭高中教书</v>
      </c>
    </row>
    <row r="1035" spans="1:9">
      <c r="A1035" s="1" t="str">
        <f>"411302200310230024"</f>
        <v>411302200310230024</v>
      </c>
      <c r="B1035" s="1" t="str">
        <f t="shared" si="515"/>
        <v>共青团员</v>
      </c>
      <c r="C1035" s="1" t="str">
        <f t="shared" si="514"/>
        <v>本科</v>
      </c>
      <c r="D1035" s="1" t="str">
        <f>"20250623"</f>
        <v>20250623</v>
      </c>
      <c r="E1035" s="1" t="str">
        <f>"鞍山师范学院"</f>
        <v>鞍山师范学院</v>
      </c>
      <c r="F1035" s="1" t="str">
        <f>"汉语言文学（师范）"</f>
        <v>汉语言文学（师范）</v>
      </c>
      <c r="G1035" s="1" t="str">
        <f>"河南省南阳市宛城区吕庄张井"</f>
        <v>河南省南阳市宛城区吕庄张井</v>
      </c>
      <c r="H1035" s="1" t="str">
        <f t="shared" si="509"/>
        <v>无</v>
      </c>
      <c r="I1035" s="1" t="str">
        <f>"202109-202506 鞍山师范学院 汉语言文学（师范） 全日制本科就读
201809-202106 南阳市第八中学就读
201509-201807 南阳市枣林中学就读
200909-201507 南阳市第三十二小学就读
200609-200907 枣林幼教中心就读"</f>
        <v>202109-202506 鞍山师范学院 汉语言文学（师范） 全日制本科就读
201809-202106 南阳市第八中学就读
201509-201807 南阳市枣林中学就读
200909-201507 南阳市第三十二小学就读
200609-200907 枣林幼教中心就读</v>
      </c>
    </row>
    <row r="1036" spans="1:9">
      <c r="A1036" s="1" t="str">
        <f>"41132620020530001X"</f>
        <v>41132620020530001X</v>
      </c>
      <c r="B1036" s="1" t="str">
        <f t="shared" si="515"/>
        <v>共青团员</v>
      </c>
      <c r="C1036" s="1" t="str">
        <f t="shared" si="514"/>
        <v>本科</v>
      </c>
      <c r="D1036" s="1" t="str">
        <f>"20250630"</f>
        <v>20250630</v>
      </c>
      <c r="E1036" s="1" t="str">
        <f>"黄河科技学院"</f>
        <v>黄河科技学院</v>
      </c>
      <c r="F1036" s="1" t="str">
        <f>"工商管理"</f>
        <v>工商管理</v>
      </c>
      <c r="G1036" s="1" t="str">
        <f>"河南省南阳市南召县南河店镇"</f>
        <v>河南省南阳市南召县南河店镇</v>
      </c>
      <c r="H1036" s="1" t="str">
        <f t="shared" si="509"/>
        <v>无</v>
      </c>
      <c r="I1036" s="1" t="str">
        <f>"202009-202306河南财经政法大学国际教育学院会计专业，是全日制学历
202309-202506黄河科技学院商学部工商管理专业，是全日制学历"</f>
        <v>202009-202306河南财经政法大学国际教育学院会计专业，是全日制学历
202309-202506黄河科技学院商学部工商管理专业，是全日制学历</v>
      </c>
    </row>
    <row r="1037" spans="1:9">
      <c r="A1037" s="1" t="str">
        <f>"411327200212080023"</f>
        <v>411327200212080023</v>
      </c>
      <c r="B1037" s="1" t="str">
        <f>"群众"</f>
        <v>群众</v>
      </c>
      <c r="C1037" s="1" t="str">
        <f t="shared" si="514"/>
        <v>本科</v>
      </c>
      <c r="D1037" s="1" t="str">
        <f>"20240630"</f>
        <v>20240630</v>
      </c>
      <c r="E1037" s="1" t="str">
        <f>"昆明学院"</f>
        <v>昆明学院</v>
      </c>
      <c r="F1037" s="1" t="str">
        <f>"化学工程与工艺"</f>
        <v>化学工程与工艺</v>
      </c>
      <c r="G1037" s="1" t="str">
        <f>"河南省南阳市内乡县湍东镇林场小区二单元701"</f>
        <v>河南省南阳市内乡县湍东镇林场小区二单元701</v>
      </c>
      <c r="H1037" s="1" t="str">
        <f t="shared" si="509"/>
        <v>无</v>
      </c>
      <c r="I1037" s="1" t="str">
        <f>"202009-202406 昆明学院化学化工学院化学工程与工艺专业就读，全日制本科学历，202407-目前，在福建华谊三爱富氟佑新材料有限公司采购岗位"</f>
        <v>202009-202406 昆明学院化学化工学院化学工程与工艺专业就读，全日制本科学历，202407-目前，在福建华谊三爱富氟佑新材料有限公司采购岗位</v>
      </c>
    </row>
    <row r="1038" spans="1:9">
      <c r="A1038" s="1" t="str">
        <f>"411330199809090518"</f>
        <v>411330199809090518</v>
      </c>
      <c r="B1038" s="1" t="str">
        <f>"共青团员"</f>
        <v>共青团员</v>
      </c>
      <c r="C1038" s="1" t="str">
        <f t="shared" si="514"/>
        <v>本科</v>
      </c>
      <c r="D1038" s="1" t="str">
        <f>"20200607"</f>
        <v>20200607</v>
      </c>
      <c r="E1038" s="1" t="str">
        <f>"河南师范大学"</f>
        <v>河南师范大学</v>
      </c>
      <c r="F1038" s="1" t="str">
        <f>"政治学与行政学"</f>
        <v>政治学与行政学</v>
      </c>
      <c r="G1038" s="1" t="str">
        <f>"河南省南阳市西峡县"</f>
        <v>河南省南阳市西峡县</v>
      </c>
      <c r="H1038" s="1" t="str">
        <f t="shared" si="509"/>
        <v>无</v>
      </c>
      <c r="I1038" s="1" t="str">
        <f>"201609-202006   河南师范大学就读
202006-202208   南阳民进学校
202209-202508    汕头市潮阳区华斯达学校"</f>
        <v>201609-202006   河南师范大学就读
202006-202208   南阳民进学校
202209-202508    汕头市潮阳区华斯达学校</v>
      </c>
    </row>
    <row r="1039" spans="1:9">
      <c r="A1039" s="1" t="str">
        <f>"411725200308124915"</f>
        <v>411725200308124915</v>
      </c>
      <c r="B1039" s="1" t="str">
        <f t="shared" ref="B1039:B1045" si="516">"中共党员"</f>
        <v>中共党员</v>
      </c>
      <c r="C1039" s="1" t="str">
        <f t="shared" si="514"/>
        <v>本科</v>
      </c>
      <c r="D1039" s="1" t="str">
        <f>"20250607"</f>
        <v>20250607</v>
      </c>
      <c r="E1039" s="1" t="str">
        <f>"南阳师范学院"</f>
        <v>南阳师范学院</v>
      </c>
      <c r="F1039" s="1" t="str">
        <f>"体育教育专业"</f>
        <v>体育教育专业</v>
      </c>
      <c r="G1039" s="1" t="str">
        <f>"河南省驻马店市确山县李新店镇教育"</f>
        <v>河南省驻马店市确山县李新店镇教育</v>
      </c>
      <c r="H1039" s="1" t="str">
        <f t="shared" si="509"/>
        <v>无</v>
      </c>
      <c r="I1039" s="1" t="str">
        <f>"202109-202506 南阳师范学院体育学院体育教育专业就读，是全日制学历。"</f>
        <v>202109-202506 南阳师范学院体育学院体育教育专业就读，是全日制学历。</v>
      </c>
    </row>
    <row r="1040" spans="1:9">
      <c r="A1040" s="1" t="str">
        <f>"411326200209283632"</f>
        <v>411326200209283632</v>
      </c>
      <c r="B1040" s="1" t="str">
        <f>"共青团员"</f>
        <v>共青团员</v>
      </c>
      <c r="C1040" s="1" t="str">
        <f t="shared" si="514"/>
        <v>本科</v>
      </c>
      <c r="D1040" s="1" t="str">
        <f>"20250622"</f>
        <v>20250622</v>
      </c>
      <c r="E1040" s="1" t="str">
        <f>"榆林学院"</f>
        <v>榆林学院</v>
      </c>
      <c r="F1040" s="1" t="str">
        <f>"土木工程"</f>
        <v>土木工程</v>
      </c>
      <c r="G1040" s="1" t="str">
        <f>"河南省南阳市南召县"</f>
        <v>河南省南阳市南召县</v>
      </c>
      <c r="H1040" s="1" t="str">
        <f t="shared" si="509"/>
        <v>无</v>
      </c>
      <c r="I1040" s="1" t="str">
        <f>"202109-202506 榆林学院建筑工程学院土木工程专业就读。是全日制学历。201809-202106 南召县第一高级中学 201509-201806 南召县乡中 200909-201506 漯河翟庄小学 "</f>
        <v>202109-202506 榆林学院建筑工程学院土木工程专业就读。是全日制学历。201809-202106 南召县第一高级中学 201509-201806 南召县乡中 200909-201506 漯河翟庄小学 </v>
      </c>
    </row>
    <row r="1041" spans="1:9">
      <c r="A1041" s="1" t="str">
        <f>"411303199909260538"</f>
        <v>411303199909260538</v>
      </c>
      <c r="B1041" s="1" t="str">
        <f>"中共预备党员"</f>
        <v>中共预备党员</v>
      </c>
      <c r="C1041" s="1" t="str">
        <f t="shared" si="514"/>
        <v>本科</v>
      </c>
      <c r="D1041" s="1" t="str">
        <f>"20210701"</f>
        <v>20210701</v>
      </c>
      <c r="E1041" s="1" t="str">
        <f>"河南工业大学"</f>
        <v>河南工业大学</v>
      </c>
      <c r="F1041" s="1" t="str">
        <f>"高分子材料与工程"</f>
        <v>高分子材料与工程</v>
      </c>
      <c r="G1041" s="1" t="str">
        <f>"河南省南阳市宛城区汉冶街道丰源小区102203"</f>
        <v>河南省南阳市宛城区汉冶街道丰源小区102203</v>
      </c>
      <c r="H1041" s="1" t="str">
        <f>"电机与电器助理工程师"</f>
        <v>电机与电器助理工程师</v>
      </c>
      <c r="I1041" s="1" t="str">
        <f>"201709-202107河南工业大学材料科学与工程学院高分子材料就读
202107-202305中铁建工集团北京分公司材料员就业
202305至今卧龙电气南阳防爆集团工艺员就业"</f>
        <v>201709-202107河南工业大学材料科学与工程学院高分子材料就读
202107-202305中铁建工集团北京分公司材料员就业
202305至今卧龙电气南阳防爆集团工艺员就业</v>
      </c>
    </row>
    <row r="1042" spans="1:9">
      <c r="A1042" s="1" t="str">
        <f>"410923200304215446"</f>
        <v>410923200304215446</v>
      </c>
      <c r="B1042" s="1" t="str">
        <f t="shared" si="516"/>
        <v>中共党员</v>
      </c>
      <c r="C1042" s="1" t="str">
        <f t="shared" si="514"/>
        <v>本科</v>
      </c>
      <c r="D1042" s="1" t="str">
        <f>"20250701"</f>
        <v>20250701</v>
      </c>
      <c r="E1042" s="1" t="str">
        <f>"信阳师范大学"</f>
        <v>信阳师范大学</v>
      </c>
      <c r="F1042" s="1" t="str">
        <f>"小学教育"</f>
        <v>小学教育</v>
      </c>
      <c r="G1042" s="1" t="str">
        <f>"河南省濮阳市南乐县中央新城"</f>
        <v>河南省濮阳市南乐县中央新城</v>
      </c>
      <c r="H1042" s="1" t="str">
        <f t="shared" ref="H1042:H1054" si="517">"无"</f>
        <v>无</v>
      </c>
      <c r="I1042" s="1" t="str">
        <f>"202109-202507 信阳师范大学 就读 全日制本科"</f>
        <v>202109-202507 信阳师范大学 就读 全日制本科</v>
      </c>
    </row>
    <row r="1043" spans="1:9">
      <c r="A1043" s="1" t="str">
        <f>"411327200004213127"</f>
        <v>411327200004213127</v>
      </c>
      <c r="B1043" s="1" t="str">
        <f>"中共预备党员"</f>
        <v>中共预备党员</v>
      </c>
      <c r="C1043" s="1" t="str">
        <f t="shared" si="514"/>
        <v>本科</v>
      </c>
      <c r="D1043" s="1" t="str">
        <f>"20220701"</f>
        <v>20220701</v>
      </c>
      <c r="E1043" s="1" t="str">
        <f>"华北水利水电大学"</f>
        <v>华北水利水电大学</v>
      </c>
      <c r="F1043" s="1" t="str">
        <f>"行政管理"</f>
        <v>行政管理</v>
      </c>
      <c r="G1043" s="1" t="str">
        <f>"南阳市内乡县夏馆镇大块地村杨树坪组"</f>
        <v>南阳市内乡县夏馆镇大块地村杨树坪组</v>
      </c>
      <c r="H1043" s="1" t="str">
        <f t="shared" si="517"/>
        <v>无</v>
      </c>
      <c r="I1043" s="1" t="str">
        <f>"201809-202207华北水利水电大学公共管理学院行政管理专业就读"</f>
        <v>201809-202207华北水利水电大学公共管理学院行政管理专业就读</v>
      </c>
    </row>
    <row r="1044" spans="1:9">
      <c r="A1044" s="1" t="str">
        <f>"411327200206010010"</f>
        <v>411327200206010010</v>
      </c>
      <c r="B1044" s="1" t="str">
        <f t="shared" si="516"/>
        <v>中共党员</v>
      </c>
      <c r="C1044" s="1" t="str">
        <f t="shared" si="514"/>
        <v>本科</v>
      </c>
      <c r="D1044" s="1" t="str">
        <f>"20240715"</f>
        <v>20240715</v>
      </c>
      <c r="E1044" s="1" t="str">
        <f>"河南财经政法大学"</f>
        <v>河南财经政法大学</v>
      </c>
      <c r="F1044" s="1" t="str">
        <f>"工程造价"</f>
        <v>工程造价</v>
      </c>
      <c r="G1044" s="1" t="str">
        <f>"河南省南阳市内乡县"</f>
        <v>河南省南阳市内乡县</v>
      </c>
      <c r="H1044" s="1" t="str">
        <f t="shared" si="517"/>
        <v>无</v>
      </c>
      <c r="I1044" s="1" t="str">
        <f>"202010-202407 河南财经政法大学 工程管理与房地产学院 工程造价 全日制学历 就读"</f>
        <v>202010-202407 河南财经政法大学 工程管理与房地产学院 工程造价 全日制学历 就读</v>
      </c>
    </row>
    <row r="1045" spans="1:9">
      <c r="A1045" s="1" t="str">
        <f>"411381200208136520"</f>
        <v>411381200208136520</v>
      </c>
      <c r="B1045" s="1" t="str">
        <f t="shared" si="516"/>
        <v>中共党员</v>
      </c>
      <c r="C1045" s="1" t="str">
        <f t="shared" si="514"/>
        <v>本科</v>
      </c>
      <c r="D1045" s="1" t="str">
        <f>"20250630"</f>
        <v>20250630</v>
      </c>
      <c r="E1045" s="1" t="str">
        <f>"云南财经大学"</f>
        <v>云南财经大学</v>
      </c>
      <c r="F1045" s="1" t="str">
        <f>"市场营销"</f>
        <v>市场营销</v>
      </c>
      <c r="G1045" s="1" t="str">
        <f>"河南省平顶山市湛河区柏楼村"</f>
        <v>河南省平顶山市湛河区柏楼村</v>
      </c>
      <c r="H1045" s="1" t="str">
        <f t="shared" si="517"/>
        <v>无</v>
      </c>
      <c r="I1045" s="1" t="str">
        <f>"202109-202506 云南财经大学商学院市场营销专业 就读。全日制学历。"</f>
        <v>202109-202506 云南财经大学商学院市场营销专业 就读。全日制学历。</v>
      </c>
    </row>
    <row r="1046" spans="1:9">
      <c r="A1046" s="1" t="str">
        <f>"411323199912146344"</f>
        <v>411323199912146344</v>
      </c>
      <c r="B1046" s="1" t="str">
        <f>"共青团员"</f>
        <v>共青团员</v>
      </c>
      <c r="C1046" s="1" t="str">
        <f t="shared" si="514"/>
        <v>本科</v>
      </c>
      <c r="D1046" s="1" t="str">
        <f>"20220630"</f>
        <v>20220630</v>
      </c>
      <c r="E1046" s="1" t="str">
        <f>"郑州轻工业大学"</f>
        <v>郑州轻工业大学</v>
      </c>
      <c r="F1046" s="1" t="str">
        <f>"会计学"</f>
        <v>会计学</v>
      </c>
      <c r="G1046" s="1" t="str">
        <f>"河南省郑州市二七区黄岗寺工人路小区"</f>
        <v>河南省郑州市二七区黄岗寺工人路小区</v>
      </c>
      <c r="H1046" s="1" t="str">
        <f t="shared" si="517"/>
        <v>无</v>
      </c>
      <c r="I1046" s="1" t="str">
        <f>"20180901-20220630，在郑州轻工业大学就读会计学专业；
20220208-20240914，在牧原物流担任财务管理岗位工作，工作概述：任职期间担任业财、税务会计岗位，从公司的日常账务处理、申报纳税、费用报销审核、会计凭证编制、数据报表编制等类目均可独立完成。"</f>
        <v>20180901-20220630，在郑州轻工业大学就读会计学专业；
20220208-20240914，在牧原物流担任财务管理岗位工作，工作概述：任职期间担任业财、税务会计岗位，从公司的日常账务处理、申报纳税、费用报销审核、会计凭证编制、数据报表编制等类目均可独立完成。</v>
      </c>
    </row>
    <row r="1047" spans="1:9">
      <c r="A1047" s="1" t="str">
        <f>"411328199509010676"</f>
        <v>411328199509010676</v>
      </c>
      <c r="B1047" s="1" t="str">
        <f t="shared" ref="B1047:B1050" si="518">"群众"</f>
        <v>群众</v>
      </c>
      <c r="C1047" s="1" t="str">
        <f t="shared" ref="C1047:C1050" si="519">"专科"</f>
        <v>专科</v>
      </c>
      <c r="D1047" s="1" t="str">
        <f>"20160701"</f>
        <v>20160701</v>
      </c>
      <c r="E1047" s="1" t="str">
        <f>"郑州财经学院"</f>
        <v>郑州财经学院</v>
      </c>
      <c r="F1047" s="1" t="str">
        <f>"建筑装饰工程技术"</f>
        <v>建筑装饰工程技术</v>
      </c>
      <c r="G1047" s="1" t="str">
        <f>"河南省南阳市新野县城郊乡"</f>
        <v>河南省南阳市新野县城郊乡</v>
      </c>
      <c r="H1047" s="1" t="str">
        <f t="shared" si="517"/>
        <v>无</v>
      </c>
      <c r="I1047" s="1" t="str">
        <f>"201309-201607 郑州财经学院土木工程系建筑装饰工程技术专业就读
201607-201803 中国邮政速递（郑州市惠济区揽投部）
201804-202406 郑州不凡科技有限公司
202406-202410 河南新野待业
202410-至今 新野县应急管理局"</f>
        <v>201309-201607 郑州财经学院土木工程系建筑装饰工程技术专业就读
201607-201803 中国邮政速递（郑州市惠济区揽投部）
201804-202406 郑州不凡科技有限公司
202406-202410 河南新野待业
202410-至今 新野县应急管理局</v>
      </c>
    </row>
    <row r="1048" spans="1:9">
      <c r="A1048" s="1" t="str">
        <f>"411327200001280017"</f>
        <v>411327200001280017</v>
      </c>
      <c r="B1048" s="1" t="str">
        <f t="shared" si="518"/>
        <v>群众</v>
      </c>
      <c r="C1048" s="1" t="str">
        <f t="shared" si="519"/>
        <v>专科</v>
      </c>
      <c r="D1048" s="1" t="str">
        <f>"20210701"</f>
        <v>20210701</v>
      </c>
      <c r="E1048" s="1" t="str">
        <f>"洛阳理工学院"</f>
        <v>洛阳理工学院</v>
      </c>
      <c r="F1048" s="1" t="str">
        <f>"小学教育"</f>
        <v>小学教育</v>
      </c>
      <c r="G1048" s="1" t="str">
        <f>"河南省南阳市内乡县"</f>
        <v>河南省南阳市内乡县</v>
      </c>
      <c r="H1048" s="1" t="str">
        <f t="shared" si="517"/>
        <v>无</v>
      </c>
      <c r="I1048" s="1" t="str">
        <f>"201809-202107洛阳理工学院小学教育专业就读全日制专科；在河南省南阳市内乡县城关镇待业。"</f>
        <v>201809-202107洛阳理工学院小学教育专业就读全日制专科；在河南省南阳市内乡县城关镇待业。</v>
      </c>
    </row>
    <row r="1049" spans="1:9">
      <c r="A1049" s="1" t="str">
        <f>"411327199704112030"</f>
        <v>411327199704112030</v>
      </c>
      <c r="B1049" s="1" t="str">
        <f t="shared" si="518"/>
        <v>群众</v>
      </c>
      <c r="C1049" s="1" t="str">
        <f t="shared" ref="C1049:C1052" si="520">"本科"</f>
        <v>本科</v>
      </c>
      <c r="D1049" s="1" t="str">
        <f>"20180701"</f>
        <v>20180701</v>
      </c>
      <c r="E1049" s="1" t="str">
        <f>"商丘工学院"</f>
        <v>商丘工学院</v>
      </c>
      <c r="F1049" s="1" t="str">
        <f>"土木工程"</f>
        <v>土木工程</v>
      </c>
      <c r="G1049" s="1" t="str">
        <f>"城关镇宏达南路四十七巷七号"</f>
        <v>城关镇宏达南路四十七巷七号</v>
      </c>
      <c r="H1049" s="1" t="str">
        <f t="shared" si="517"/>
        <v>无</v>
      </c>
      <c r="I1049" s="1" t="str">
        <f>"201409-201806 商丘工学院土木工程专业就读
201807-202303 南阳宛通公路工程技术有限公司内乡分公司
202303-202506 河南牧原建筑工程有限公司
202506-至今      待业"</f>
        <v>201409-201806 商丘工学院土木工程专业就读
201807-202303 南阳宛通公路工程技术有限公司内乡分公司
202303-202506 河南牧原建筑工程有限公司
202506-至今      待业</v>
      </c>
    </row>
    <row r="1050" spans="1:9">
      <c r="A1050" s="1" t="str">
        <f>"411327200003242022"</f>
        <v>411327200003242022</v>
      </c>
      <c r="B1050" s="1" t="str">
        <f t="shared" si="518"/>
        <v>群众</v>
      </c>
      <c r="C1050" s="1" t="str">
        <f t="shared" si="519"/>
        <v>专科</v>
      </c>
      <c r="D1050" s="1" t="str">
        <f>"20220630"</f>
        <v>20220630</v>
      </c>
      <c r="E1050" s="1" t="str">
        <f>"郑州信息科技职业学院"</f>
        <v>郑州信息科技职业学院</v>
      </c>
      <c r="F1050" s="1" t="str">
        <f>"新闻采编与制作"</f>
        <v>新闻采编与制作</v>
      </c>
      <c r="G1050" s="1" t="str">
        <f>"河南省内乡县五小菜鸟驿站"</f>
        <v>河南省内乡县五小菜鸟驿站</v>
      </c>
      <c r="H1050" s="1" t="str">
        <f t="shared" si="517"/>
        <v>无</v>
      </c>
      <c r="I1050" s="1" t="str">
        <f>"201909-202206  郑州信息科技职业学院  新闻采编与制作   全日制"</f>
        <v>201909-202206  郑州信息科技职业学院  新闻采编与制作   全日制</v>
      </c>
    </row>
    <row r="1051" spans="1:9">
      <c r="A1051" s="1" t="str">
        <f>"411330199303050834"</f>
        <v>411330199303050834</v>
      </c>
      <c r="B1051" s="1" t="str">
        <f>"共青团员"</f>
        <v>共青团员</v>
      </c>
      <c r="C1051" s="1" t="str">
        <f t="shared" si="520"/>
        <v>本科</v>
      </c>
      <c r="D1051" s="1" t="str">
        <f>"20170626"</f>
        <v>20170626</v>
      </c>
      <c r="E1051" s="1" t="str">
        <f>"韩山师范学院"</f>
        <v>韩山师范学院</v>
      </c>
      <c r="F1051" s="1" t="str">
        <f>"社会工作"</f>
        <v>社会工作</v>
      </c>
      <c r="G1051" s="1" t="str">
        <f>"河南省南阳市西峡县阳城镇牛王村唐山组"</f>
        <v>河南省南阳市西峡县阳城镇牛王村唐山组</v>
      </c>
      <c r="H1051" s="1" t="str">
        <f t="shared" si="517"/>
        <v>无</v>
      </c>
      <c r="I1051" s="1" t="str">
        <f>"20130907-20170626 韩山师范学院政法系社会工作专业就读全日制
20170626-20180830 河南省南阳市西峡县待业
20180901-20220804 浙江省宁波市奇强精密冲件有限公司就业
20220805-至今 河南省南阳市西峡县阳城镇待业"</f>
        <v>20130907-20170626 韩山师范学院政法系社会工作专业就读全日制
20170626-20180830 河南省南阳市西峡县待业
20180901-20220804 浙江省宁波市奇强精密冲件有限公司就业
20220805-至今 河南省南阳市西峡县阳城镇待业</v>
      </c>
    </row>
    <row r="1052" spans="1:9">
      <c r="A1052" s="1" t="str">
        <f>"411303199811281015"</f>
        <v>411303199811281015</v>
      </c>
      <c r="B1052" s="1" t="str">
        <f t="shared" ref="B1052:B1056" si="521">"群众"</f>
        <v>群众</v>
      </c>
      <c r="C1052" s="1" t="str">
        <f t="shared" si="520"/>
        <v>本科</v>
      </c>
      <c r="D1052" s="1" t="str">
        <f>"2022.6"</f>
        <v>2022.6</v>
      </c>
      <c r="E1052" s="1" t="str">
        <f>"商丘学院"</f>
        <v>商丘学院</v>
      </c>
      <c r="F1052" s="1" t="str">
        <f>"音乐表演"</f>
        <v>音乐表演</v>
      </c>
      <c r="G1052" s="1" t="str">
        <f>"河南省南阳市宛城区白河路恒大御景湾"</f>
        <v>河南省南阳市宛城区白河路恒大御景湾</v>
      </c>
      <c r="H1052" s="1" t="str">
        <f t="shared" si="517"/>
        <v>无</v>
      </c>
      <c r="I1052" s="1" t="str">
        <f>"201709-202006河南艺术职业学院音乐系音乐表演专业就读
202009-202206商丘学院音乐系音乐表演专业就读。是全日制本科学历"</f>
        <v>201709-202006河南艺术职业学院音乐系音乐表演专业就读
202009-202206商丘学院音乐系音乐表演专业就读。是全日制本科学历</v>
      </c>
    </row>
    <row r="1053" spans="1:9">
      <c r="A1053" s="1" t="str">
        <f>"411325200103202068"</f>
        <v>411325200103202068</v>
      </c>
      <c r="B1053" s="1" t="str">
        <f t="shared" si="521"/>
        <v>群众</v>
      </c>
      <c r="C1053" s="1" t="str">
        <f t="shared" ref="C1053:C1058" si="522">"专科"</f>
        <v>专科</v>
      </c>
      <c r="D1053" s="1" t="str">
        <f>"20220701"</f>
        <v>20220701</v>
      </c>
      <c r="E1053" s="1" t="str">
        <f>"驻马店幼儿师范高等专科学院"</f>
        <v>驻马店幼儿师范高等专科学院</v>
      </c>
      <c r="F1053" s="1" t="str">
        <f>"早期教育"</f>
        <v>早期教育</v>
      </c>
      <c r="G1053" s="1" t="str">
        <f>"海天楼新华书店西50米丰安货运"</f>
        <v>海天楼新华书店西50米丰安货运</v>
      </c>
      <c r="H1053" s="1" t="str">
        <f t="shared" si="517"/>
        <v>无</v>
      </c>
      <c r="I1053" s="1" t="str">
        <f>"201909-202207在驻马店幼儿师范高等专科学院早期教育专业就读 是全日制"</f>
        <v>201909-202207在驻马店幼儿师范高等专科学院早期教育专业就读 是全日制</v>
      </c>
    </row>
    <row r="1054" spans="1:9">
      <c r="A1054" s="1" t="str">
        <f>"411321200205095122"</f>
        <v>411321200205095122</v>
      </c>
      <c r="B1054" s="1" t="str">
        <f>"共青团员"</f>
        <v>共青团员</v>
      </c>
      <c r="C1054" s="1" t="str">
        <f t="shared" ref="C1054:C1057" si="523">"本科"</f>
        <v>本科</v>
      </c>
      <c r="D1054" s="1" t="str">
        <f>"20250701"</f>
        <v>20250701</v>
      </c>
      <c r="E1054" s="1" t="str">
        <f>"河南城建学院"</f>
        <v>河南城建学院</v>
      </c>
      <c r="F1054" s="1" t="str">
        <f>"环境设计"</f>
        <v>环境设计</v>
      </c>
      <c r="G1054" s="1" t="str">
        <f>"河南省南阳市"</f>
        <v>河南省南阳市</v>
      </c>
      <c r="H1054" s="1" t="str">
        <f t="shared" si="517"/>
        <v>无</v>
      </c>
      <c r="I1054" s="1" t="str">
        <f>"202109-202507河南城建学院就读"</f>
        <v>202109-202507河南城建学院就读</v>
      </c>
    </row>
    <row r="1055" spans="1:9">
      <c r="A1055" s="1" t="str">
        <f>"411324199802263212"</f>
        <v>411324199802263212</v>
      </c>
      <c r="B1055" s="1" t="str">
        <f t="shared" si="521"/>
        <v>群众</v>
      </c>
      <c r="C1055" s="1" t="str">
        <f t="shared" si="523"/>
        <v>本科</v>
      </c>
      <c r="D1055" s="1" t="str">
        <f>"20200620"</f>
        <v>20200620</v>
      </c>
      <c r="E1055" s="1" t="str">
        <f>"黑龙江八一农垦大学"</f>
        <v>黑龙江八一农垦大学</v>
      </c>
      <c r="F1055" s="1" t="str">
        <f>"人力资源管理"</f>
        <v>人力资源管理</v>
      </c>
      <c r="G1055" s="1" t="str">
        <f>"河南省南阳市内乡县城关镇南关印刷小区"</f>
        <v>河南省南阳市内乡县城关镇南关印刷小区</v>
      </c>
      <c r="H1055" s="1" t="str">
        <f>"企业人力资源管理师"</f>
        <v>企业人力资源管理师</v>
      </c>
      <c r="I1055" s="1" t="str">
        <f>"201608-202006黑龙江八一农垦大学经济管理学院人力资源管理专业就读，全日制学历
202007-202008牧原集团应届生培训
202008-202109牧原集团人力资源部从事招聘工作
202109-202110在家待业
202111-202411江苏省徐州市睢宁县睢宁长青生物质能源有限公司综合办从事人事文员工作
202411至今在家待业
"</f>
        <v>201608-202006黑龙江八一农垦大学经济管理学院人力资源管理专业就读，全日制学历
202007-202008牧原集团应届生培训
202008-202109牧原集团人力资源部从事招聘工作
202109-202110在家待业
202111-202411江苏省徐州市睢宁县睢宁长青生物质能源有限公司综合办从事人事文员工作
202411至今在家待业
</v>
      </c>
    </row>
    <row r="1056" spans="1:9">
      <c r="A1056" s="1" t="str">
        <f>"412829199011074431"</f>
        <v>412829199011074431</v>
      </c>
      <c r="B1056" s="1" t="str">
        <f t="shared" si="521"/>
        <v>群众</v>
      </c>
      <c r="C1056" s="1" t="str">
        <f t="shared" si="522"/>
        <v>专科</v>
      </c>
      <c r="D1056" s="1" t="str">
        <f>"20140701"</f>
        <v>20140701</v>
      </c>
      <c r="E1056" s="1" t="str">
        <f>"漯河职业技术学院"</f>
        <v>漯河职业技术学院</v>
      </c>
      <c r="F1056" s="1" t="str">
        <f>"电子商务"</f>
        <v>电子商务</v>
      </c>
      <c r="G1056" s="1" t="str">
        <f>"河南省正阳县北关徐小庙"</f>
        <v>河南省正阳县北关徐小庙</v>
      </c>
      <c r="H1056" s="1" t="str">
        <f t="shared" ref="H1056:H1069" si="524">"无"</f>
        <v>无</v>
      </c>
      <c r="I1056" s="1" t="str">
        <f>"201109-201407漯河职业技术学院工商管理系电子商务专业就读。
202112-202507正阳县政务服务中心工作
"</f>
        <v>201109-201407漯河职业技术学院工商管理系电子商务专业就读。
202112-202507正阳县政务服务中心工作
</v>
      </c>
    </row>
    <row r="1057" spans="1:9">
      <c r="A1057" s="1" t="str">
        <f>"411327199812250027"</f>
        <v>411327199812250027</v>
      </c>
      <c r="B1057" s="1" t="str">
        <f t="shared" ref="B1057:B1062" si="525">"中共党员"</f>
        <v>中共党员</v>
      </c>
      <c r="C1057" s="1" t="str">
        <f t="shared" si="523"/>
        <v>本科</v>
      </c>
      <c r="D1057" s="1" t="str">
        <f>"20210701"</f>
        <v>20210701</v>
      </c>
      <c r="E1057" s="1" t="str">
        <f>"华北水利水电大学"</f>
        <v>华北水利水电大学</v>
      </c>
      <c r="F1057" s="1" t="str">
        <f>"汉语国际教育"</f>
        <v>汉语国际教育</v>
      </c>
      <c r="G1057" s="1" t="str">
        <f>"河南省南阳市内乡县城关镇菊潭大街车站组255号"</f>
        <v>河南省南阳市内乡县城关镇菊潭大街车站组255号</v>
      </c>
      <c r="H1057" s="1" t="str">
        <f t="shared" si="524"/>
        <v>无</v>
      </c>
      <c r="I1057" s="1" t="str">
        <f>"1.201709-202107：华北水利水电大学，国际教育学院，汉语国际教育专业，本科，全日制
2.202209-202407：华北水利水电大学，外国语学院，汉语国际教育专业，硕士，全日制
3.202407-202507：河南省南阳市内乡县 待业"</f>
        <v>1.201709-202107：华北水利水电大学，国际教育学院，汉语国际教育专业，本科，全日制
2.202209-202407：华北水利水电大学，外国语学院，汉语国际教育专业，硕士，全日制
3.202407-202507：河南省南阳市内乡县 待业</v>
      </c>
    </row>
    <row r="1058" spans="1:9">
      <c r="A1058" s="1" t="str">
        <f>"411327200302190082"</f>
        <v>411327200302190082</v>
      </c>
      <c r="B1058" s="1" t="str">
        <f>"群众"</f>
        <v>群众</v>
      </c>
      <c r="C1058" s="1" t="str">
        <f t="shared" si="522"/>
        <v>专科</v>
      </c>
      <c r="D1058" s="1" t="str">
        <f>"20250610"</f>
        <v>20250610</v>
      </c>
      <c r="E1058" s="1" t="str">
        <f>"中原科技学院"</f>
        <v>中原科技学院</v>
      </c>
      <c r="F1058" s="1" t="str">
        <f>"学前教育"</f>
        <v>学前教育</v>
      </c>
      <c r="G1058" s="1" t="str">
        <f>"河南省南阳市内乡县城关镇公园路28号"</f>
        <v>河南省南阳市内乡县城关镇公园路28号</v>
      </c>
      <c r="H1058" s="1" t="str">
        <f t="shared" si="524"/>
        <v>无</v>
      </c>
      <c r="I1058" s="1" t="str">
        <f>"202209-202506，中原科技学院教育学院学前教育专业就读，是全日制学历"</f>
        <v>202209-202506，中原科技学院教育学院学前教育专业就读，是全日制学历</v>
      </c>
    </row>
    <row r="1059" spans="1:9">
      <c r="A1059" s="1" t="str">
        <f>"411327200101180080"</f>
        <v>411327200101180080</v>
      </c>
      <c r="B1059" s="1" t="str">
        <f t="shared" si="525"/>
        <v>中共党员</v>
      </c>
      <c r="C1059" s="1" t="str">
        <f t="shared" ref="C1059:C1062" si="526">"本科"</f>
        <v>本科</v>
      </c>
      <c r="D1059" s="1" t="str">
        <f>"20230701"</f>
        <v>20230701</v>
      </c>
      <c r="E1059" s="1" t="str">
        <f>"郑州升达经贸管理学院"</f>
        <v>郑州升达经贸管理学院</v>
      </c>
      <c r="F1059" s="1" t="str">
        <f>"财务管理"</f>
        <v>财务管理</v>
      </c>
      <c r="G1059" s="1" t="str">
        <f>"河南省南阳市内乡县"</f>
        <v>河南省南阳市内乡县</v>
      </c>
      <c r="H1059" s="1" t="str">
        <f t="shared" si="524"/>
        <v>无</v>
      </c>
      <c r="I1059" s="1" t="str">
        <f>"201809-202106 河南财政金融学院会计学院会计专业就读，是全日制；
202109-202307 郑州升达经贸管理学院会计学院财务管理专业就读，是全日制；
202307至今 河南吉量建材有限公司"</f>
        <v>201809-202106 河南财政金融学院会计学院会计专业就读，是全日制；
202109-202307 郑州升达经贸管理学院会计学院财务管理专业就读，是全日制；
202307至今 河南吉量建材有限公司</v>
      </c>
    </row>
    <row r="1060" spans="1:9">
      <c r="A1060" s="1" t="str">
        <f>"410526200202190011"</f>
        <v>410526200202190011</v>
      </c>
      <c r="B1060" s="1" t="str">
        <f>"共青团员"</f>
        <v>共青团员</v>
      </c>
      <c r="C1060" s="1" t="str">
        <f t="shared" si="526"/>
        <v>本科</v>
      </c>
      <c r="D1060" s="1" t="str">
        <f>"2025年6月30日"</f>
        <v>2025年6月30日</v>
      </c>
      <c r="E1060" s="1" t="str">
        <f>"湖北经济学院法商学院"</f>
        <v>湖北经济学院法商学院</v>
      </c>
      <c r="F1060" s="1" t="str">
        <f>"动画"</f>
        <v>动画</v>
      </c>
      <c r="G1060" s="1" t="str">
        <f>"河南省安阳市文峰区华城国际小区"</f>
        <v>河南省安阳市文峰区华城国际小区</v>
      </c>
      <c r="H1060" s="1" t="str">
        <f t="shared" si="524"/>
        <v>无</v>
      </c>
      <c r="I1060" s="1" t="str">
        <f>"202109-202506 湖北经济学院法商学院 传媒与艺术设计系 动画专业就读，为全日制"</f>
        <v>202109-202506 湖北经济学院法商学院 传媒与艺术设计系 动画专业就读，为全日制</v>
      </c>
    </row>
    <row r="1061" spans="1:9">
      <c r="A1061" s="1" t="str">
        <f>"411327200206060640"</f>
        <v>411327200206060640</v>
      </c>
      <c r="B1061" s="1" t="str">
        <f t="shared" si="525"/>
        <v>中共党员</v>
      </c>
      <c r="C1061" s="1" t="str">
        <f t="shared" si="526"/>
        <v>本科</v>
      </c>
      <c r="D1061" s="1" t="str">
        <f>"2024-07-01"</f>
        <v>2024-07-01</v>
      </c>
      <c r="E1061" s="1" t="str">
        <f>"许昌学院"</f>
        <v>许昌学院</v>
      </c>
      <c r="F1061" s="1" t="str">
        <f>"音乐学"</f>
        <v>音乐学</v>
      </c>
      <c r="G1061" s="1" t="str">
        <f>"内乡县新都花苑3号楼1002"</f>
        <v>内乡县新都花苑3号楼1002</v>
      </c>
      <c r="H1061" s="1" t="str">
        <f t="shared" si="524"/>
        <v>无</v>
      </c>
      <c r="I1061" s="1" t="str">
        <f>"2020.09-2024.07许昌学院音乐舞蹈学院音乐学专业就读，是全日制学历"</f>
        <v>2020.09-2024.07许昌学院音乐舞蹈学院音乐学专业就读，是全日制学历</v>
      </c>
    </row>
    <row r="1062" spans="1:9">
      <c r="A1062" s="1" t="str">
        <f>"411322200010050051"</f>
        <v>411322200010050051</v>
      </c>
      <c r="B1062" s="1" t="str">
        <f t="shared" si="525"/>
        <v>中共党员</v>
      </c>
      <c r="C1062" s="1" t="str">
        <f t="shared" si="526"/>
        <v>本科</v>
      </c>
      <c r="D1062" s="1" t="str">
        <f>"20220630"</f>
        <v>20220630</v>
      </c>
      <c r="E1062" s="1" t="str">
        <f>"河南大学"</f>
        <v>河南大学</v>
      </c>
      <c r="F1062" s="1" t="str">
        <f>"经济学"</f>
        <v>经济学</v>
      </c>
      <c r="G1062" s="1" t="str">
        <f>"河南省南阳市方城县幸福花园小区"</f>
        <v>河南省南阳市方城县幸福花园小区</v>
      </c>
      <c r="H1062" s="1" t="str">
        <f t="shared" si="524"/>
        <v>无</v>
      </c>
      <c r="I1062" s="1" t="str">
        <f>"20180901-20220630 河南大学经济学院经济学专业 全日制本科
20220701-20240927 贵阳市高登世德金融科技有限公司
20240928-至今 待业"</f>
        <v>20180901-20220630 河南大学经济学院经济学专业 全日制本科
20220701-20240927 贵阳市高登世德金融科技有限公司
20240928-至今 待业</v>
      </c>
    </row>
    <row r="1063" spans="1:9">
      <c r="A1063" s="1" t="str">
        <f>"411302200012070827"</f>
        <v>411302200012070827</v>
      </c>
      <c r="B1063" s="1" t="str">
        <f t="shared" ref="B1063:B1069" si="527">"群众"</f>
        <v>群众</v>
      </c>
      <c r="C1063" s="1" t="str">
        <f>"硕士研究生"</f>
        <v>硕士研究生</v>
      </c>
      <c r="D1063" s="1" t="str">
        <f>"2024.03"</f>
        <v>2024.03</v>
      </c>
      <c r="E1063" s="1" t="str">
        <f>"香港理工大学"</f>
        <v>香港理工大学</v>
      </c>
      <c r="F1063" s="1" t="str">
        <f>"国际酒店管理"</f>
        <v>国际酒店管理</v>
      </c>
      <c r="G1063" s="1" t="str">
        <f>"河南省南阳市宛城区"</f>
        <v>河南省南阳市宛城区</v>
      </c>
      <c r="H1063" s="1" t="str">
        <f t="shared" si="524"/>
        <v>无</v>
      </c>
      <c r="I1063" s="1" t="str">
        <f>"2015.9-2018.7南阳市第二高级中学
2018.9-2022.6天津商业大学（全日制）
2022.8-2024.3香港理工大学（全日制）
"</f>
        <v>2015.9-2018.7南阳市第二高级中学
2018.9-2022.6天津商业大学（全日制）
2022.8-2024.3香港理工大学（全日制）
</v>
      </c>
    </row>
    <row r="1064" spans="1:9">
      <c r="A1064" s="1" t="str">
        <f>"410325199802235022"</f>
        <v>410325199802235022</v>
      </c>
      <c r="B1064" s="1" t="str">
        <f>"共青团员"</f>
        <v>共青团员</v>
      </c>
      <c r="C1064" s="1" t="str">
        <f t="shared" ref="C1064:C1067" si="528">"本科"</f>
        <v>本科</v>
      </c>
      <c r="D1064" s="1" t="str">
        <f>"20200701"</f>
        <v>20200701</v>
      </c>
      <c r="E1064" s="1" t="str">
        <f>"河南城建学院"</f>
        <v>河南城建学院</v>
      </c>
      <c r="F1064" s="1" t="str">
        <f>"数学与应用数学"</f>
        <v>数学与应用数学</v>
      </c>
      <c r="G1064" s="1" t="str">
        <f>"河南省洛阳市嵩县车村镇"</f>
        <v>河南省洛阳市嵩县车村镇</v>
      </c>
      <c r="H1064" s="1" t="str">
        <f t="shared" si="524"/>
        <v>无</v>
      </c>
      <c r="I1064" s="1" t="str">
        <f>"20160901-20200701 河南城建学院数理系数学与应用数学专业就读，全日制学历"</f>
        <v>20160901-20200701 河南城建学院数理系数学与应用数学专业就读，全日制学历</v>
      </c>
    </row>
    <row r="1065" spans="1:9">
      <c r="A1065" s="1" t="str">
        <f>"411323199809120031"</f>
        <v>411323199809120031</v>
      </c>
      <c r="B1065" s="1" t="str">
        <f>"中共党员"</f>
        <v>中共党员</v>
      </c>
      <c r="C1065" s="1" t="str">
        <f t="shared" si="528"/>
        <v>本科</v>
      </c>
      <c r="D1065" s="1" t="str">
        <f>"20230101"</f>
        <v>20230101</v>
      </c>
      <c r="E1065" s="1" t="str">
        <f>"新乡医学院"</f>
        <v>新乡医学院</v>
      </c>
      <c r="F1065" s="1" t="str">
        <f>"医学检验技术"</f>
        <v>医学检验技术</v>
      </c>
      <c r="G1065" s="1" t="str">
        <f>"淅川县钟观社区南区8排"</f>
        <v>淅川县钟观社区南区8排</v>
      </c>
      <c r="H1065" s="1" t="str">
        <f t="shared" si="524"/>
        <v>无</v>
      </c>
      <c r="I1065" s="1" t="s">
        <v>218</v>
      </c>
    </row>
    <row r="1066" spans="1:9">
      <c r="A1066" s="1" t="str">
        <f>"411324200409074533"</f>
        <v>411324200409074533</v>
      </c>
      <c r="B1066" s="1" t="str">
        <f>"共青团员"</f>
        <v>共青团员</v>
      </c>
      <c r="C1066" s="1" t="str">
        <f>"专科"</f>
        <v>专科</v>
      </c>
      <c r="D1066" s="1" t="str">
        <f>"20250607"</f>
        <v>20250607</v>
      </c>
      <c r="E1066" s="1" t="str">
        <f>"濮阳职业技术学院"</f>
        <v>濮阳职业技术学院</v>
      </c>
      <c r="F1066" s="1" t="str">
        <f>"小学教育（师范）"</f>
        <v>小学教育（师范）</v>
      </c>
      <c r="G1066" s="1" t="str">
        <f>"河南省南阳市镇平县西关紫金城路紫荆小区"</f>
        <v>河南省南阳市镇平县西关紫金城路紫荆小区</v>
      </c>
      <c r="H1066" s="1" t="str">
        <f t="shared" si="524"/>
        <v>无</v>
      </c>
      <c r="I1066" s="1" t="str">
        <f>"202209-202506濮阳职业技术学院数学与信息工程学院小学教育就读，是全日制学历"</f>
        <v>202209-202506濮阳职业技术学院数学与信息工程学院小学教育就读，是全日制学历</v>
      </c>
    </row>
    <row r="1067" spans="1:9">
      <c r="A1067" s="1" t="str">
        <f>"411323199104100516"</f>
        <v>411323199104100516</v>
      </c>
      <c r="B1067" s="1" t="str">
        <f t="shared" si="527"/>
        <v>群众</v>
      </c>
      <c r="C1067" s="1" t="str">
        <f t="shared" si="528"/>
        <v>本科</v>
      </c>
      <c r="D1067" s="1" t="str">
        <f>"2015-06-12"</f>
        <v>2015-06-12</v>
      </c>
      <c r="E1067" s="1" t="str">
        <f>"浙江树人大学"</f>
        <v>浙江树人大学</v>
      </c>
      <c r="F1067" s="1" t="str">
        <f>"物流管理"</f>
        <v>物流管理</v>
      </c>
      <c r="G1067" s="1" t="str">
        <f>"河南省南阳市淅川县龙城花园二期"</f>
        <v>河南省南阳市淅川县龙城花园二期</v>
      </c>
      <c r="H1067" s="1" t="str">
        <f t="shared" si="524"/>
        <v>无</v>
      </c>
      <c r="I1067" s="1" t="str">
        <f>"201109-201506 在浙江树人大学现代服务业学院物流管理专业就读，是全日制学历
201506-202110 在德邦快递有限公司工作
202111-20228 待业
202209-至今 在毛堂乡专职消防救援队工作"</f>
        <v>201109-201506 在浙江树人大学现代服务业学院物流管理专业就读，是全日制学历
201506-202110 在德邦快递有限公司工作
202111-20228 待业
202209-至今 在毛堂乡专职消防救援队工作</v>
      </c>
    </row>
    <row r="1068" spans="1:9">
      <c r="A1068" s="1" t="str">
        <f>"411302199605024812"</f>
        <v>411302199605024812</v>
      </c>
      <c r="B1068" s="1" t="str">
        <f t="shared" si="527"/>
        <v>群众</v>
      </c>
      <c r="C1068" s="1" t="str">
        <f>"硕士研究生"</f>
        <v>硕士研究生</v>
      </c>
      <c r="D1068" s="1" t="str">
        <f>"20230623"</f>
        <v>20230623</v>
      </c>
      <c r="E1068" s="1" t="str">
        <f>"河南大学"</f>
        <v>河南大学</v>
      </c>
      <c r="F1068" s="1" t="str">
        <f>"土木水利"</f>
        <v>土木水利</v>
      </c>
      <c r="G1068" s="1" t="str">
        <f>"河南省南阳市宛城区"</f>
        <v>河南省南阳市宛城区</v>
      </c>
      <c r="H1068" s="1" t="str">
        <f t="shared" si="524"/>
        <v>无</v>
      </c>
      <c r="I1068" s="1" t="str">
        <f>"201509-201906  湖北工业大学工程技术学院  土木工程学院 土木工程专业 
201906-202009 在南阳待业
202009-202306 河南大学土木建筑学院     土木水利专业
202306-至今 南阳待业"</f>
        <v>201509-201906  湖北工业大学工程技术学院  土木工程学院 土木工程专业 
201906-202009 在南阳待业
202009-202306 河南大学土木建筑学院     土木水利专业
202306-至今 南阳待业</v>
      </c>
    </row>
    <row r="1069" spans="1:9">
      <c r="A1069" s="1" t="str">
        <f>"371122199712011234"</f>
        <v>371122199712011234</v>
      </c>
      <c r="B1069" s="1" t="str">
        <f t="shared" si="527"/>
        <v>群众</v>
      </c>
      <c r="C1069" s="1" t="str">
        <f t="shared" ref="C1069:C1072" si="529">"本科"</f>
        <v>本科</v>
      </c>
      <c r="D1069" s="1" t="str">
        <f>"2019-06-24"</f>
        <v>2019-06-24</v>
      </c>
      <c r="E1069" s="1" t="str">
        <f>"青岛理工大学"</f>
        <v>青岛理工大学</v>
      </c>
      <c r="F1069" s="1" t="str">
        <f>"电气工程及其自动化"</f>
        <v>电气工程及其自动化</v>
      </c>
      <c r="G1069" s="1" t="str">
        <f>"山东省日照市莒县城阳街道北坛路沭韵家园"</f>
        <v>山东省日照市莒县城阳街道北坛路沭韵家园</v>
      </c>
      <c r="H1069" s="1" t="str">
        <f t="shared" si="524"/>
        <v>无</v>
      </c>
      <c r="I1069" s="1" t="str">
        <f>"201509-201906 青岛理工大学 信息与控制工程学院 电气工程及其自动化专业 是全日制学历：201906-至今 待业"</f>
        <v>201509-201906 青岛理工大学 信息与控制工程学院 电气工程及其自动化专业 是全日制学历：201906-至今 待业</v>
      </c>
    </row>
    <row r="1070" spans="1:9">
      <c r="A1070" s="1" t="str">
        <f>"411327200010212024"</f>
        <v>411327200010212024</v>
      </c>
      <c r="B1070" s="1" t="str">
        <f>"共青团员"</f>
        <v>共青团员</v>
      </c>
      <c r="C1070" s="1" t="str">
        <f t="shared" si="529"/>
        <v>本科</v>
      </c>
      <c r="D1070" s="1" t="str">
        <f>"20240628"</f>
        <v>20240628</v>
      </c>
      <c r="E1070" s="1" t="str">
        <f>"黄河科技学院"</f>
        <v>黄河科技学院</v>
      </c>
      <c r="F1070" s="1" t="str">
        <f>"学前教育"</f>
        <v>学前教育</v>
      </c>
      <c r="G1070" s="1" t="str">
        <f>"河南省内乡县罗岗镇民政局西"</f>
        <v>河南省内乡县罗岗镇民政局西</v>
      </c>
      <c r="H1070" s="1" t="str">
        <f>"保育员证"</f>
        <v>保育员证</v>
      </c>
      <c r="I1070" s="1" t="str">
        <f>"201909-202206商丘学院应用科技学院学前教育
202209-202406黄河科技学院应用科技学院学前教育
2024-至今在家待业"</f>
        <v>201909-202206商丘学院应用科技学院学前教育
202209-202406黄河科技学院应用科技学院学前教育
2024-至今在家待业</v>
      </c>
    </row>
    <row r="1071" spans="1:9">
      <c r="A1071" s="1" t="str">
        <f>"411327200207142525"</f>
        <v>411327200207142525</v>
      </c>
      <c r="B1071" s="1" t="str">
        <f t="shared" ref="B1071:B1076" si="530">"群众"</f>
        <v>群众</v>
      </c>
      <c r="C1071" s="1" t="str">
        <f t="shared" si="529"/>
        <v>本科</v>
      </c>
      <c r="D1071" s="1" t="str">
        <f>"20250607"</f>
        <v>20250607</v>
      </c>
      <c r="E1071" s="1" t="str">
        <f>"郑州经贸学院"</f>
        <v>郑州经贸学院</v>
      </c>
      <c r="F1071" s="1" t="str">
        <f>"会计学"</f>
        <v>会计学</v>
      </c>
      <c r="G1071" s="1" t="str">
        <f>"河南省南阳市内乡县王店镇"</f>
        <v>河南省南阳市内乡县王店镇</v>
      </c>
      <c r="H1071" s="1" t="str">
        <f>"初级会计资格证书"</f>
        <v>初级会计资格证书</v>
      </c>
      <c r="I1071" s="1" t="str">
        <f>"202009-202306 焦作大学 就读
202309-202506 郑州经贸学院 就读 
全日制学历"</f>
        <v>202009-202306 焦作大学 就读
202309-202506 郑州经贸学院 就读 
全日制学历</v>
      </c>
    </row>
    <row r="1072" spans="1:9">
      <c r="A1072" s="1" t="str">
        <f>"411523199401050018"</f>
        <v>411523199401050018</v>
      </c>
      <c r="B1072" s="1" t="str">
        <f t="shared" si="530"/>
        <v>群众</v>
      </c>
      <c r="C1072" s="1" t="str">
        <f t="shared" si="529"/>
        <v>本科</v>
      </c>
      <c r="D1072" s="1" t="str">
        <f>"20170217"</f>
        <v>20170217</v>
      </c>
      <c r="E1072" s="1" t="str">
        <f>"韩国东西大学"</f>
        <v>韩国东西大学</v>
      </c>
      <c r="F1072" s="1" t="str">
        <f>"国际经济与贸易"</f>
        <v>国际经济与贸易</v>
      </c>
      <c r="G1072" s="1" t="str">
        <f>"河南省信阳市新县朝阳二区"</f>
        <v>河南省信阳市新县朝阳二区</v>
      </c>
      <c r="H1072" s="1" t="str">
        <f t="shared" ref="H1072:H1076" si="531">"无"</f>
        <v>无</v>
      </c>
      <c r="I1072" s="1" t="str">
        <f>"201303-201702于韩国东西大学国际学部就读国际经济与贸易专业，是全日制。
201702-202003于信阳待业
202003-至今于新县普仁堂大药房工作"</f>
        <v>201303-201702于韩国东西大学国际学部就读国际经济与贸易专业，是全日制。
201702-202003于信阳待业
202003-至今于新县普仁堂大药房工作</v>
      </c>
    </row>
    <row r="1073" spans="1:9">
      <c r="A1073" s="1" t="str">
        <f>"411326200311200047"</f>
        <v>411326200311200047</v>
      </c>
      <c r="B1073" s="1" t="str">
        <f>"共青团员"</f>
        <v>共青团员</v>
      </c>
      <c r="C1073" s="1" t="str">
        <f>"专科"</f>
        <v>专科</v>
      </c>
      <c r="D1073" s="1" t="str">
        <f>"20250630"</f>
        <v>20250630</v>
      </c>
      <c r="E1073" s="1" t="str">
        <f>"锦州师范高等专科学校"</f>
        <v>锦州师范高等专科学校</v>
      </c>
      <c r="F1073" s="1" t="str">
        <f>"学前教育（师范类）"</f>
        <v>学前教育（师范类）</v>
      </c>
      <c r="G1073" s="1" t="str">
        <f>"河南省南阳市南召县云阳镇南召店村"</f>
        <v>河南省南阳市南召县云阳镇南召店村</v>
      </c>
      <c r="H1073" s="1" t="str">
        <f t="shared" si="531"/>
        <v>无</v>
      </c>
      <c r="I1073" s="1" t="str">
        <f>"202209-202506在锦州师范高等专科学校学前与音乐教育学院学前教育专业就读，全日制学历。202506-至今在家待业。"</f>
        <v>202209-202506在锦州师范高等专科学校学前与音乐教育学院学前教育专业就读，全日制学历。202506-至今在家待业。</v>
      </c>
    </row>
    <row r="1074" spans="1:9">
      <c r="A1074" s="1" t="str">
        <f>"41122119971115602X"</f>
        <v>41122119971115602X</v>
      </c>
      <c r="B1074" s="1" t="str">
        <f>"中共党员"</f>
        <v>中共党员</v>
      </c>
      <c r="C1074" s="1" t="str">
        <f t="shared" ref="C1074:C1081" si="532">"本科"</f>
        <v>本科</v>
      </c>
      <c r="D1074" s="1" t="str">
        <f>"20210701"</f>
        <v>20210701</v>
      </c>
      <c r="E1074" s="1" t="str">
        <f>"洛阳理工学院"</f>
        <v>洛阳理工学院</v>
      </c>
      <c r="F1074" s="1" t="str">
        <f>"汉语言文学"</f>
        <v>汉语言文学</v>
      </c>
      <c r="G1074" s="1" t="str">
        <f>"河南省三门峡市渑池县黄花永乐小区"</f>
        <v>河南省三门峡市渑池县黄花永乐小区</v>
      </c>
      <c r="H1074" s="1" t="str">
        <f t="shared" si="531"/>
        <v>无</v>
      </c>
      <c r="I1074" s="1" t="str">
        <f>"201609-201906在开封大学人文学院新闻采编与制作专业就读（全日制）
201909-202107在洛阳理工学院人文与科学学院汉语言文学专业就读（全日制）
202107-202112在河南省三门峡市渑池县松鼠AI工作，未缴纳社保
202201-202404在河南省三门峡市渑池县待业中
202405至今，在河南省三门峡市渑池县松鼠托管班工作，未缴纳社保
"</f>
        <v>201609-201906在开封大学人文学院新闻采编与制作专业就读（全日制）
201909-202107在洛阳理工学院人文与科学学院汉语言文学专业就读（全日制）
202107-202112在河南省三门峡市渑池县松鼠AI工作，未缴纳社保
202201-202404在河南省三门峡市渑池县待业中
202405至今，在河南省三门峡市渑池县松鼠托管班工作，未缴纳社保
</v>
      </c>
    </row>
    <row r="1075" spans="1:9">
      <c r="A1075" s="1" t="str">
        <f>"411303200201170145"</f>
        <v>411303200201170145</v>
      </c>
      <c r="B1075" s="1" t="str">
        <f>"中共党员"</f>
        <v>中共党员</v>
      </c>
      <c r="C1075" s="1" t="str">
        <f t="shared" si="532"/>
        <v>本科</v>
      </c>
      <c r="D1075" s="1" t="str">
        <f>"2025-06-17"</f>
        <v>2025-06-17</v>
      </c>
      <c r="E1075" s="1" t="str">
        <f>"天津商业大学"</f>
        <v>天津商业大学</v>
      </c>
      <c r="F1075" s="1" t="str">
        <f>"人力资源管理专业"</f>
        <v>人力资源管理专业</v>
      </c>
      <c r="G1075" s="1" t="str">
        <f>"河南南阳西峡帝景天城"</f>
        <v>河南南阳西峡帝景天城</v>
      </c>
      <c r="H1075" s="1" t="str">
        <f t="shared" si="531"/>
        <v>无</v>
      </c>
      <c r="I1075" s="1" t="str">
        <f>"202109-202506 天津商业大学人力资源管理专业 就读"</f>
        <v>202109-202506 天津商业大学人力资源管理专业 就读</v>
      </c>
    </row>
    <row r="1076" spans="1:9">
      <c r="A1076" s="1" t="str">
        <f>"411302199707200813"</f>
        <v>411302199707200813</v>
      </c>
      <c r="B1076" s="1" t="str">
        <f t="shared" si="530"/>
        <v>群众</v>
      </c>
      <c r="C1076" s="1" t="str">
        <f t="shared" si="532"/>
        <v>本科</v>
      </c>
      <c r="D1076" s="1" t="str">
        <f>"20190626"</f>
        <v>20190626</v>
      </c>
      <c r="E1076" s="1" t="str">
        <f>"沈阳建筑大学"</f>
        <v>沈阳建筑大学</v>
      </c>
      <c r="F1076" s="1" t="str">
        <f>"土木工程"</f>
        <v>土木工程</v>
      </c>
      <c r="G1076" s="1" t="str">
        <f>"河南省南阳市卧龙区中州西路祥和乐园"</f>
        <v>河南省南阳市卧龙区中州西路祥和乐园</v>
      </c>
      <c r="H1076" s="1" t="str">
        <f t="shared" si="531"/>
        <v>无</v>
      </c>
      <c r="I1076" s="1" t="str">
        <f>"201509-201906 沈阳建筑大学 就读土木工程专业，是全日制学历。
201906-202506 于南阳市清净水利公司工作。"</f>
        <v>201509-201906 沈阳建筑大学 就读土木工程专业，是全日制学历。
201906-202506 于南阳市清净水利公司工作。</v>
      </c>
    </row>
    <row r="1077" spans="1:9">
      <c r="A1077" s="1" t="str">
        <f>"411330200203170527"</f>
        <v>411330200203170527</v>
      </c>
      <c r="B1077" s="1" t="str">
        <f>"共青团员"</f>
        <v>共青团员</v>
      </c>
      <c r="C1077" s="1" t="str">
        <f t="shared" si="532"/>
        <v>本科</v>
      </c>
      <c r="D1077" s="1" t="str">
        <f>"20250602"</f>
        <v>20250602</v>
      </c>
      <c r="E1077" s="1" t="str">
        <f>"周口师范学院"</f>
        <v>周口师范学院</v>
      </c>
      <c r="F1077" s="1" t="str">
        <f>"法学"</f>
        <v>法学</v>
      </c>
      <c r="G1077" s="1" t="str">
        <f>"河南省南阳市西峡县田关镇王营村王营五组"</f>
        <v>河南省南阳市西峡县田关镇王营村王营五组</v>
      </c>
      <c r="H1077" s="1" t="str">
        <f>"法律职业资格A证"</f>
        <v>法律职业资格A证</v>
      </c>
      <c r="I1077" s="1" t="str">
        <f>"202009-202306
河南检察职业学院  检察系检察事务专业就读  全日制
202309-202506
周口师范学院 政法学院法学专业就读 全日制"</f>
        <v>202009-202306
河南检察职业学院  检察系检察事务专业就读  全日制
202309-202506
周口师范学院 政法学院法学专业就读 全日制</v>
      </c>
    </row>
    <row r="1078" spans="1:9">
      <c r="A1078" s="1" t="str">
        <f>"411327200110060021"</f>
        <v>411327200110060021</v>
      </c>
      <c r="B1078" s="1" t="str">
        <f>"群众"</f>
        <v>群众</v>
      </c>
      <c r="C1078" s="1" t="str">
        <f t="shared" si="532"/>
        <v>本科</v>
      </c>
      <c r="D1078" s="1" t="str">
        <f>"20230605"</f>
        <v>20230605</v>
      </c>
      <c r="E1078" s="1" t="str">
        <f>"黄河科技学院"</f>
        <v>黄河科技学院</v>
      </c>
      <c r="F1078" s="1" t="str">
        <f>"车辆工程"</f>
        <v>车辆工程</v>
      </c>
      <c r="G1078" s="1" t="str">
        <f>"河南省南阳市内乡县城关镇西关壹加壹后粮油小区"</f>
        <v>河南省南阳市内乡县城关镇西关壹加壹后粮油小区</v>
      </c>
      <c r="H1078" s="1" t="str">
        <f t="shared" ref="H1078:H1081" si="533">"无"</f>
        <v>无</v>
      </c>
      <c r="I1078" s="1" t="str">
        <f>"201909-202306 黄河科技学院 就读"</f>
        <v>201909-202306 黄河科技学院 就读</v>
      </c>
    </row>
    <row r="1079" spans="1:9">
      <c r="A1079" s="1" t="str">
        <f>"411324200105160053"</f>
        <v>411324200105160053</v>
      </c>
      <c r="B1079" s="1" t="str">
        <f>"共青团员"</f>
        <v>共青团员</v>
      </c>
      <c r="C1079" s="1" t="str">
        <f t="shared" si="532"/>
        <v>本科</v>
      </c>
      <c r="D1079" s="1" t="str">
        <f>"20240701"</f>
        <v>20240701</v>
      </c>
      <c r="E1079" s="1" t="str">
        <f>"商丘工学院"</f>
        <v>商丘工学院</v>
      </c>
      <c r="F1079" s="1" t="str">
        <f>"车辆工程"</f>
        <v>车辆工程</v>
      </c>
      <c r="G1079" s="1" t="str">
        <f>"河南省南阳市镇平县涅阳街道三和巷"</f>
        <v>河南省南阳市镇平县涅阳街道三和巷</v>
      </c>
      <c r="H1079" s="1" t="str">
        <f t="shared" si="533"/>
        <v>无</v>
      </c>
      <c r="I1079" s="1" t="str">
        <f>"202010-202407 商丘工学院机械工程学院车辆工程专业就读 全日制学历
202407-至今 在河南省南阳市待业"</f>
        <v>202010-202407 商丘工学院机械工程学院车辆工程专业就读 全日制学历
202407-至今 在河南省南阳市待业</v>
      </c>
    </row>
    <row r="1080" spans="1:9">
      <c r="A1080" s="1" t="str">
        <f>"411381200202131526"</f>
        <v>411381200202131526</v>
      </c>
      <c r="B1080" s="1" t="str">
        <f t="shared" ref="B1080:B1083" si="534">"中共党员"</f>
        <v>中共党员</v>
      </c>
      <c r="C1080" s="1" t="str">
        <f t="shared" si="532"/>
        <v>本科</v>
      </c>
      <c r="D1080" s="1" t="str">
        <f>"20250701"</f>
        <v>20250701</v>
      </c>
      <c r="E1080" s="1" t="str">
        <f>"安阳师范学院"</f>
        <v>安阳师范学院</v>
      </c>
      <c r="F1080" s="1" t="str">
        <f>"小学教育"</f>
        <v>小学教育</v>
      </c>
      <c r="G1080" s="1" t="str">
        <f>"河南省邓州市张楼乡小丁村  张艳璐收  联系电话18240597088"</f>
        <v>河南省邓州市张楼乡小丁村  张艳璐收  联系电话18240597088</v>
      </c>
      <c r="H1080" s="1" t="str">
        <f t="shared" si="533"/>
        <v>无</v>
      </c>
      <c r="I1080" s="1" t="str">
        <f>"201909-202207在濮阳职业技术学院高速铁路客运乘务专业就读，是全日制学历
202207-202410在邓州市编外雷锋团展览馆担任讲解员一职
202304-202507在安阳师范学院小学教育专业就读，函授"</f>
        <v>201909-202207在濮阳职业技术学院高速铁路客运乘务专业就读，是全日制学历
202207-202410在邓州市编外雷锋团展览馆担任讲解员一职
202304-202507在安阳师范学院小学教育专业就读，函授</v>
      </c>
    </row>
    <row r="1081" spans="1:9">
      <c r="A1081" s="1" t="str">
        <f>"411327199903260327"</f>
        <v>411327199903260327</v>
      </c>
      <c r="B1081" s="1" t="str">
        <f t="shared" ref="B1081:B1085" si="535">"群众"</f>
        <v>群众</v>
      </c>
      <c r="C1081" s="1" t="str">
        <f t="shared" si="532"/>
        <v>本科</v>
      </c>
      <c r="D1081" s="1" t="str">
        <f>"20210607"</f>
        <v>20210607</v>
      </c>
      <c r="E1081" s="1" t="str">
        <f>"南昌理工学院"</f>
        <v>南昌理工学院</v>
      </c>
      <c r="F1081" s="1" t="str">
        <f>"表演/国际经济与贸易"</f>
        <v>表演/国际经济与贸易</v>
      </c>
      <c r="G1081" s="1" t="str">
        <f>"河南省南阳市内乡县宝天曼商城十号楼"</f>
        <v>河南省南阳市内乡县宝天曼商城十号楼</v>
      </c>
      <c r="H1081" s="1" t="str">
        <f t="shared" si="533"/>
        <v>无</v>
      </c>
      <c r="I1081" s="1" t="str">
        <f>"201709-202106 南昌理工学院 表演/国际经济与贸易  普通全日制
202106-202210  内乡菊潭学校 小学教师
202210-至今       在家待业"</f>
        <v>201709-202106 南昌理工学院 表演/国际经济与贸易  普通全日制
202106-202210  内乡菊潭学校 小学教师
202210-至今       在家待业</v>
      </c>
    </row>
    <row r="1082" spans="1:9">
      <c r="A1082" s="1" t="str">
        <f>"41132719900305152X"</f>
        <v>41132719900305152X</v>
      </c>
      <c r="B1082" s="1" t="str">
        <f t="shared" si="534"/>
        <v>中共党员</v>
      </c>
      <c r="C1082" s="1" t="str">
        <f>"专科"</f>
        <v>专科</v>
      </c>
      <c r="D1082" s="1" t="str">
        <f>"20110701"</f>
        <v>20110701</v>
      </c>
      <c r="E1082" s="1" t="str">
        <f>"南阳医学高等专科学校"</f>
        <v>南阳医学高等专科学校</v>
      </c>
      <c r="F1082" s="1" t="str">
        <f>"护理"</f>
        <v>护理</v>
      </c>
      <c r="G1082" s="1" t="str">
        <f>"内乡县罗岗村谢洼组"</f>
        <v>内乡县罗岗村谢洼组</v>
      </c>
      <c r="H1082" s="1" t="str">
        <f>"内科护理  主管护师"</f>
        <v>内科护理  主管护师</v>
      </c>
      <c r="I1082" s="1" t="str">
        <f>"200909-201107在南阳医学高等专科学校上学   全日制"</f>
        <v>200909-201107在南阳医学高等专科学校上学   全日制</v>
      </c>
    </row>
    <row r="1083" spans="1:9">
      <c r="A1083" s="1" t="str">
        <f>"411330199904024826"</f>
        <v>411330199904024826</v>
      </c>
      <c r="B1083" s="1" t="str">
        <f t="shared" si="534"/>
        <v>中共党员</v>
      </c>
      <c r="C1083" s="1" t="str">
        <f>"硕士研究生"</f>
        <v>硕士研究生</v>
      </c>
      <c r="D1083" s="1" t="str">
        <f>"20240620"</f>
        <v>20240620</v>
      </c>
      <c r="E1083" s="1" t="str">
        <f>"南京中医药大学"</f>
        <v>南京中医药大学</v>
      </c>
      <c r="F1083" s="1" t="str">
        <f>"药学"</f>
        <v>药学</v>
      </c>
      <c r="G1083" s="1" t="str">
        <f>"河南省南阳市西峡县白羽街道三九公寓"</f>
        <v>河南省南阳市西峡县白羽街道三九公寓</v>
      </c>
      <c r="H1083" s="1" t="str">
        <f t="shared" ref="H1083:H1090" si="536">"无"</f>
        <v>无</v>
      </c>
      <c r="I1083" s="1" t="str">
        <f>"201709-202107 西安医学院药学院药学专业 就读 全日制；
202109-202406 南京中医药大学附属南京医院药学专业 就读 全日制。"</f>
        <v>201709-202107 西安医学院药学院药学专业 就读 全日制；
202109-202406 南京中医药大学附属南京医院药学专业 就读 全日制。</v>
      </c>
    </row>
    <row r="1084" spans="1:9">
      <c r="A1084" s="1" t="str">
        <f>"411327199603273118"</f>
        <v>411327199603273118</v>
      </c>
      <c r="B1084" s="1" t="str">
        <f t="shared" si="535"/>
        <v>群众</v>
      </c>
      <c r="C1084" s="1" t="str">
        <f t="shared" ref="C1084:C1087" si="537">"本科"</f>
        <v>本科</v>
      </c>
      <c r="D1084" s="1" t="str">
        <f>"20250710"</f>
        <v>20250710</v>
      </c>
      <c r="E1084" s="1" t="str">
        <f>"兰州大学"</f>
        <v>兰州大学</v>
      </c>
      <c r="F1084" s="1" t="str">
        <f>"土木工程"</f>
        <v>土木工程</v>
      </c>
      <c r="G1084" s="1" t="str">
        <f>"河南省南阳市内乡县"</f>
        <v>河南省南阳市内乡县</v>
      </c>
      <c r="H1084" s="1" t="str">
        <f>"公路水运工程试验检测师"</f>
        <v>公路水运工程试验检测师</v>
      </c>
      <c r="I1084" s="1" t="str">
        <f>"20180424-20200630长沙理工大学河南交职院道路桥梁工程技术专业就读，非全日制。20200901-20250710兰州大学土木工程专业就读，非全日制。20170407-至今在河南交院工程技术集团有限公司任职。"</f>
        <v>20180424-20200630长沙理工大学河南交职院道路桥梁工程技术专业就读，非全日制。20200901-20250710兰州大学土木工程专业就读，非全日制。20170407-至今在河南交院工程技术集团有限公司任职。</v>
      </c>
    </row>
    <row r="1085" spans="1:9">
      <c r="A1085" s="1" t="str">
        <f>"411327200311012026"</f>
        <v>411327200311012026</v>
      </c>
      <c r="B1085" s="1" t="str">
        <f t="shared" si="535"/>
        <v>群众</v>
      </c>
      <c r="C1085" s="1" t="str">
        <f t="shared" si="537"/>
        <v>本科</v>
      </c>
      <c r="D1085" s="1" t="str">
        <f>"20250611"</f>
        <v>20250611</v>
      </c>
      <c r="E1085" s="1" t="str">
        <f>"安阳学院"</f>
        <v>安阳学院</v>
      </c>
      <c r="F1085" s="1" t="str">
        <f>"英语"</f>
        <v>英语</v>
      </c>
      <c r="G1085" s="1" t="str">
        <f>"河南省南阳市内乡县师岗镇李沟村"</f>
        <v>河南省南阳市内乡县师岗镇李沟村</v>
      </c>
      <c r="H1085" s="1" t="str">
        <f t="shared" si="536"/>
        <v>无</v>
      </c>
      <c r="I1085" s="1" t="str">
        <f>"202109-202506 安阳学院 外国语学院英语专业就读。是全日制学历"</f>
        <v>202109-202506 安阳学院 外国语学院英语专业就读。是全日制学历</v>
      </c>
    </row>
    <row r="1086" spans="1:9">
      <c r="A1086" s="1" t="str">
        <f>"412722200204293097"</f>
        <v>412722200204293097</v>
      </c>
      <c r="B1086" s="1" t="str">
        <f t="shared" ref="B1086:B1089" si="538">"共青团员"</f>
        <v>共青团员</v>
      </c>
      <c r="C1086" s="1" t="str">
        <f t="shared" si="537"/>
        <v>本科</v>
      </c>
      <c r="D1086" s="1" t="str">
        <f>"20240620"</f>
        <v>20240620</v>
      </c>
      <c r="E1086" s="1" t="str">
        <f>"洛阳理工学院"</f>
        <v>洛阳理工学院</v>
      </c>
      <c r="F1086" s="1" t="str">
        <f>"酒店管理"</f>
        <v>酒店管理</v>
      </c>
      <c r="G1086" s="1" t="str">
        <f>"河南省周口市西华县叶埠口乡新庄行政村横沟村"</f>
        <v>河南省周口市西华县叶埠口乡新庄行政村横沟村</v>
      </c>
      <c r="H1086" s="1" t="str">
        <f t="shared" si="536"/>
        <v>无</v>
      </c>
      <c r="I1086" s="1" t="str">
        <f>"202009-202406洛阳理工学院旅游管理系酒店管理就读（全日制在读）
202406-至今在户籍地待业"</f>
        <v>202009-202406洛阳理工学院旅游管理系酒店管理就读（全日制在读）
202406-至今在户籍地待业</v>
      </c>
    </row>
    <row r="1087" spans="1:9">
      <c r="A1087" s="1" t="str">
        <f>"411327200111084228"</f>
        <v>411327200111084228</v>
      </c>
      <c r="B1087" s="1" t="str">
        <f t="shared" si="538"/>
        <v>共青团员</v>
      </c>
      <c r="C1087" s="1" t="str">
        <f t="shared" si="537"/>
        <v>本科</v>
      </c>
      <c r="D1087" s="1" t="str">
        <f>"2025-06-11"</f>
        <v>2025-06-11</v>
      </c>
      <c r="E1087" s="1" t="str">
        <f>"安阳学院"</f>
        <v>安阳学院</v>
      </c>
      <c r="F1087" s="1" t="str">
        <f>"数学与应用数学"</f>
        <v>数学与应用数学</v>
      </c>
      <c r="G1087" s="1" t="str">
        <f>"南阳市内乡县湍东镇茶庵村"</f>
        <v>南阳市内乡县湍东镇茶庵村</v>
      </c>
      <c r="H1087" s="1" t="str">
        <f t="shared" si="536"/>
        <v>无</v>
      </c>
      <c r="I1087" s="1" t="str">
        <f>"202109-202506 安阳学院 计算机科学与数学学院 数学与应用数学专业  就读，是全日制学历。"</f>
        <v>202109-202506 安阳学院 计算机科学与数学学院 数学与应用数学专业  就读，是全日制学历。</v>
      </c>
    </row>
    <row r="1088" spans="1:9">
      <c r="A1088" s="1" t="str">
        <f>"411381200010280025"</f>
        <v>411381200010280025</v>
      </c>
      <c r="B1088" s="1" t="str">
        <f t="shared" si="538"/>
        <v>共青团员</v>
      </c>
      <c r="C1088" s="1" t="str">
        <f>"专科"</f>
        <v>专科</v>
      </c>
      <c r="D1088" s="1" t="str">
        <f>"202107"</f>
        <v>202107</v>
      </c>
      <c r="E1088" s="1" t="str">
        <f>"郑州铁路职业技术学院"</f>
        <v>郑州铁路职业技术学院</v>
      </c>
      <c r="F1088" s="1" t="str">
        <f>"铁道供电技术"</f>
        <v>铁道供电技术</v>
      </c>
      <c r="G1088" s="1" t="str">
        <f>"河南省邓州市花洲街道办事处新华路106号"</f>
        <v>河南省邓州市花洲街道办事处新华路106号</v>
      </c>
      <c r="H1088" s="1" t="str">
        <f t="shared" si="536"/>
        <v>无</v>
      </c>
      <c r="I1088" s="1" t="str">
        <f>"201809-202107郑州铁路职业技术学院欧亚系铁道供电技术专业就读是全日制。202107-202304在河南省邓州市待业。202304-202507在河南科技大学电气工程及其自动化专业就读本科，非全日制。"</f>
        <v>201809-202107郑州铁路职业技术学院欧亚系铁道供电技术专业就读是全日制。202107-202304在河南省邓州市待业。202304-202507在河南科技大学电气工程及其自动化专业就读本科，非全日制。</v>
      </c>
    </row>
    <row r="1089" spans="1:9">
      <c r="A1089" s="1" t="str">
        <f>"411327200003220018"</f>
        <v>411327200003220018</v>
      </c>
      <c r="B1089" s="1" t="str">
        <f t="shared" si="538"/>
        <v>共青团员</v>
      </c>
      <c r="C1089" s="1" t="str">
        <f t="shared" ref="C1089:C1091" si="539">"本科"</f>
        <v>本科</v>
      </c>
      <c r="D1089" s="1" t="str">
        <f>"20250701"</f>
        <v>20250701</v>
      </c>
      <c r="E1089" s="1" t="str">
        <f>"西安明德理工学院"</f>
        <v>西安明德理工学院</v>
      </c>
      <c r="F1089" s="1" t="str">
        <f>"计算机科学与技术"</f>
        <v>计算机科学与技术</v>
      </c>
      <c r="G1089" s="1" t="str">
        <f>"河南省南阳市内乡县"</f>
        <v>河南省南阳市内乡县</v>
      </c>
      <c r="H1089" s="1" t="str">
        <f t="shared" si="536"/>
        <v>无</v>
      </c>
      <c r="I1089" s="1" t="str">
        <f>"201709-202007 三门峡职业技术学院 就读
202009-202209 参军入伍
202209-202308 在家等待复学
202308-202507 西安明德理工学院 就读"</f>
        <v>201709-202007 三门峡职业技术学院 就读
202009-202209 参军入伍
202209-202308 在家等待复学
202308-202507 西安明德理工学院 就读</v>
      </c>
    </row>
    <row r="1090" spans="1:9">
      <c r="A1090" s="1" t="str">
        <f>"411327200101290327"</f>
        <v>411327200101290327</v>
      </c>
      <c r="B1090" s="1" t="str">
        <f>"中共党员"</f>
        <v>中共党员</v>
      </c>
      <c r="C1090" s="1" t="str">
        <f t="shared" si="539"/>
        <v>本科</v>
      </c>
      <c r="D1090" s="1" t="str">
        <f>"20220701"</f>
        <v>20220701</v>
      </c>
      <c r="E1090" s="1" t="str">
        <f>"郑州科技学院"</f>
        <v>郑州科技学院</v>
      </c>
      <c r="F1090" s="1" t="str">
        <f>"食品质量与安全"</f>
        <v>食品质量与安全</v>
      </c>
      <c r="G1090" s="1" t="str">
        <f>"河南省南阳市"</f>
        <v>河南省南阳市</v>
      </c>
      <c r="H1090" s="1" t="str">
        <f t="shared" si="536"/>
        <v>无</v>
      </c>
      <c r="I1090" s="1" t="str">
        <f>"201809-202207 郑州科技学院食品科学与工程学院食品质量与安全专业就读 全日制
202209-202507  内乡郦都学校就业"</f>
        <v>201809-202207 郑州科技学院食品科学与工程学院食品质量与安全专业就读 全日制
202209-202507  内乡郦都学校就业</v>
      </c>
    </row>
    <row r="1091" spans="1:9">
      <c r="A1091" s="1" t="str">
        <f>"411323200107261521"</f>
        <v>411323200107261521</v>
      </c>
      <c r="B1091" s="1" t="str">
        <f>"群众"</f>
        <v>群众</v>
      </c>
      <c r="C1091" s="1" t="str">
        <f t="shared" si="539"/>
        <v>本科</v>
      </c>
      <c r="D1091" s="1" t="str">
        <f>"20250630"</f>
        <v>20250630</v>
      </c>
      <c r="E1091" s="1" t="str">
        <f>"郑州升达经贸管理学院"</f>
        <v>郑州升达经贸管理学院</v>
      </c>
      <c r="F1091" s="1" t="str">
        <f>"财务管理"</f>
        <v>财务管理</v>
      </c>
      <c r="G1091" s="1" t="str">
        <f>"河南南阳"</f>
        <v>河南南阳</v>
      </c>
      <c r="H1091" s="1" t="str">
        <f>"初级会计证书"</f>
        <v>初级会计证书</v>
      </c>
      <c r="I1091" s="1" t="str">
        <f>"202010-202306河南财政金融学院就读 全日制大专
202309-202506郑州升达经贸管理学院 全日制本科"</f>
        <v>202010-202306河南财政金融学院就读 全日制大专
202309-202506郑州升达经贸管理学院 全日制本科</v>
      </c>
    </row>
    <row r="1092" spans="1:9">
      <c r="A1092" s="1" t="str">
        <f>"411327200304021522"</f>
        <v>411327200304021522</v>
      </c>
      <c r="B1092" s="1" t="str">
        <f t="shared" ref="B1092:B1096" si="540">"共青团员"</f>
        <v>共青团员</v>
      </c>
      <c r="C1092" s="1" t="str">
        <f>"专科"</f>
        <v>专科</v>
      </c>
      <c r="D1092" s="1" t="str">
        <f>"20240630"</f>
        <v>20240630</v>
      </c>
      <c r="E1092" s="1" t="str">
        <f>"新乡学院"</f>
        <v>新乡学院</v>
      </c>
      <c r="F1092" s="1" t="str">
        <f>"小学数学教育"</f>
        <v>小学数学教育</v>
      </c>
      <c r="G1092" s="1" t="str">
        <f>"河南省南阳市内乡县湍东镇东王营村卢坑组18号"</f>
        <v>河南省南阳市内乡县湍东镇东王营村卢坑组18号</v>
      </c>
      <c r="H1092" s="1" t="str">
        <f t="shared" ref="H1092:H1096" si="541">"无"</f>
        <v>无</v>
      </c>
      <c r="I1092" s="1" t="str">
        <f>"202109-202406 在新乡学院数学与统计学院小学数学教育专业就读，是全日制学历；202406-至今在家待业。"</f>
        <v>202109-202406 在新乡学院数学与统计学院小学数学教育专业就读，是全日制学历；202406-至今在家待业。</v>
      </c>
    </row>
    <row r="1093" spans="1:9">
      <c r="A1093" s="1" t="str">
        <f>"411303200303120237"</f>
        <v>411303200303120237</v>
      </c>
      <c r="B1093" s="1" t="str">
        <f t="shared" si="540"/>
        <v>共青团员</v>
      </c>
      <c r="C1093" s="1" t="str">
        <f t="shared" ref="C1093:C1096" si="542">"本科"</f>
        <v>本科</v>
      </c>
      <c r="D1093" s="1" t="str">
        <f>"20250701"</f>
        <v>20250701</v>
      </c>
      <c r="E1093" s="1" t="str">
        <f>"新乡学院"</f>
        <v>新乡学院</v>
      </c>
      <c r="F1093" s="1" t="str">
        <f>"电气工程及其自动化"</f>
        <v>电气工程及其自动化</v>
      </c>
      <c r="G1093" s="1" t="str">
        <f>"河南省南阳市卧龙区田源新城"</f>
        <v>河南省南阳市卧龙区田源新城</v>
      </c>
      <c r="H1093" s="1" t="str">
        <f t="shared" si="541"/>
        <v>无</v>
      </c>
      <c r="I1093" s="1" t="str">
        <f>"202009-202306 河南林业职业学院软件技术就读  全日制
202309-202506 新乡学院电气工程及其自动化就读 全日制"</f>
        <v>202009-202306 河南林业职业学院软件技术就读  全日制
202309-202506 新乡学院电气工程及其自动化就读 全日制</v>
      </c>
    </row>
    <row r="1094" spans="1:9">
      <c r="A1094" s="1" t="str">
        <f>"411330199007170516"</f>
        <v>411330199007170516</v>
      </c>
      <c r="B1094" s="1" t="str">
        <f>"中共党员"</f>
        <v>中共党员</v>
      </c>
      <c r="C1094" s="1" t="str">
        <f t="shared" si="542"/>
        <v>本科</v>
      </c>
      <c r="D1094" s="1" t="str">
        <f>"20240710"</f>
        <v>20240710</v>
      </c>
      <c r="E1094" s="1" t="str">
        <f>"兰州大学"</f>
        <v>兰州大学</v>
      </c>
      <c r="F1094" s="1" t="str">
        <f>"土木工程"</f>
        <v>土木工程</v>
      </c>
      <c r="G1094" s="1" t="str">
        <f>"河南省南阳市西峡县田关镇大岭村"</f>
        <v>河南省南阳市西峡县田关镇大岭村</v>
      </c>
      <c r="H1094" s="1" t="str">
        <f>"二级建造师公路工程和市政工程职业资格"</f>
        <v>二级建造师公路工程和市政工程职业资格</v>
      </c>
      <c r="I1094" s="1" t="str">
        <f>"201709-201907  南阳职业学院   建设工程管理专业  全日制大专学历
201907-202203   河南省南阳市西峡县田关镇待业
202203-202407    兰州大学   网络教育学院  土木工程专业学习  网络教育本科学历
202407-至今河南省南阳市西峡县田关镇大岭村待业"</f>
        <v>201709-201907  南阳职业学院   建设工程管理专业  全日制大专学历
201907-202203   河南省南阳市西峡县田关镇待业
202203-202407    兰州大学   网络教育学院  土木工程专业学习  网络教育本科学历
202407-至今河南省南阳市西峡县田关镇大岭村待业</v>
      </c>
    </row>
    <row r="1095" spans="1:9">
      <c r="A1095" s="1" t="str">
        <f>"412828200210193635"</f>
        <v>412828200210193635</v>
      </c>
      <c r="B1095" s="1" t="str">
        <f t="shared" ref="B1095:B1099" si="543">"群众"</f>
        <v>群众</v>
      </c>
      <c r="C1095" s="1" t="str">
        <f t="shared" si="542"/>
        <v>本科</v>
      </c>
      <c r="D1095" s="1" t="str">
        <f>"2025-06-01"</f>
        <v>2025-06-01</v>
      </c>
      <c r="E1095" s="1" t="str">
        <f>"黄淮学院"</f>
        <v>黄淮学院</v>
      </c>
      <c r="F1095" s="1" t="str">
        <f>"土木工程"</f>
        <v>土木工程</v>
      </c>
      <c r="G1095" s="1" t="str">
        <f>"河南省驻马店"</f>
        <v>河南省驻马店</v>
      </c>
      <c r="H1095" s="1" t="str">
        <f t="shared" si="541"/>
        <v>无</v>
      </c>
      <c r="I1095" s="1" t="str">
        <f>"2021-9-1  2025-6-1 黄淮学院就读 全日制"</f>
        <v>2021-9-1  2025-6-1 黄淮学院就读 全日制</v>
      </c>
    </row>
    <row r="1096" ht="108" spans="1:9">
      <c r="A1096" s="1" t="str">
        <f>"41132719981030153X"</f>
        <v>41132719981030153X</v>
      </c>
      <c r="B1096" s="1" t="str">
        <f t="shared" si="540"/>
        <v>共青团员</v>
      </c>
      <c r="C1096" s="1" t="str">
        <f t="shared" si="542"/>
        <v>本科</v>
      </c>
      <c r="D1096" s="1" t="str">
        <f>"20201222"</f>
        <v>20201222</v>
      </c>
      <c r="E1096" s="1" t="str">
        <f>"兰州大学"</f>
        <v>兰州大学</v>
      </c>
      <c r="F1096" s="1" t="str">
        <f>"生态学"</f>
        <v>生态学</v>
      </c>
      <c r="G1096" s="1" t="str">
        <f>"内乡县湍东镇屈庄村斜地组77号"</f>
        <v>内乡县湍东镇屈庄村斜地组77号</v>
      </c>
      <c r="H1096" s="1" t="str">
        <f t="shared" si="541"/>
        <v>无</v>
      </c>
      <c r="I1096" s="3" t="s">
        <v>219</v>
      </c>
    </row>
    <row r="1097" spans="1:9">
      <c r="A1097" s="1" t="str">
        <f>"411327199608130028"</f>
        <v>411327199608130028</v>
      </c>
      <c r="B1097" s="1" t="str">
        <f>"中共党员"</f>
        <v>中共党员</v>
      </c>
      <c r="C1097" s="1" t="str">
        <f>"专科"</f>
        <v>专科</v>
      </c>
      <c r="D1097" s="1" t="str">
        <f>"20160701"</f>
        <v>20160701</v>
      </c>
      <c r="E1097" s="1" t="str">
        <f>"南阳医学高等专科学校"</f>
        <v>南阳医学高等专科学校</v>
      </c>
      <c r="F1097" s="1" t="str">
        <f>"护理"</f>
        <v>护理</v>
      </c>
      <c r="G1097" s="1" t="str">
        <f>"河南省南阳市内乡县城关镇"</f>
        <v>河南省南阳市内乡县城关镇</v>
      </c>
      <c r="H1097" s="1" t="str">
        <f>"护理学 中级"</f>
        <v>护理学 中级</v>
      </c>
      <c r="I1097" s="1" t="str">
        <f>"201109-201607在南阳医学高等专科学校学习护理专业就读，全日制学历
201607-201612在家待业
201612-201712在内乡县人民医院工作
201712-至今在余关镇卫生院工作"</f>
        <v>201109-201607在南阳医学高等专科学校学习护理专业就读，全日制学历
201607-201612在家待业
201612-201712在内乡县人民医院工作
201712-至今在余关镇卫生院工作</v>
      </c>
    </row>
    <row r="1098" spans="1:9">
      <c r="A1098" s="1" t="str">
        <f>"410185199009084551"</f>
        <v>410185199009084551</v>
      </c>
      <c r="B1098" s="1" t="str">
        <f t="shared" si="543"/>
        <v>群众</v>
      </c>
      <c r="C1098" s="1" t="str">
        <f t="shared" ref="C1098:C1101" si="544">"本科"</f>
        <v>本科</v>
      </c>
      <c r="D1098" s="1" t="str">
        <f>"20140630"</f>
        <v>20140630</v>
      </c>
      <c r="E1098" s="1" t="str">
        <f>"郑州大学"</f>
        <v>郑州大学</v>
      </c>
      <c r="F1098" s="1" t="str">
        <f>"建筑工程"</f>
        <v>建筑工程</v>
      </c>
      <c r="G1098" s="1" t="str">
        <f>"河南省登封市大金店镇三王庄村"</f>
        <v>河南省登封市大金店镇三王庄村</v>
      </c>
      <c r="H1098" s="1" t="str">
        <f>"一级造价师"</f>
        <v>一级造价师</v>
      </c>
      <c r="I1098" s="1" t="str">
        <f>"2010年9月-2013年6月 新乡学院  建筑工程技术专业   （全日制）
2012年9月-2014年6月 郑州大学  建筑工程专业         （非全日制）
2013年7月-2014年1月 待业
2014年2月-2018年7月 洛阳嘉泰装饰设计工程有限公司   装饰工程师
2018年8月-2018年10月 待业
2018年11月至今     河南省春晓建设工程有限公司       造价工程师"</f>
        <v>2010年9月-2013年6月 新乡学院  建筑工程技术专业   （全日制）
2012年9月-2014年6月 郑州大学  建筑工程专业         （非全日制）
2013年7月-2014年1月 待业
2014年2月-2018年7月 洛阳嘉泰装饰设计工程有限公司   装饰工程师
2018年8月-2018年10月 待业
2018年11月至今     河南省春晓建设工程有限公司       造价工程师</v>
      </c>
    </row>
    <row r="1099" spans="1:9">
      <c r="A1099" s="1" t="str">
        <f>"411327200308183377"</f>
        <v>411327200308183377</v>
      </c>
      <c r="B1099" s="1" t="str">
        <f t="shared" si="543"/>
        <v>群众</v>
      </c>
      <c r="C1099" s="1" t="str">
        <f>"专科"</f>
        <v>专科</v>
      </c>
      <c r="D1099" s="1" t="str">
        <f>"20250625"</f>
        <v>20250625</v>
      </c>
      <c r="E1099" s="1" t="str">
        <f>"郑州电子信息职业技术学院"</f>
        <v>郑州电子信息职业技术学院</v>
      </c>
      <c r="F1099" s="1" t="str">
        <f>"计算机应用技术"</f>
        <v>计算机应用技术</v>
      </c>
      <c r="G1099" s="1" t="str">
        <f>"河南省南阳市内乡县七里坪乡青山村草房岈4号"</f>
        <v>河南省南阳市内乡县七里坪乡青山村草房岈4号</v>
      </c>
      <c r="H1099" s="1" t="str">
        <f t="shared" ref="H1099:H1107" si="545">"无"</f>
        <v>无</v>
      </c>
      <c r="I1099" s="1" t="str">
        <f>"202209-202506 郑州电子信息职业技术学院就读，是全日制学历；
202506-至今 在河南省南阳市内乡县七里坪乡待业"</f>
        <v>202209-202506 郑州电子信息职业技术学院就读，是全日制学历；
202506-至今 在河南省南阳市内乡县七里坪乡待业</v>
      </c>
    </row>
    <row r="1100" spans="1:9">
      <c r="A1100" s="1" t="str">
        <f>"411122200003108197"</f>
        <v>411122200003108197</v>
      </c>
      <c r="B1100" s="1" t="str">
        <f>"中共党员"</f>
        <v>中共党员</v>
      </c>
      <c r="C1100" s="1" t="str">
        <f t="shared" si="544"/>
        <v>本科</v>
      </c>
      <c r="D1100" s="1" t="str">
        <f>"20220701"</f>
        <v>20220701</v>
      </c>
      <c r="E1100" s="1" t="str">
        <f>"郑州科技学院"</f>
        <v>郑州科技学院</v>
      </c>
      <c r="F1100" s="1" t="str">
        <f>"动画"</f>
        <v>动画</v>
      </c>
      <c r="G1100" s="1" t="str">
        <f>"河南省漯河市临颍县城关镇四季花都A区"</f>
        <v>河南省漯河市临颍县城关镇四季花都A区</v>
      </c>
      <c r="H1100" s="1" t="str">
        <f t="shared" si="545"/>
        <v>无</v>
      </c>
      <c r="I1100" s="1" t="str">
        <f>"201809—202207 郑州科技学院 艺术学院 动画 就读"</f>
        <v>201809—202207 郑州科技学院 艺术学院 动画 就读</v>
      </c>
    </row>
    <row r="1101" spans="1:9">
      <c r="A1101" s="1" t="str">
        <f>"41072719970922784X"</f>
        <v>41072719970922784X</v>
      </c>
      <c r="B1101" s="1" t="str">
        <f t="shared" ref="B1101:B1105" si="546">"共青团员"</f>
        <v>共青团员</v>
      </c>
      <c r="C1101" s="1" t="str">
        <f t="shared" si="544"/>
        <v>本科</v>
      </c>
      <c r="D1101" s="1" t="str">
        <f>"20210701"</f>
        <v>20210701</v>
      </c>
      <c r="E1101" s="1" t="str">
        <f>"郑州西亚斯学院"</f>
        <v>郑州西亚斯学院</v>
      </c>
      <c r="F1101" s="1" t="str">
        <f>"国际经济与贸易"</f>
        <v>国际经济与贸易</v>
      </c>
      <c r="G1101" s="1" t="str">
        <f>"河南省新乡市封丘县文化路2307号"</f>
        <v>河南省新乡市封丘县文化路2307号</v>
      </c>
      <c r="H1101" s="1" t="str">
        <f>"小学教师资格证"</f>
        <v>小学教师资格证</v>
      </c>
      <c r="I1101" s="1" t="str">
        <f>"201609-201907就读于郑州升达经贸管理学院，金贸系国际经济与贸易专业，全日制专科学历；
201909-202107就读于郑州西亚斯学院，商学院国际经济与贸易专业，全日制本科学历，学士学位；
202107-202303待业
202303-至今，国家税务总局封丘县税务局协税人员。"</f>
        <v>201609-201907就读于郑州升达经贸管理学院，金贸系国际经济与贸易专业，全日制专科学历；
201909-202107就读于郑州西亚斯学院，商学院国际经济与贸易专业，全日制本科学历，学士学位；
202107-202303待业
202303-至今，国家税务总局封丘县税务局协税人员。</v>
      </c>
    </row>
    <row r="1102" spans="1:9">
      <c r="A1102" s="1" t="str">
        <f>"411303199911150020"</f>
        <v>411303199911150020</v>
      </c>
      <c r="B1102" s="1" t="str">
        <f t="shared" si="546"/>
        <v>共青团员</v>
      </c>
      <c r="C1102" s="1" t="str">
        <f>"硕士研究生"</f>
        <v>硕士研究生</v>
      </c>
      <c r="D1102" s="1" t="str">
        <f>"20250701"</f>
        <v>20250701</v>
      </c>
      <c r="E1102" s="1" t="str">
        <f>"法国佩皮尼昂大学"</f>
        <v>法国佩皮尼昂大学</v>
      </c>
      <c r="F1102" s="1" t="str">
        <f>"旅游管理"</f>
        <v>旅游管理</v>
      </c>
      <c r="G1102" s="1" t="str">
        <f>"河南省南阳市卧龙区亿安天下城"</f>
        <v>河南省南阳市卧龙区亿安天下城</v>
      </c>
      <c r="H1102" s="1" t="str">
        <f t="shared" si="545"/>
        <v>无</v>
      </c>
      <c r="I1102" s="1" t="str">
        <f>"201709-202107 河南师范大学 国际教育学院经济学专业就读，全日制学历；
202107-202308 南阳市待业
202309-202507 法国佩皮尼昂大学 经济管理学院旅游管理专业就读，全日制硕士研究生。"</f>
        <v>201709-202107 河南师范大学 国际教育学院经济学专业就读，全日制学历；
202107-202308 南阳市待业
202309-202507 法国佩皮尼昂大学 经济管理学院旅游管理专业就读，全日制硕士研究生。</v>
      </c>
    </row>
    <row r="1103" spans="1:9">
      <c r="A1103" s="1" t="str">
        <f>"411327199305202928"</f>
        <v>411327199305202928</v>
      </c>
      <c r="B1103" s="1" t="str">
        <f t="shared" ref="B1103:B1106" si="547">"群众"</f>
        <v>群众</v>
      </c>
      <c r="C1103" s="1" t="str">
        <f t="shared" ref="C1103:C1107" si="548">"本科"</f>
        <v>本科</v>
      </c>
      <c r="D1103" s="1" t="str">
        <f>"20160701"</f>
        <v>20160701</v>
      </c>
      <c r="E1103" s="1" t="str">
        <f>"信阳师范学院华锐学院（信阳学院）"</f>
        <v>信阳师范学院华锐学院（信阳学院）</v>
      </c>
      <c r="F1103" s="1" t="str">
        <f>"文秘教育"</f>
        <v>文秘教育</v>
      </c>
      <c r="G1103" s="1" t="str">
        <f>"河南省南阳市内乡县"</f>
        <v>河南省南阳市内乡县</v>
      </c>
      <c r="H1103" s="1" t="str">
        <f t="shared" si="545"/>
        <v>无</v>
      </c>
      <c r="I1103" s="1" t="str">
        <f>"2012.09～2016.07在信阳师范学院华锐学院（信阳学院）文秘教育专业就读，是全日制学历。"</f>
        <v>2012.09～2016.07在信阳师范学院华锐学院（信阳学院）文秘教育专业就读，是全日制学历。</v>
      </c>
    </row>
    <row r="1104" spans="1:9">
      <c r="A1104" s="1" t="str">
        <f>"411327200403100015"</f>
        <v>411327200403100015</v>
      </c>
      <c r="B1104" s="1" t="str">
        <f t="shared" si="547"/>
        <v>群众</v>
      </c>
      <c r="C1104" s="1" t="str">
        <f>"专科"</f>
        <v>专科</v>
      </c>
      <c r="D1104" s="1" t="str">
        <f>"20250630"</f>
        <v>20250630</v>
      </c>
      <c r="E1104" s="1" t="str">
        <f>"湖北交通职业技术学院"</f>
        <v>湖北交通职业技术学院</v>
      </c>
      <c r="F1104" s="1" t="str">
        <f>"智能工程机械技术运用"</f>
        <v>智能工程机械技术运用</v>
      </c>
      <c r="G1104" s="1" t="str">
        <f>"内乡县城关镇红学村"</f>
        <v>内乡县城关镇红学村</v>
      </c>
      <c r="H1104" s="1" t="str">
        <f t="shared" si="545"/>
        <v>无</v>
      </c>
      <c r="I1104" s="1" t="str">
        <f>"202209-202506 湖北交通职业技术学院 就读。2022年9月至2025年6月在湖北交通学院汽车与航空院系智能工程机械技术运用就读，是全日制学历"</f>
        <v>202209-202506 湖北交通职业技术学院 就读。2022年9月至2025年6月在湖北交通学院汽车与航空院系智能工程机械技术运用就读，是全日制学历</v>
      </c>
    </row>
    <row r="1105" spans="1:9">
      <c r="A1105" s="1" t="str">
        <f>"411327200201310049"</f>
        <v>411327200201310049</v>
      </c>
      <c r="B1105" s="1" t="str">
        <f t="shared" si="546"/>
        <v>共青团员</v>
      </c>
      <c r="C1105" s="1" t="str">
        <f t="shared" si="548"/>
        <v>本科</v>
      </c>
      <c r="D1105" s="1" t="str">
        <f>"20230701"</f>
        <v>20230701</v>
      </c>
      <c r="E1105" s="1" t="str">
        <f t="shared" ref="E1105:E1109" si="549">"河南师范大学"</f>
        <v>河南师范大学</v>
      </c>
      <c r="F1105" s="1" t="str">
        <f>"计算机科学与技术"</f>
        <v>计算机科学与技术</v>
      </c>
      <c r="G1105" s="1" t="str">
        <f>"河南省南阳市内乡县城关镇范蠡大街"</f>
        <v>河南省南阳市内乡县城关镇范蠡大街</v>
      </c>
      <c r="H1105" s="1" t="str">
        <f t="shared" si="545"/>
        <v>无</v>
      </c>
      <c r="I1105" s="1" t="str">
        <f>"201909-202307  河南师范大学软件学院计算机科学与技术专业就读，是全日制学历
202307-202507  待业"</f>
        <v>201909-202307  河南师范大学软件学院计算机科学与技术专业就读，是全日制学历
202307-202507  待业</v>
      </c>
    </row>
    <row r="1106" spans="1:9">
      <c r="A1106" s="1" t="str">
        <f>"411323199212046916"</f>
        <v>411323199212046916</v>
      </c>
      <c r="B1106" s="1" t="str">
        <f t="shared" si="547"/>
        <v>群众</v>
      </c>
      <c r="C1106" s="1" t="str">
        <f t="shared" si="548"/>
        <v>本科</v>
      </c>
      <c r="D1106" s="1" t="str">
        <f>"20150625"</f>
        <v>20150625</v>
      </c>
      <c r="E1106" s="1" t="str">
        <f>"黑龙江大学"</f>
        <v>黑龙江大学</v>
      </c>
      <c r="F1106" s="1" t="str">
        <f>"网络工程"</f>
        <v>网络工程</v>
      </c>
      <c r="G1106" s="1" t="str">
        <f>"河南省南阳市内乡县"</f>
        <v>河南省南阳市内乡县</v>
      </c>
      <c r="H1106" s="1" t="str">
        <f t="shared" si="545"/>
        <v>无</v>
      </c>
      <c r="I1106" s="1" t="str">
        <f>"201109-201506黑龙江大学网络工程专业就读，全日制，学历本科"</f>
        <v>201109-201506黑龙江大学网络工程专业就读，全日制，学历本科</v>
      </c>
    </row>
    <row r="1107" spans="1:9">
      <c r="A1107" s="1" t="str">
        <f>"411327200011181549"</f>
        <v>411327200011181549</v>
      </c>
      <c r="B1107" s="1" t="str">
        <f t="shared" ref="B1107:B1110" si="550">"共青团员"</f>
        <v>共青团员</v>
      </c>
      <c r="C1107" s="1" t="str">
        <f t="shared" si="548"/>
        <v>本科</v>
      </c>
      <c r="D1107" s="1" t="str">
        <f>"20240701"</f>
        <v>20240701</v>
      </c>
      <c r="E1107" s="1" t="str">
        <f t="shared" si="549"/>
        <v>河南师范大学</v>
      </c>
      <c r="F1107" s="1" t="str">
        <f>"行政管理"</f>
        <v>行政管理</v>
      </c>
      <c r="G1107" s="1" t="str">
        <f>"河南省南阳市内乡县城关镇北关老配件厂家属院"</f>
        <v>河南省南阳市内乡县城关镇北关老配件厂家属院</v>
      </c>
      <c r="H1107" s="1" t="str">
        <f t="shared" si="545"/>
        <v>无</v>
      </c>
      <c r="I1107" s="1" t="str">
        <f>"201809-202106 河南经贸职业学院工程经济学院文秘专业就读 全日制
202203-202407 河南师范大学继续教育学院行政管理专业就读 非全日制
202107-202111 河南鸿里里科技有限公司工作
202111-202303 内乡超然酒库工作
202303-至今 内乡县消防救援大队工作"</f>
        <v>201809-202106 河南经贸职业学院工程经济学院文秘专业就读 全日制
202203-202407 河南师范大学继续教育学院行政管理专业就读 非全日制
202107-202111 河南鸿里里科技有限公司工作
202111-202303 内乡超然酒库工作
202303-至今 内乡县消防救援大队工作</v>
      </c>
    </row>
    <row r="1108" spans="1:9">
      <c r="A1108" s="1" t="str">
        <f>"411324200402191446"</f>
        <v>411324200402191446</v>
      </c>
      <c r="B1108" s="1" t="str">
        <f t="shared" ref="B1108:B1114" si="551">"群众"</f>
        <v>群众</v>
      </c>
      <c r="C1108" s="1" t="str">
        <f>"专科"</f>
        <v>专科</v>
      </c>
      <c r="D1108" s="1" t="str">
        <f>"20250601"</f>
        <v>20250601</v>
      </c>
      <c r="E1108" s="1" t="str">
        <f>"许昌陶瓷职业学院"</f>
        <v>许昌陶瓷职业学院</v>
      </c>
      <c r="F1108" s="1" t="str">
        <f>"学前教育（师范）专业"</f>
        <v>学前教育（师范）专业</v>
      </c>
      <c r="G1108" s="1" t="str">
        <f>"河南省南阳市镇平县三里河社区居委会向北100米"</f>
        <v>河南省南阳市镇平县三里河社区居委会向北100米</v>
      </c>
      <c r="H1108" s="1" t="str">
        <f>"保育师三级 育婴员三级"</f>
        <v>保育师三级 育婴员三级</v>
      </c>
      <c r="I1108" s="1" t="str">
        <f>"202209-202506许昌陶瓷职业学院教育与表演艺术学院学前教育专业就读，是全日制学历"</f>
        <v>202209-202506许昌陶瓷职业学院教育与表演艺术学院学前教育专业就读，是全日制学历</v>
      </c>
    </row>
    <row r="1109" spans="1:9">
      <c r="A1109" s="1" t="str">
        <f>"411381200307233940"</f>
        <v>411381200307233940</v>
      </c>
      <c r="B1109" s="1" t="str">
        <f t="shared" si="550"/>
        <v>共青团员</v>
      </c>
      <c r="C1109" s="1" t="str">
        <f t="shared" ref="C1109:C1111" si="552">"本科"</f>
        <v>本科</v>
      </c>
      <c r="D1109" s="1" t="str">
        <f>"20250607"</f>
        <v>20250607</v>
      </c>
      <c r="E1109" s="1" t="str">
        <f t="shared" si="549"/>
        <v>河南师范大学</v>
      </c>
      <c r="F1109" s="1" t="str">
        <f>"社会工作"</f>
        <v>社会工作</v>
      </c>
      <c r="G1109" s="1" t="str">
        <f>"河南省南阳市邓州市罗庄镇唐坡村48号"</f>
        <v>河南省南阳市邓州市罗庄镇唐坡村48号</v>
      </c>
      <c r="H1109" s="1" t="str">
        <f t="shared" ref="H1109:H1111" si="553">"无"</f>
        <v>无</v>
      </c>
      <c r="I1109" s="1" t="str">
        <f>"202110-202506 河南师范大学社会事业学院社会工作专业 就读（全日制学历）；
202506-至今 待业（居家复习备考）。"</f>
        <v>202110-202506 河南师范大学社会事业学院社会工作专业 就读（全日制学历）；
202506-至今 待业（居家复习备考）。</v>
      </c>
    </row>
    <row r="1110" spans="1:9">
      <c r="A1110" s="1" t="str">
        <f>"411526200203167316"</f>
        <v>411526200203167316</v>
      </c>
      <c r="B1110" s="1" t="str">
        <f t="shared" si="550"/>
        <v>共青团员</v>
      </c>
      <c r="C1110" s="1" t="str">
        <f t="shared" si="552"/>
        <v>本科</v>
      </c>
      <c r="D1110" s="1" t="str">
        <f>"20240630"</f>
        <v>20240630</v>
      </c>
      <c r="E1110" s="1" t="str">
        <f>"郑州大学"</f>
        <v>郑州大学</v>
      </c>
      <c r="F1110" s="1" t="str">
        <f>"视觉传达设计"</f>
        <v>视觉传达设计</v>
      </c>
      <c r="G1110" s="1" t="str">
        <f>"河南省信阳市潢川县火车站大鑫生活超市楼上9楼"</f>
        <v>河南省信阳市潢川县火车站大鑫生活超市楼上9楼</v>
      </c>
      <c r="H1110" s="1" t="str">
        <f t="shared" si="553"/>
        <v>无</v>
      </c>
      <c r="I1110" s="1" t="str">
        <f>"202009-202406 郑州大学国际学院视觉传达设计专业就读，全日制本科学历"</f>
        <v>202009-202406 郑州大学国际学院视觉传达设计专业就读，全日制本科学历</v>
      </c>
    </row>
    <row r="1111" spans="1:9">
      <c r="A1111" s="1" t="str">
        <f>"411327199904050014"</f>
        <v>411327199904050014</v>
      </c>
      <c r="B1111" s="1" t="str">
        <f t="shared" si="551"/>
        <v>群众</v>
      </c>
      <c r="C1111" s="1" t="str">
        <f t="shared" si="552"/>
        <v>本科</v>
      </c>
      <c r="D1111" s="1" t="str">
        <f>"20231218"</f>
        <v>20231218</v>
      </c>
      <c r="E1111" s="1" t="str">
        <f>"华北水利水电大学"</f>
        <v>华北水利水电大学</v>
      </c>
      <c r="F1111" s="1" t="str">
        <f>"统计学"</f>
        <v>统计学</v>
      </c>
      <c r="G1111" s="1" t="str">
        <f>"内乡县城关镇湍北组13号"</f>
        <v>内乡县城关镇湍北组13号</v>
      </c>
      <c r="H1111" s="1" t="str">
        <f t="shared" si="553"/>
        <v>无</v>
      </c>
      <c r="I1111" s="1" t="str">
        <f>"201709-202106华北水利水电大学。全日制学历。"</f>
        <v>201709-202106华北水利水电大学。全日制学历。</v>
      </c>
    </row>
    <row r="1112" spans="1:9">
      <c r="A1112" s="1" t="str">
        <f>"411327199603103928"</f>
        <v>411327199603103928</v>
      </c>
      <c r="B1112" s="1" t="str">
        <f>"中共党员"</f>
        <v>中共党员</v>
      </c>
      <c r="C1112" s="1" t="str">
        <f t="shared" ref="C1112:C1116" si="554">"专科"</f>
        <v>专科</v>
      </c>
      <c r="D1112" s="1" t="str">
        <f>"2018年7月1日"</f>
        <v>2018年7月1日</v>
      </c>
      <c r="E1112" s="1" t="str">
        <f>"河南牧业经济学院"</f>
        <v>河南牧业经济学院</v>
      </c>
      <c r="F1112" s="1" t="str">
        <f>"会计电算化"</f>
        <v>会计电算化</v>
      </c>
      <c r="G1112" s="1" t="str">
        <f>"内乡县岞曲镇"</f>
        <v>内乡县岞曲镇</v>
      </c>
      <c r="H1112" s="1" t="str">
        <f>"会计从业资格证、初级会计职称、中级会计职称"</f>
        <v>会计从业资格证、初级会计职称、中级会计职称</v>
      </c>
      <c r="I1112" s="1" t="str">
        <f>"201509-201807在河南牧业经济学院，会计电算化专业，全日制；
202003-202207在南阳理工学院，财务管理专业函授学习，非全日制；
201807至今，在河南宏韬联合会计师事务所从事审计工作。"</f>
        <v>201509-201807在河南牧业经济学院，会计电算化专业，全日制；
202003-202207在南阳理工学院，财务管理专业函授学习，非全日制；
201807至今，在河南宏韬联合会计师事务所从事审计工作。</v>
      </c>
    </row>
    <row r="1113" spans="1:9">
      <c r="A1113" s="1" t="str">
        <f>"411325199710013079"</f>
        <v>411325199710013079</v>
      </c>
      <c r="B1113" s="1" t="str">
        <f t="shared" si="551"/>
        <v>群众</v>
      </c>
      <c r="C1113" s="1" t="str">
        <f t="shared" ref="C1113:C1122" si="555">"本科"</f>
        <v>本科</v>
      </c>
      <c r="D1113" s="1" t="str">
        <f>"20230710"</f>
        <v>20230710</v>
      </c>
      <c r="E1113" s="1" t="str">
        <f>"南阳理工学院"</f>
        <v>南阳理工学院</v>
      </c>
      <c r="F1113" s="1" t="str">
        <f>"机械设计制造及其自动化"</f>
        <v>机械设计制造及其自动化</v>
      </c>
      <c r="G1113" s="1" t="str">
        <f>"河南省南阳市宛城区官庄工区赤虎街道测井小区"</f>
        <v>河南省南阳市宛城区官庄工区赤虎街道测井小区</v>
      </c>
      <c r="H1113" s="1" t="str">
        <f t="shared" ref="H1113:H1119" si="556">"无"</f>
        <v>无</v>
      </c>
      <c r="I1113" s="1" t="str">
        <f>"201703-202307在南阳理工学院继续教育学院就读，学习机械设计制造及自动化专业，成人高等教育。"</f>
        <v>201703-202307在南阳理工学院继续教育学院就读，学习机械设计制造及自动化专业，成人高等教育。</v>
      </c>
    </row>
    <row r="1114" spans="1:9">
      <c r="A1114" s="1" t="str">
        <f>"411303199012222115"</f>
        <v>411303199012222115</v>
      </c>
      <c r="B1114" s="1" t="str">
        <f t="shared" si="551"/>
        <v>群众</v>
      </c>
      <c r="C1114" s="1" t="str">
        <f t="shared" si="554"/>
        <v>专科</v>
      </c>
      <c r="D1114" s="1" t="str">
        <f>"20120701"</f>
        <v>20120701</v>
      </c>
      <c r="E1114" s="1" t="str">
        <f>"南阳师范学院"</f>
        <v>南阳师范学院</v>
      </c>
      <c r="F1114" s="1" t="str">
        <f>"动漫设计与制作"</f>
        <v>动漫设计与制作</v>
      </c>
      <c r="G1114" s="1" t="str">
        <f>"河南省南阳市卧龙区北京路中原厂1区"</f>
        <v>河南省南阳市卧龙区北京路中原厂1区</v>
      </c>
      <c r="H1114" s="1" t="str">
        <f t="shared" si="556"/>
        <v>无</v>
      </c>
      <c r="I1114" s="1" t="str">
        <f>"大学：20100901-20120701南阳师范学院就读，软件学院，动漫设计与制作专业，全日制学历；
北京正保远程教育有限公司：20120901-2018010
北京思每客教育科技有限公司：2018011-202106
上海出会贸易有限公司：202107-至今"</f>
        <v>大学：20100901-20120701南阳师范学院就读，软件学院，动漫设计与制作专业，全日制学历；
北京正保远程教育有限公司：20120901-2018010
北京思每客教育科技有限公司：2018011-202106
上海出会贸易有限公司：202107-至今</v>
      </c>
    </row>
    <row r="1115" ht="148.5" spans="1:9">
      <c r="A1115" s="1" t="str">
        <f>"410381199001230046"</f>
        <v>410381199001230046</v>
      </c>
      <c r="B1115" s="1" t="str">
        <f>"中共党员"</f>
        <v>中共党员</v>
      </c>
      <c r="C1115" s="1" t="str">
        <f t="shared" si="555"/>
        <v>本科</v>
      </c>
      <c r="D1115" s="1" t="str">
        <f>"20150701"</f>
        <v>20150701</v>
      </c>
      <c r="E1115" s="1" t="str">
        <f>"洛阳师范学院"</f>
        <v>洛阳师范学院</v>
      </c>
      <c r="F1115" s="1" t="str">
        <f>"汉语言文学"</f>
        <v>汉语言文学</v>
      </c>
      <c r="G1115" s="1" t="str">
        <f>"河南省洛阳市瀍河区中州东路恒大绿洲"</f>
        <v>河南省洛阳市瀍河区中州东路恒大绿洲</v>
      </c>
      <c r="H1115" s="1" t="str">
        <f t="shared" si="556"/>
        <v>无</v>
      </c>
      <c r="I1115" s="3" t="s">
        <v>220</v>
      </c>
    </row>
    <row r="1116" spans="1:9">
      <c r="A1116" s="1" t="str">
        <f>"411327199508111129"</f>
        <v>411327199508111129</v>
      </c>
      <c r="B1116" s="1" t="str">
        <f t="shared" ref="B1116:B1127" si="557">"群众"</f>
        <v>群众</v>
      </c>
      <c r="C1116" s="1" t="str">
        <f t="shared" si="554"/>
        <v>专科</v>
      </c>
      <c r="D1116" s="1" t="str">
        <f>"20250701"</f>
        <v>20250701</v>
      </c>
      <c r="E1116" s="1" t="str">
        <f>"安阳师范学院"</f>
        <v>安阳师范学院</v>
      </c>
      <c r="F1116" s="1" t="str">
        <f>"学前教育"</f>
        <v>学前教育</v>
      </c>
      <c r="G1116" s="1" t="str">
        <f>"河南省南阳市内乡县东湖家园"</f>
        <v>河南省南阳市内乡县东湖家园</v>
      </c>
      <c r="H1116" s="1" t="str">
        <f t="shared" si="556"/>
        <v>无</v>
      </c>
      <c r="I1116" s="1" t="str">
        <f>"202304-202507 安阳师范学院学前教育专业"</f>
        <v>202304-202507 安阳师范学院学前教育专业</v>
      </c>
    </row>
    <row r="1117" spans="1:9">
      <c r="A1117" s="1" t="str">
        <f>"410881199806050760"</f>
        <v>410881199806050760</v>
      </c>
      <c r="B1117" s="1" t="str">
        <f>"共青团员"</f>
        <v>共青团员</v>
      </c>
      <c r="C1117" s="1" t="str">
        <f t="shared" si="555"/>
        <v>本科</v>
      </c>
      <c r="D1117" s="1" t="str">
        <f>"20200701"</f>
        <v>20200701</v>
      </c>
      <c r="E1117" s="1" t="str">
        <f>"河南财经政法大学"</f>
        <v>河南财经政法大学</v>
      </c>
      <c r="F1117" s="1" t="str">
        <f>"行政管理专业"</f>
        <v>行政管理专业</v>
      </c>
      <c r="G1117" s="1" t="str">
        <f>"河南省济源市轵城镇"</f>
        <v>河南省济源市轵城镇</v>
      </c>
      <c r="H1117" s="1" t="str">
        <f t="shared" si="556"/>
        <v>无</v>
      </c>
      <c r="I1117" s="1" t="str">
        <f>"201609-202007  河南财经政法大学就读行政管理专业  全日制本科
202007-202212  在家待业
202301-202412  中国民主建国会济源市委员会工作
202501至今        在家待业
"</f>
        <v>201609-202007  河南财经政法大学就读行政管理专业  全日制本科
202007-202212  在家待业
202301-202412  中国民主建国会济源市委员会工作
202501至今        在家待业
</v>
      </c>
    </row>
    <row r="1118" spans="1:9">
      <c r="A1118" s="1" t="str">
        <f>"411330200108112038"</f>
        <v>411330200108112038</v>
      </c>
      <c r="B1118" s="1" t="str">
        <f>"共青团员"</f>
        <v>共青团员</v>
      </c>
      <c r="C1118" s="1" t="str">
        <f t="shared" si="555"/>
        <v>本科</v>
      </c>
      <c r="D1118" s="1" t="str">
        <f>"20240608"</f>
        <v>20240608</v>
      </c>
      <c r="E1118" s="1" t="str">
        <f>"信阳学院"</f>
        <v>信阳学院</v>
      </c>
      <c r="F1118" s="1" t="str">
        <f>"数学与应用数学"</f>
        <v>数学与应用数学</v>
      </c>
      <c r="G1118" s="1" t="str">
        <f>"河南省南阳市西峡县五里桥镇走马岗村"</f>
        <v>河南省南阳市西峡县五里桥镇走马岗村</v>
      </c>
      <c r="H1118" s="1" t="str">
        <f t="shared" si="556"/>
        <v>无</v>
      </c>
      <c r="I1118" s="1" t="str">
        <f>"202009-202406  信阳学院  数学与统计学院 数学与应用数学  全日制本科"</f>
        <v>202009-202406  信阳学院  数学与统计学院 数学与应用数学  全日制本科</v>
      </c>
    </row>
    <row r="1119" spans="1:9">
      <c r="A1119" s="1" t="str">
        <f>"411327199105041517"</f>
        <v>411327199105041517</v>
      </c>
      <c r="B1119" s="1" t="str">
        <f t="shared" si="557"/>
        <v>群众</v>
      </c>
      <c r="C1119" s="1" t="str">
        <f t="shared" si="555"/>
        <v>本科</v>
      </c>
      <c r="D1119" s="1" t="str">
        <f>"20160701"</f>
        <v>20160701</v>
      </c>
      <c r="E1119" s="1" t="str">
        <f>"中原工学院"</f>
        <v>中原工学院</v>
      </c>
      <c r="F1119" s="1" t="str">
        <f>"材料科学与工程"</f>
        <v>材料科学与工程</v>
      </c>
      <c r="G1119" s="1" t="str">
        <f>"河南省南阳市内乡县湍东镇东王沟村闫家39号"</f>
        <v>河南省南阳市内乡县湍东镇东王沟村闫家39号</v>
      </c>
      <c r="H1119" s="1" t="str">
        <f t="shared" si="556"/>
        <v>无</v>
      </c>
      <c r="I1119" s="1" t="str">
        <f>"201209-20160701 中原工学院就读"</f>
        <v>201209-20160701 中原工学院就读</v>
      </c>
    </row>
    <row r="1120" spans="1:9">
      <c r="A1120" s="1" t="str">
        <f>"411327199510252027"</f>
        <v>411327199510252027</v>
      </c>
      <c r="B1120" s="1" t="str">
        <f t="shared" si="557"/>
        <v>群众</v>
      </c>
      <c r="C1120" s="1" t="str">
        <f t="shared" si="555"/>
        <v>本科</v>
      </c>
      <c r="D1120" s="1" t="str">
        <f>"2022-07-01"</f>
        <v>2022-07-01</v>
      </c>
      <c r="E1120" s="1" t="str">
        <f>"黄河科技学院"</f>
        <v>黄河科技学院</v>
      </c>
      <c r="F1120" s="1" t="str">
        <f>"工商管理"</f>
        <v>工商管理</v>
      </c>
      <c r="G1120" s="1" t="str">
        <f>"河南省南阳市内乡县南关郦都小区6号楼3单元201"</f>
        <v>河南省南阳市内乡县南关郦都小区6号楼3单元201</v>
      </c>
      <c r="H1120" s="1" t="str">
        <f>"初级会计证书"</f>
        <v>初级会计证书</v>
      </c>
      <c r="I1120" s="1" t="str">
        <f>"202009-202207 黄河科技学院 工商管理专业就读 全日制
201709-202007 河南工业大学 会计学专业就读  全日制
"</f>
        <v>202009-202207 黄河科技学院 工商管理专业就读 全日制
201709-202007 河南工业大学 会计学专业就读  全日制
</v>
      </c>
    </row>
    <row r="1121" spans="1:9">
      <c r="A1121" s="1" t="str">
        <f>"410928199610253930"</f>
        <v>410928199610253930</v>
      </c>
      <c r="B1121" s="1" t="str">
        <f t="shared" si="557"/>
        <v>群众</v>
      </c>
      <c r="C1121" s="1" t="str">
        <f t="shared" si="555"/>
        <v>本科</v>
      </c>
      <c r="D1121" s="1" t="str">
        <f>"20190701"</f>
        <v>20190701</v>
      </c>
      <c r="E1121" s="1" t="str">
        <f>"河南师范大学新联学院"</f>
        <v>河南师范大学新联学院</v>
      </c>
      <c r="F1121" s="1" t="str">
        <f>"国际经济与贸易"</f>
        <v>国际经济与贸易</v>
      </c>
      <c r="G1121" s="1" t="str">
        <f>"河南省濮阳县子岸镇梨子园村"</f>
        <v>河南省濮阳县子岸镇梨子园村</v>
      </c>
      <c r="H1121" s="1" t="str">
        <f t="shared" ref="H1121:H1136" si="558">"无"</f>
        <v>无</v>
      </c>
      <c r="I1121" s="1" t="str">
        <f>"201509-201907 河南师范大学新联学院学校 经管院系 国际经济与贸易专业 就读 全日制学历
201908-202004 河南省濮阳县子岸镇梨子园村 待业
202005-202309 河南金手铲实业有限公司 就业
202310-至今 河南省濮阳县子岸镇梨子园村 待业
"</f>
        <v>201509-201907 河南师范大学新联学院学校 经管院系 国际经济与贸易专业 就读 全日制学历
201908-202004 河南省濮阳县子岸镇梨子园村 待业
202005-202309 河南金手铲实业有限公司 就业
202310-至今 河南省濮阳县子岸镇梨子园村 待业
</v>
      </c>
    </row>
    <row r="1122" spans="1:9">
      <c r="A1122" s="1" t="str">
        <f>"411381200108164225"</f>
        <v>411381200108164225</v>
      </c>
      <c r="B1122" s="1" t="str">
        <f t="shared" si="557"/>
        <v>群众</v>
      </c>
      <c r="C1122" s="1" t="str">
        <f t="shared" si="555"/>
        <v>本科</v>
      </c>
      <c r="D1122" s="1" t="str">
        <f>"20240701"</f>
        <v>20240701</v>
      </c>
      <c r="E1122" s="1" t="str">
        <f>"郑州商学院"</f>
        <v>郑州商学院</v>
      </c>
      <c r="F1122" s="1" t="str">
        <f>"商务英语"</f>
        <v>商务英语</v>
      </c>
      <c r="G1122" s="1" t="str">
        <f>"河南省南阳市内乡县梨苑山庄"</f>
        <v>河南省南阳市内乡县梨苑山庄</v>
      </c>
      <c r="H1122" s="1" t="str">
        <f t="shared" si="558"/>
        <v>无</v>
      </c>
      <c r="I1122" s="1" t="str">
        <f>"202009-202407在郑州商学院外国语学院商务英语专业就读，是全日制学历
202408-202507在内乡县菊潭学校小学部担任三年级英语老师"</f>
        <v>202009-202407在郑州商学院外国语学院商务英语专业就读，是全日制学历
202408-202507在内乡县菊潭学校小学部担任三年级英语老师</v>
      </c>
    </row>
    <row r="1123" spans="1:9">
      <c r="A1123" s="1" t="str">
        <f>"411323199808036911"</f>
        <v>411323199808036911</v>
      </c>
      <c r="B1123" s="1" t="str">
        <f t="shared" si="557"/>
        <v>群众</v>
      </c>
      <c r="C1123" s="1" t="str">
        <f>"专科"</f>
        <v>专科</v>
      </c>
      <c r="D1123" s="1" t="str">
        <f>"2019.06"</f>
        <v>2019.06</v>
      </c>
      <c r="E1123" s="1" t="str">
        <f>"河南工程学院"</f>
        <v>河南工程学院</v>
      </c>
      <c r="F1123" s="1" t="str">
        <f>"环境艺术设计学院"</f>
        <v>环境艺术设计学院</v>
      </c>
      <c r="G1123" s="1" t="str">
        <f>"河南省淅川县二环路中段"</f>
        <v>河南省淅川县二环路中段</v>
      </c>
      <c r="H1123" s="1" t="str">
        <f>"WU"</f>
        <v>WU</v>
      </c>
      <c r="I1123" s="1" t="str">
        <f>"2013.09.01-2016.06.01 浙川县第二高级中学学生
2016.09.01-2019.07.01 河南工程学院 环境艺术设计专业学生
2019.07.18-2020.09.05 河南天恒建筑装饰有限公司设计师
2020.10.09-2023.07.28 郑州艾斯韦森装饰设计工程有限公司主案设计师
2023.07.28-至今             待业"</f>
        <v>2013.09.01-2016.06.01 浙川县第二高级中学学生
2016.09.01-2019.07.01 河南工程学院 环境艺术设计专业学生
2019.07.18-2020.09.05 河南天恒建筑装饰有限公司设计师
2020.10.09-2023.07.28 郑州艾斯韦森装饰设计工程有限公司主案设计师
2023.07.28-至今             待业</v>
      </c>
    </row>
    <row r="1124" spans="1:9">
      <c r="A1124" s="1" t="str">
        <f>"411330199805203116"</f>
        <v>411330199805203116</v>
      </c>
      <c r="B1124" s="1" t="str">
        <f t="shared" si="557"/>
        <v>群众</v>
      </c>
      <c r="C1124" s="1" t="str">
        <f t="shared" ref="C1124:C1133" si="559">"本科"</f>
        <v>本科</v>
      </c>
      <c r="D1124" s="1" t="str">
        <f>"20210701"</f>
        <v>20210701</v>
      </c>
      <c r="E1124" s="1" t="str">
        <f>"河南科技大学食品与生物工程学院"</f>
        <v>河南科技大学食品与生物工程学院</v>
      </c>
      <c r="F1124" s="1" t="str">
        <f>"乳品工程"</f>
        <v>乳品工程</v>
      </c>
      <c r="G1124" s="1" t="str">
        <f>"河南省南阳市西峡县重阳镇"</f>
        <v>河南省南阳市西峡县重阳镇</v>
      </c>
      <c r="H1124" s="1" t="str">
        <f t="shared" si="558"/>
        <v>无</v>
      </c>
      <c r="I1124" s="1" t="str">
        <f>"2014.09-2017.06，就读于西峡县一高。
2017.09-2021.07，就读于河南科技大学食品与生物工程学院。
2021.07 -2022.03，工作于洛阳正大食品有限公司分割厂。
2021.09代理分割厂前段班长至2022.03离职。
至今待业。"</f>
        <v>2014.09-2017.06，就读于西峡县一高。
2017.09-2021.07，就读于河南科技大学食品与生物工程学院。
2021.07 -2022.03，工作于洛阳正大食品有限公司分割厂。
2021.09代理分割厂前段班长至2022.03离职。
至今待业。</v>
      </c>
    </row>
    <row r="1125" spans="1:9">
      <c r="A1125" s="1" t="str">
        <f>"411327199405010624"</f>
        <v>411327199405010624</v>
      </c>
      <c r="B1125" s="1" t="str">
        <f t="shared" si="557"/>
        <v>群众</v>
      </c>
      <c r="C1125" s="1" t="str">
        <f>"专科"</f>
        <v>专科</v>
      </c>
      <c r="D1125" s="1" t="str">
        <f>"20210901"</f>
        <v>20210901</v>
      </c>
      <c r="E1125" s="1" t="str">
        <f>"南阳职业学院"</f>
        <v>南阳职业学院</v>
      </c>
      <c r="F1125" s="1" t="str">
        <f>"市场营销"</f>
        <v>市场营销</v>
      </c>
      <c r="G1125" s="1" t="str">
        <f>"河南省南阳市内乡县菊韵花苑"</f>
        <v>河南省南阳市内乡县菊韵花苑</v>
      </c>
      <c r="H1125" s="1" t="str">
        <f t="shared" si="558"/>
        <v>无</v>
      </c>
      <c r="I1125" s="1" t="str">
        <f>"201909-202107在南阳职业学院经济管理学院市场营销专业就读
全日制学历"</f>
        <v>201909-202107在南阳职业学院经济管理学院市场营销专业就读
全日制学历</v>
      </c>
    </row>
    <row r="1126" spans="1:9">
      <c r="A1126" s="1" t="str">
        <f>"411327200208043123"</f>
        <v>411327200208043123</v>
      </c>
      <c r="B1126" s="1" t="str">
        <f t="shared" si="557"/>
        <v>群众</v>
      </c>
      <c r="C1126" s="1" t="str">
        <f t="shared" si="559"/>
        <v>本科</v>
      </c>
      <c r="D1126" s="1" t="str">
        <f>"2024-06-04"</f>
        <v>2024-06-04</v>
      </c>
      <c r="E1126" s="1" t="str">
        <f>"南阳师范学院"</f>
        <v>南阳师范学院</v>
      </c>
      <c r="F1126" s="1" t="str">
        <f>"播音与主持艺术"</f>
        <v>播音与主持艺术</v>
      </c>
      <c r="G1126" s="1" t="str">
        <f>"河南省南阳市内乡县夏馆镇"</f>
        <v>河南省南阳市内乡县夏馆镇</v>
      </c>
      <c r="H1126" s="1" t="str">
        <f t="shared" si="558"/>
        <v>无</v>
      </c>
      <c r="I1126" s="1" t="str">
        <f>"202009——202406在南阳师范学院新闻与传播学院播音与主持艺术专业就读 是全日制学历。
202406至今在内乡县夏馆镇待业"</f>
        <v>202009——202406在南阳师范学院新闻与传播学院播音与主持艺术专业就读 是全日制学历。
202406至今在内乡县夏馆镇待业</v>
      </c>
    </row>
    <row r="1127" spans="1:9">
      <c r="A1127" s="1" t="str">
        <f>"410324200302150021"</f>
        <v>410324200302150021</v>
      </c>
      <c r="B1127" s="1" t="str">
        <f t="shared" si="557"/>
        <v>群众</v>
      </c>
      <c r="C1127" s="1" t="str">
        <f t="shared" si="559"/>
        <v>本科</v>
      </c>
      <c r="D1127" s="1" t="str">
        <f>"20240625"</f>
        <v>20240625</v>
      </c>
      <c r="E1127" s="1" t="str">
        <f>"郑州西亚斯学院"</f>
        <v>郑州西亚斯学院</v>
      </c>
      <c r="F1127" s="1" t="str">
        <f>"会计学"</f>
        <v>会计学</v>
      </c>
      <c r="G1127" s="1" t="str">
        <f>"河南省洛阳市栾川县城关镇高杆灯地锅鸡"</f>
        <v>河南省洛阳市栾川县城关镇高杆灯地锅鸡</v>
      </c>
      <c r="H1127" s="1" t="str">
        <f t="shared" si="558"/>
        <v>无</v>
      </c>
      <c r="I1127" s="1" t="str">
        <f>"202109-202506 在郑州西亚斯学院管理系会计学专业就读。"</f>
        <v>202109-202506 在郑州西亚斯学院管理系会计学专业就读。</v>
      </c>
    </row>
    <row r="1128" spans="1:9">
      <c r="A1128" s="1" t="str">
        <f>"140203199801030421"</f>
        <v>140203199801030421</v>
      </c>
      <c r="B1128" s="1" t="str">
        <f t="shared" ref="B1128:B1132" si="560">"共青团员"</f>
        <v>共青团员</v>
      </c>
      <c r="C1128" s="1" t="str">
        <f t="shared" si="559"/>
        <v>本科</v>
      </c>
      <c r="D1128" s="1" t="str">
        <f>"20190701"</f>
        <v>20190701</v>
      </c>
      <c r="E1128" s="1" t="str">
        <f>"山西财经大学"</f>
        <v>山西财经大学</v>
      </c>
      <c r="F1128" s="1" t="str">
        <f>"经济学"</f>
        <v>经济学</v>
      </c>
      <c r="G1128" s="1" t="str">
        <f>"山西省大同市云冈区恒安新区安定里"</f>
        <v>山西省大同市云冈区恒安新区安定里</v>
      </c>
      <c r="H1128" s="1" t="str">
        <f t="shared" si="558"/>
        <v>无</v>
      </c>
      <c r="I1128" s="1" t="str">
        <f>"201509—201907  山西财经大学经济学院  就读经济学。
201907—202507  山西省大同市云冈区  待业。"</f>
        <v>201509—201907  山西财经大学经济学院  就读经济学。
201907—202507  山西省大同市云冈区  待业。</v>
      </c>
    </row>
    <row r="1129" spans="1:9">
      <c r="A1129" s="1" t="str">
        <f>"410303199401280019"</f>
        <v>410303199401280019</v>
      </c>
      <c r="B1129" s="1" t="str">
        <f t="shared" ref="B1129:B1143" si="561">"群众"</f>
        <v>群众</v>
      </c>
      <c r="C1129" s="1" t="str">
        <f t="shared" si="559"/>
        <v>本科</v>
      </c>
      <c r="D1129" s="1" t="str">
        <f>"20220630"</f>
        <v>20220630</v>
      </c>
      <c r="E1129" s="1" t="str">
        <f>"郑州轻工业大学"</f>
        <v>郑州轻工业大学</v>
      </c>
      <c r="F1129" s="1" t="str">
        <f>"计算机科学与技术"</f>
        <v>计算机科学与技术</v>
      </c>
      <c r="G1129" s="1" t="str">
        <f>"安徽省合肥市长丰县下塘镇中创新航科技有限公司"</f>
        <v>安徽省合肥市长丰县下塘镇中创新航科技有限公司</v>
      </c>
      <c r="H1129" s="1" t="str">
        <f t="shared" si="558"/>
        <v>无</v>
      </c>
      <c r="I1129" s="1" t="str">
        <f>"201309-201707  河南大学 土木工程 全日制
201707-201905   中建二局  技术员
201906-202008   待业
202009-202206    郑州轻工业大学 计算机科学与技术 全日制
202202-202507    中创新航科技有限公司  运维工程师"</f>
        <v>201309-201707  河南大学 土木工程 全日制
201707-201905   中建二局  技术员
201906-202008   待业
202009-202206    郑州轻工业大学 计算机科学与技术 全日制
202202-202507    中创新航科技有限公司  运维工程师</v>
      </c>
    </row>
    <row r="1130" spans="1:9">
      <c r="A1130" s="1" t="str">
        <f>"410482200405129486"</f>
        <v>410482200405129486</v>
      </c>
      <c r="B1130" s="1" t="str">
        <f t="shared" si="560"/>
        <v>共青团员</v>
      </c>
      <c r="C1130" s="1" t="str">
        <f t="shared" si="559"/>
        <v>本科</v>
      </c>
      <c r="D1130" s="1" t="str">
        <f>"20250630"</f>
        <v>20250630</v>
      </c>
      <c r="E1130" s="1" t="str">
        <f>"洛阳理工学院"</f>
        <v>洛阳理工学院</v>
      </c>
      <c r="F1130" s="1" t="str">
        <f>"会计学"</f>
        <v>会计学</v>
      </c>
      <c r="G1130" s="1" t="str">
        <f>"河南省平顶山市汝州市风穴路街道鑫源万盛公馆"</f>
        <v>河南省平顶山市汝州市风穴路街道鑫源万盛公馆</v>
      </c>
      <c r="H1130" s="1" t="str">
        <f t="shared" si="558"/>
        <v>无</v>
      </c>
      <c r="I1130" s="1" t="str">
        <f>"202109-202506在洛阳理工学院会计学院会计学专业就读，全日制学历。"</f>
        <v>202109-202506在洛阳理工学院会计学院会计学专业就读，全日制学历。</v>
      </c>
    </row>
    <row r="1131" spans="1:9">
      <c r="A1131" s="1" t="str">
        <f>"411327199708274520"</f>
        <v>411327199708274520</v>
      </c>
      <c r="B1131" s="1" t="str">
        <f t="shared" si="561"/>
        <v>群众</v>
      </c>
      <c r="C1131" s="1" t="str">
        <f t="shared" si="559"/>
        <v>本科</v>
      </c>
      <c r="D1131" s="1" t="str">
        <f>"20210630"</f>
        <v>20210630</v>
      </c>
      <c r="E1131" s="1" t="str">
        <f>"郑州商学院"</f>
        <v>郑州商学院</v>
      </c>
      <c r="F1131" s="1" t="str">
        <f>"财务管理"</f>
        <v>财务管理</v>
      </c>
      <c r="G1131" s="1" t="str">
        <f>"河南省南阳市内乡县"</f>
        <v>河南省南阳市内乡县</v>
      </c>
      <c r="H1131" s="1" t="str">
        <f t="shared" si="558"/>
        <v>无</v>
      </c>
      <c r="I1131" s="1" t="str">
        <f>"201709-202106郑州商学院财务管理专业就读
是全日制学历
"</f>
        <v>201709-202106郑州商学院财务管理专业就读
是全日制学历
</v>
      </c>
    </row>
    <row r="1132" spans="1:9">
      <c r="A1132" s="1" t="str">
        <f>"411327200204083945"</f>
        <v>411327200204083945</v>
      </c>
      <c r="B1132" s="1" t="str">
        <f t="shared" si="560"/>
        <v>共青团员</v>
      </c>
      <c r="C1132" s="1" t="str">
        <f t="shared" si="559"/>
        <v>本科</v>
      </c>
      <c r="D1132" s="1" t="str">
        <f>"2022年7月"</f>
        <v>2022年7月</v>
      </c>
      <c r="E1132" s="1" t="str">
        <f>"河南师范大学新联学院"</f>
        <v>河南师范大学新联学院</v>
      </c>
      <c r="F1132" s="1" t="str">
        <f>"酒店管理"</f>
        <v>酒店管理</v>
      </c>
      <c r="G1132" s="1" t="str">
        <f>"河南省南阳市内乡县万事达小区"</f>
        <v>河南省南阳市内乡县万事达小区</v>
      </c>
      <c r="H1132" s="1" t="str">
        <f t="shared" si="558"/>
        <v>无</v>
      </c>
      <c r="I1132" s="1" t="str">
        <f>"2022年7月毕业与河南师范大学 酒店管理 "</f>
        <v>2022年7月毕业与河南师范大学 酒店管理 </v>
      </c>
    </row>
    <row r="1133" spans="1:9">
      <c r="A1133" s="1" t="str">
        <f>"412822199405110031"</f>
        <v>412822199405110031</v>
      </c>
      <c r="B1133" s="1" t="str">
        <f>"中共党员"</f>
        <v>中共党员</v>
      </c>
      <c r="C1133" s="1" t="str">
        <f t="shared" si="559"/>
        <v>本科</v>
      </c>
      <c r="D1133" s="1" t="str">
        <f>"20170623"</f>
        <v>20170623</v>
      </c>
      <c r="E1133" s="1" t="str">
        <f>"大连科技学院"</f>
        <v>大连科技学院</v>
      </c>
      <c r="F1133" s="1" t="str">
        <f>"市场营销"</f>
        <v>市场营销</v>
      </c>
      <c r="G1133" s="1" t="str">
        <f>"河南省泌阳县古城办事处古城居委会东风道3-7号"</f>
        <v>河南省泌阳县古城办事处古城居委会东风道3-7号</v>
      </c>
      <c r="H1133" s="1" t="str">
        <f t="shared" si="558"/>
        <v>无</v>
      </c>
      <c r="I1133" s="1" t="str">
        <f>"201309-201706  就读于大连科技学院  管理工程系市场营销专业，获得全日制本科学历；
201706-202107  在河南省泌阳县古城办事处古城居委会东风道3-7号待业；
202107-202301  在驻马店市公安局驿城分局橡林派出所担任辅警；
202301-至今  在河南省泌阳县古城办事处古城居委会东风道3-7号待业。"</f>
        <v>201309-201706  就读于大连科技学院  管理工程系市场营销专业，获得全日制本科学历；
201706-202107  在河南省泌阳县古城办事处古城居委会东风道3-7号待业；
202107-202301  在驻马店市公安局驿城分局橡林派出所担任辅警；
202301-至今  在河南省泌阳县古城办事处古城居委会东风道3-7号待业。</v>
      </c>
    </row>
    <row r="1134" spans="1:9">
      <c r="A1134" s="1" t="str">
        <f>"411327199910050010"</f>
        <v>411327199910050010</v>
      </c>
      <c r="B1134" s="1" t="str">
        <f t="shared" si="561"/>
        <v>群众</v>
      </c>
      <c r="C1134" s="1" t="str">
        <f>"专科"</f>
        <v>专科</v>
      </c>
      <c r="D1134" s="1" t="str">
        <f>"2021.06"</f>
        <v>2021.06</v>
      </c>
      <c r="E1134" s="1" t="str">
        <f>"郑州科技学院"</f>
        <v>郑州科技学院</v>
      </c>
      <c r="F1134" s="1" t="str">
        <f>"计算机应用技术"</f>
        <v>计算机应用技术</v>
      </c>
      <c r="G1134" s="1" t="str">
        <f>"河南省内乡县城关镇林业局家属院"</f>
        <v>河南省内乡县城关镇林业局家属院</v>
      </c>
      <c r="H1134" s="1" t="str">
        <f t="shared" si="558"/>
        <v>无</v>
      </c>
      <c r="I1134" s="1" t="str">
        <f>"2018-2021 郑州科技学院 计算机应用技术 大专
2021-2024 郑州工业应用技术学院 计算机科学与技术 成人本科"</f>
        <v>2018-2021 郑州科技学院 计算机应用技术 大专
2021-2024 郑州工业应用技术学院 计算机科学与技术 成人本科</v>
      </c>
    </row>
    <row r="1135" spans="1:9">
      <c r="A1135" s="1" t="str">
        <f>"411327200205253125"</f>
        <v>411327200205253125</v>
      </c>
      <c r="B1135" s="1" t="str">
        <f t="shared" si="561"/>
        <v>群众</v>
      </c>
      <c r="C1135" s="1" t="str">
        <f t="shared" ref="C1135:C1140" si="562">"本科"</f>
        <v>本科</v>
      </c>
      <c r="D1135" s="1" t="str">
        <f>"20240607"</f>
        <v>20240607</v>
      </c>
      <c r="E1135" s="1" t="str">
        <f>"南开大学滨海学院"</f>
        <v>南开大学滨海学院</v>
      </c>
      <c r="F1135" s="1" t="str">
        <f>"日语"</f>
        <v>日语</v>
      </c>
      <c r="G1135" s="1" t="str">
        <f>"河南省南阳市内乡县夏馆镇"</f>
        <v>河南省南阳市内乡县夏馆镇</v>
      </c>
      <c r="H1135" s="1" t="str">
        <f t="shared" si="558"/>
        <v>无</v>
      </c>
      <c r="I1135" s="1" t="str">
        <f>"202009-202406南开大学滨海学院外语系日语专业就读，是全日制学历。"</f>
        <v>202009-202406南开大学滨海学院外语系日语专业就读，是全日制学历。</v>
      </c>
    </row>
    <row r="1136" spans="1:9">
      <c r="A1136" s="1" t="str">
        <f>"411327199706081514"</f>
        <v>411327199706081514</v>
      </c>
      <c r="B1136" s="1" t="str">
        <f t="shared" si="561"/>
        <v>群众</v>
      </c>
      <c r="C1136" s="1" t="str">
        <f t="shared" si="562"/>
        <v>本科</v>
      </c>
      <c r="D1136" s="1" t="str">
        <f>"2020.07"</f>
        <v>2020.07</v>
      </c>
      <c r="E1136" s="1" t="str">
        <f>"商丘工学院"</f>
        <v>商丘工学院</v>
      </c>
      <c r="F1136" s="1" t="str">
        <f>"电气工程及其自动化"</f>
        <v>电气工程及其自动化</v>
      </c>
      <c r="G1136" s="1" t="str">
        <f>"河南省南阳市内乡县湍东镇下洼村"</f>
        <v>河南省南阳市内乡县湍东镇下洼村</v>
      </c>
      <c r="H1136" s="1" t="str">
        <f t="shared" si="558"/>
        <v>无</v>
      </c>
      <c r="I1136" s="1" t="str">
        <f>"201609-202006商丘工学院电气工程及其自动化专业就读，全日制本科
202007-202204牧原肉食品股份有限公司上班
202204-202304待业
202304-至今南阳市瑞鑫劳务派遣有限公司"</f>
        <v>201609-202006商丘工学院电气工程及其自动化专业就读，全日制本科
202007-202204牧原肉食品股份有限公司上班
202204-202304待业
202304-至今南阳市瑞鑫劳务派遣有限公司</v>
      </c>
    </row>
    <row r="1137" spans="1:9">
      <c r="A1137" s="1" t="str">
        <f>"411327200411124922"</f>
        <v>411327200411124922</v>
      </c>
      <c r="B1137" s="1" t="str">
        <f t="shared" si="561"/>
        <v>群众</v>
      </c>
      <c r="C1137" s="1" t="str">
        <f>"专科"</f>
        <v>专科</v>
      </c>
      <c r="D1137" s="1" t="str">
        <f>"20250618"</f>
        <v>20250618</v>
      </c>
      <c r="E1137" s="1" t="str">
        <f>"开封大学"</f>
        <v>开封大学</v>
      </c>
      <c r="F1137" s="1" t="str">
        <f>"酒店管理与数字化运营"</f>
        <v>酒店管理与数字化运营</v>
      </c>
      <c r="G1137" s="1" t="str">
        <f>"河南省南阳市内乡县城关镇梨园山庄黄家"</f>
        <v>河南省南阳市内乡县城关镇梨园山庄黄家</v>
      </c>
      <c r="H1137" s="1" t="str">
        <f>"调酒师三级高级工"</f>
        <v>调酒师三级高级工</v>
      </c>
      <c r="I1137" s="1" t="str">
        <f>"20220916-20250618在开封大学就读酒店管理与数字化运营专业三年制专科普通高等全日制学历"</f>
        <v>20220916-20250618在开封大学就读酒店管理与数字化运营专业三年制专科普通高等全日制学历</v>
      </c>
    </row>
    <row r="1138" spans="1:9">
      <c r="A1138" s="1" t="str">
        <f>"411326200002155529"</f>
        <v>411326200002155529</v>
      </c>
      <c r="B1138" s="1" t="str">
        <f t="shared" si="561"/>
        <v>群众</v>
      </c>
      <c r="C1138" s="1" t="str">
        <f t="shared" si="562"/>
        <v>本科</v>
      </c>
      <c r="D1138" s="1" t="str">
        <f>"20230701"</f>
        <v>20230701</v>
      </c>
      <c r="E1138" s="1" t="str">
        <f>"南阳师范学院"</f>
        <v>南阳师范学院</v>
      </c>
      <c r="F1138" s="1" t="str">
        <f>"工商管理"</f>
        <v>工商管理</v>
      </c>
      <c r="G1138" s="1" t="str">
        <f>"河南省南阳市南召县城关镇福禄小区"</f>
        <v>河南省南阳市南召县城关镇福禄小区</v>
      </c>
      <c r="H1138" s="1" t="str">
        <f t="shared" ref="H1138:H1146" si="563">"无"</f>
        <v>无</v>
      </c>
      <c r="I1138" s="1" t="str">
        <f>"2018.09-2021.07开封大学财政经济学院投资与理财专业学生 就读 是全日制
2021.09-2023.07南阳师范学院经济与管理学院工商管理专业学生 就读 是全日制
2023.07至今待业"</f>
        <v>2018.09-2021.07开封大学财政经济学院投资与理财专业学生 就读 是全日制
2021.09-2023.07南阳师范学院经济与管理学院工商管理专业学生 就读 是全日制
2023.07至今待业</v>
      </c>
    </row>
    <row r="1139" spans="1:9">
      <c r="A1139" s="1" t="str">
        <f>"411327200308032026"</f>
        <v>411327200308032026</v>
      </c>
      <c r="B1139" s="1" t="str">
        <f t="shared" si="561"/>
        <v>群众</v>
      </c>
      <c r="C1139" s="1" t="str">
        <f t="shared" si="562"/>
        <v>本科</v>
      </c>
      <c r="D1139" s="1" t="str">
        <f>"20250630"</f>
        <v>20250630</v>
      </c>
      <c r="E1139" s="1" t="str">
        <f>"宁夏理工学院"</f>
        <v>宁夏理工学院</v>
      </c>
      <c r="F1139" s="1" t="str">
        <f>"安全工程"</f>
        <v>安全工程</v>
      </c>
      <c r="G1139" s="1" t="str">
        <f>"河南省南阳市内乡县"</f>
        <v>河南省南阳市内乡县</v>
      </c>
      <c r="H1139" s="1" t="str">
        <f t="shared" si="563"/>
        <v>无</v>
      </c>
      <c r="I1139" s="1" t="str">
        <f>"202109-202506宁夏理工学院建筑与环境学院安全工程专业就读
"</f>
        <v>202109-202506宁夏理工学院建筑与环境学院安全工程专业就读
</v>
      </c>
    </row>
    <row r="1140" spans="1:9">
      <c r="A1140" s="1" t="str">
        <f>"411327199409240048"</f>
        <v>411327199409240048</v>
      </c>
      <c r="B1140" s="1" t="str">
        <f t="shared" si="561"/>
        <v>群众</v>
      </c>
      <c r="C1140" s="1" t="str">
        <f t="shared" si="562"/>
        <v>本科</v>
      </c>
      <c r="D1140" s="1" t="str">
        <f>"20170731"</f>
        <v>20170731</v>
      </c>
      <c r="E1140" s="1" t="str">
        <f>"河南科技学院"</f>
        <v>河南科技学院</v>
      </c>
      <c r="F1140" s="1" t="str">
        <f>"植物保护"</f>
        <v>植物保护</v>
      </c>
      <c r="G1140" s="1" t="str">
        <f>"河南省南阳市内乡县城关镇渚阳大街124号"</f>
        <v>河南省南阳市内乡县城关镇渚阳大街124号</v>
      </c>
      <c r="H1140" s="1" t="str">
        <f>"农作物植保员"</f>
        <v>农作物植保员</v>
      </c>
      <c r="I1140" s="1" t="str">
        <f>"201309-201707 河南科技学院资源与环境学院植物保护专业就读  全日制
201708-201802 内乡县新概念教育 职员
201803-201911 一扇门控股有限公司内乡分公司 职员
201912-至今 南阳村镇银行股份有限公司 职员"</f>
        <v>201309-201707 河南科技学院资源与环境学院植物保护专业就读  全日制
201708-201802 内乡县新概念教育 职员
201803-201911 一扇门控股有限公司内乡分公司 职员
201912-至今 南阳村镇银行股份有限公司 职员</v>
      </c>
    </row>
    <row r="1141" spans="1:9">
      <c r="A1141" s="1" t="str">
        <f>"411327199703241121"</f>
        <v>411327199703241121</v>
      </c>
      <c r="B1141" s="1" t="str">
        <f t="shared" si="561"/>
        <v>群众</v>
      </c>
      <c r="C1141" s="1" t="str">
        <f>"专科"</f>
        <v>专科</v>
      </c>
      <c r="D1141" s="1" t="str">
        <f>"20210701"</f>
        <v>20210701</v>
      </c>
      <c r="E1141" s="1" t="str">
        <f>"河南交通职业技术学院"</f>
        <v>河南交通职业技术学院</v>
      </c>
      <c r="F1141" s="1" t="str">
        <f>"道路桥梁工程技术"</f>
        <v>道路桥梁工程技术</v>
      </c>
      <c r="G1141" s="1" t="str">
        <f>"河南省南阳市内乡县二高"</f>
        <v>河南省南阳市内乡县二高</v>
      </c>
      <c r="H1141" s="1" t="str">
        <f t="shared" si="563"/>
        <v>无</v>
      </c>
      <c r="I1141" s="1" t="str">
        <f>"2015.09—2018.06 河南交通职业技术学院 道路桥梁工程技术 全日制大专
2018.10—2019.09 南阳肯德基 服务员
2019.07—2021.09 南阳理工学院 土木工程 非统招本科"</f>
        <v>2015.09—2018.06 河南交通职业技术学院 道路桥梁工程技术 全日制大专
2018.10—2019.09 南阳肯德基 服务员
2019.07—2021.09 南阳理工学院 土木工程 非统招本科</v>
      </c>
    </row>
    <row r="1142" spans="1:9">
      <c r="A1142" s="1" t="str">
        <f>"411324200104180036"</f>
        <v>411324200104180036</v>
      </c>
      <c r="B1142" s="1" t="str">
        <f t="shared" si="561"/>
        <v>群众</v>
      </c>
      <c r="C1142" s="1" t="str">
        <f t="shared" ref="C1142:C1147" si="564">"本科"</f>
        <v>本科</v>
      </c>
      <c r="D1142" s="1" t="str">
        <f>"20230619"</f>
        <v>20230619</v>
      </c>
      <c r="E1142" s="1" t="str">
        <f>"榆林学院"</f>
        <v>榆林学院</v>
      </c>
      <c r="F1142" s="1" t="str">
        <f>"动物科学"</f>
        <v>动物科学</v>
      </c>
      <c r="G1142" s="1" t="str">
        <f>"陕西省商洛市商南县古城佳府6#1605"</f>
        <v>陕西省商洛市商南县古城佳府6#1605</v>
      </c>
      <c r="H1142" s="1" t="str">
        <f t="shared" si="563"/>
        <v>无</v>
      </c>
      <c r="I1142" s="1" t="str">
        <f>"2019年九月至2023年六月在榆林学院动物科学专业就读，全日制。
2023年七月至2025年一月在中粮家佳康（张北）有限公司就业
2025年二月至2025年七月在镇平待业"</f>
        <v>2019年九月至2023年六月在榆林学院动物科学专业就读，全日制。
2023年七月至2025年一月在中粮家佳康（张北）有限公司就业
2025年二月至2025年七月在镇平待业</v>
      </c>
    </row>
    <row r="1143" spans="1:9">
      <c r="A1143" s="1" t="str">
        <f>"411522199003041814"</f>
        <v>411522199003041814</v>
      </c>
      <c r="B1143" s="1" t="str">
        <f t="shared" si="561"/>
        <v>群众</v>
      </c>
      <c r="C1143" s="1" t="str">
        <f>"专科"</f>
        <v>专科</v>
      </c>
      <c r="D1143" s="1" t="str">
        <f>"20250701"</f>
        <v>20250701</v>
      </c>
      <c r="E1143" s="1" t="str">
        <f>"南阳农业职业学院"</f>
        <v>南阳农业职业学院</v>
      </c>
      <c r="F1143" s="1" t="str">
        <f>"园林技术"</f>
        <v>园林技术</v>
      </c>
      <c r="G1143" s="1" t="str">
        <f>"河南省南阳市内乡县赤眉镇"</f>
        <v>河南省南阳市内乡县赤眉镇</v>
      </c>
      <c r="H1143" s="1" t="str">
        <f t="shared" si="563"/>
        <v>无</v>
      </c>
      <c r="I1143" s="1" t="str">
        <f>"2023年5月-2025年7月在南阳农业职业学校园林技术专业就读，非全日制大专"</f>
        <v>2023年5月-2025年7月在南阳农业职业学校园林技术专业就读，非全日制大专</v>
      </c>
    </row>
    <row r="1144" spans="1:9">
      <c r="A1144" s="1" t="str">
        <f>"411381199909291747"</f>
        <v>411381199909291747</v>
      </c>
      <c r="B1144" s="1" t="str">
        <f>"共青团员"</f>
        <v>共青团员</v>
      </c>
      <c r="C1144" s="1" t="str">
        <f t="shared" si="564"/>
        <v>本科</v>
      </c>
      <c r="D1144" s="1" t="str">
        <f>"20220701"</f>
        <v>20220701</v>
      </c>
      <c r="E1144" s="1" t="str">
        <f>"河南财政金融学院"</f>
        <v>河南财政金融学院</v>
      </c>
      <c r="F1144" s="1" t="str">
        <f>"财政学"</f>
        <v>财政学</v>
      </c>
      <c r="G1144" s="1" t="str">
        <f>"河南省邓州市白牛镇扇刘村大桥22号"</f>
        <v>河南省邓州市白牛镇扇刘村大桥22号</v>
      </c>
      <c r="H1144" s="1" t="str">
        <f t="shared" si="563"/>
        <v>无</v>
      </c>
      <c r="I1144" s="1" t="str">
        <f>"201809-202207在河南财政金融学院财政税务学院财政学就读，普通全日制，本科；
202207-至今，在家，待业。"</f>
        <v>201809-202207在河南财政金融学院财政税务学院财政学就读，普通全日制，本科；
202207-至今，在家，待业。</v>
      </c>
    </row>
    <row r="1145" spans="1:9">
      <c r="A1145" s="1" t="str">
        <f>"411327199508170030"</f>
        <v>411327199508170030</v>
      </c>
      <c r="B1145" s="1" t="str">
        <f t="shared" ref="B1145:B1148" si="565">"群众"</f>
        <v>群众</v>
      </c>
      <c r="C1145" s="1" t="str">
        <f t="shared" si="564"/>
        <v>本科</v>
      </c>
      <c r="D1145" s="1" t="str">
        <f>"20200326"</f>
        <v>20200326</v>
      </c>
      <c r="E1145" s="1" t="str">
        <f>"沈阳工业大学"</f>
        <v>沈阳工业大学</v>
      </c>
      <c r="F1145" s="1" t="str">
        <f>"自动化"</f>
        <v>自动化</v>
      </c>
      <c r="G1145" s="1" t="str">
        <f>"内乡县县衙西路九巷61"</f>
        <v>内乡县县衙西路九巷61</v>
      </c>
      <c r="H1145" s="1" t="str">
        <f t="shared" si="563"/>
        <v>无</v>
      </c>
      <c r="I1145" s="1" t="str">
        <f>"201308-202003 沈阳工业大学自动化专业就读 是全日制学历
202004-202205 在杭州自由职业
202205-202506 在西安自由职业"</f>
        <v>201308-202003 沈阳工业大学自动化专业就读 是全日制学历
202004-202205 在杭州自由职业
202205-202506 在西安自由职业</v>
      </c>
    </row>
    <row r="1146" spans="1:9">
      <c r="A1146" s="1" t="str">
        <f>"411327200012280020"</f>
        <v>411327200012280020</v>
      </c>
      <c r="B1146" s="1" t="str">
        <f t="shared" si="565"/>
        <v>群众</v>
      </c>
      <c r="C1146" s="1" t="str">
        <f t="shared" si="564"/>
        <v>本科</v>
      </c>
      <c r="D1146" s="1" t="str">
        <f>"20220701"</f>
        <v>20220701</v>
      </c>
      <c r="E1146" s="1" t="str">
        <f>"商丘工学院"</f>
        <v>商丘工学院</v>
      </c>
      <c r="F1146" s="1" t="str">
        <f>"市场营销"</f>
        <v>市场营销</v>
      </c>
      <c r="G1146" s="1" t="str">
        <f>"河南省南阳市内乡县城关镇安馨园小区旁百印图文广告公司"</f>
        <v>河南省南阳市内乡县城关镇安馨园小区旁百印图文广告公司</v>
      </c>
      <c r="H1146" s="1" t="str">
        <f t="shared" si="563"/>
        <v>无</v>
      </c>
      <c r="I1146" s="1" t="str">
        <f>"201809-202207 商丘工学院经济与管理学院市场营销专业
202208-202405 待业
202406-202503 内乡县清真寺村网格员
202504-至今 待业"</f>
        <v>201809-202207 商丘工学院经济与管理学院市场营销专业
202208-202405 待业
202406-202503 内乡县清真寺村网格员
202504-至今 待业</v>
      </c>
    </row>
    <row r="1147" spans="1:9">
      <c r="A1147" s="1" t="str">
        <f>"411325199910084525"</f>
        <v>411325199910084525</v>
      </c>
      <c r="B1147" s="1" t="str">
        <f>"共青团员"</f>
        <v>共青团员</v>
      </c>
      <c r="C1147" s="1" t="str">
        <f t="shared" si="564"/>
        <v>本科</v>
      </c>
      <c r="D1147" s="1" t="str">
        <f>"20210701"</f>
        <v>20210701</v>
      </c>
      <c r="E1147" s="1" t="str">
        <f>"安阳师范学院"</f>
        <v>安阳师范学院</v>
      </c>
      <c r="F1147" s="1" t="str">
        <f>"土木工程"</f>
        <v>土木工程</v>
      </c>
      <c r="G1147" s="1" t="str">
        <f>"河南省南阳市内乡县湍东镇园丁苑小区"</f>
        <v>河南省南阳市内乡县湍东镇园丁苑小区</v>
      </c>
      <c r="H1147" s="1" t="str">
        <f>"英语四级 普通话二级甲等"</f>
        <v>英语四级 普通话二级甲等</v>
      </c>
      <c r="I1147" s="1" t="str">
        <f>"201709-202103 安阳师范学院建筑工程学院土木工程专业 就读 全日制本科
202103-202503 中国人民解放军66114部队服役"</f>
        <v>201709-202103 安阳师范学院建筑工程学院土木工程专业 就读 全日制本科
202103-202503 中国人民解放军66114部队服役</v>
      </c>
    </row>
    <row r="1148" spans="1:9">
      <c r="A1148" s="1" t="str">
        <f>"411324199903200018"</f>
        <v>411324199903200018</v>
      </c>
      <c r="B1148" s="1" t="str">
        <f t="shared" si="565"/>
        <v>群众</v>
      </c>
      <c r="C1148" s="1" t="str">
        <f>"专科"</f>
        <v>专科</v>
      </c>
      <c r="D1148" s="1" t="str">
        <f>"20190701"</f>
        <v>20190701</v>
      </c>
      <c r="E1148" s="1" t="str">
        <f>"中原工学院"</f>
        <v>中原工学院</v>
      </c>
      <c r="F1148" s="1" t="str">
        <f>"计算机信息管理"</f>
        <v>计算机信息管理</v>
      </c>
      <c r="G1148" s="1" t="str">
        <f>"城关镇东关村19组157号"</f>
        <v>城关镇东关村19组157号</v>
      </c>
      <c r="H1148" s="1" t="str">
        <f t="shared" ref="H1148:H1150" si="566">"无"</f>
        <v>无</v>
      </c>
      <c r="I1148" s="1" t="str">
        <f>"201709-201907 中原工学院 计算机信息管理专业就读 是全日制学历
"</f>
        <v>201709-201907 中原工学院 计算机信息管理专业就读 是全日制学历
</v>
      </c>
    </row>
    <row r="1149" spans="1:9">
      <c r="A1149" s="1" t="str">
        <f>"37172120020629523X"</f>
        <v>37172120020629523X</v>
      </c>
      <c r="B1149" s="1" t="str">
        <f>"中共党员"</f>
        <v>中共党员</v>
      </c>
      <c r="C1149" s="1" t="str">
        <f t="shared" ref="C1149:C1153" si="567">"本科"</f>
        <v>本科</v>
      </c>
      <c r="D1149" s="1" t="str">
        <f>"20240627"</f>
        <v>20240627</v>
      </c>
      <c r="E1149" s="1" t="str">
        <f>"燕山大学"</f>
        <v>燕山大学</v>
      </c>
      <c r="F1149" s="1" t="str">
        <f>"行政管理"</f>
        <v>行政管理</v>
      </c>
      <c r="G1149" s="1" t="str">
        <f>"山东省菏泽市曹县"</f>
        <v>山东省菏泽市曹县</v>
      </c>
      <c r="H1149" s="1" t="str">
        <f t="shared" si="566"/>
        <v>无</v>
      </c>
      <c r="I1149" s="1" t="str">
        <f>"201509-201809曹县第一私立高中就读
201809-202109菏泽学院建筑工程技术专业就读，全日制
202109-20240627燕山大学函授，非全日制
20240627-至今待业"</f>
        <v>201509-201809曹县第一私立高中就读
201809-202109菏泽学院建筑工程技术专业就读，全日制
202109-20240627燕山大学函授，非全日制
20240627-至今待业</v>
      </c>
    </row>
    <row r="1150" spans="1:9">
      <c r="A1150" s="1" t="str">
        <f>"411302199911270018"</f>
        <v>411302199911270018</v>
      </c>
      <c r="B1150" s="1" t="str">
        <f>"共青团员"</f>
        <v>共青团员</v>
      </c>
      <c r="C1150" s="1" t="str">
        <f t="shared" si="567"/>
        <v>本科</v>
      </c>
      <c r="D1150" s="1" t="str">
        <f>"20220701"</f>
        <v>20220701</v>
      </c>
      <c r="E1150" s="1" t="str">
        <f>"信阳学院"</f>
        <v>信阳学院</v>
      </c>
      <c r="F1150" s="1" t="str">
        <f>"计算机科学与技术（移动终端应用软件开发方向）"</f>
        <v>计算机科学与技术（移动终端应用软件开发方向）</v>
      </c>
      <c r="G1150" s="1" t="str">
        <f>"河南省南阳市宛城区溧河乡伏牛路文化局家属院北二排六户"</f>
        <v>河南省南阳市宛城区溧河乡伏牛路文化局家属院北二排六户</v>
      </c>
      <c r="H1150" s="1" t="str">
        <f t="shared" si="566"/>
        <v>无</v>
      </c>
      <c r="I1150" s="1" t="str">
        <f>"201809-202206 信阳学院大数据与人工智能学院计算机科学与技术全日制本科"</f>
        <v>201809-202206 信阳学院大数据与人工智能学院计算机科学与技术全日制本科</v>
      </c>
    </row>
    <row r="1151" spans="1:9">
      <c r="A1151" s="1" t="str">
        <f>"411324200402024824"</f>
        <v>411324200402024824</v>
      </c>
      <c r="B1151" s="1" t="str">
        <f t="shared" ref="B1151:B1156" si="568">"群众"</f>
        <v>群众</v>
      </c>
      <c r="C1151" s="1" t="str">
        <f>"专科"</f>
        <v>专科</v>
      </c>
      <c r="D1151" s="1" t="str">
        <f>"20250630"</f>
        <v>20250630</v>
      </c>
      <c r="E1151" s="1" t="str">
        <f>"南通职业大学"</f>
        <v>南通职业大学</v>
      </c>
      <c r="F1151" s="1" t="str">
        <f>"现代物流管理"</f>
        <v>现代物流管理</v>
      </c>
      <c r="G1151" s="1" t="str">
        <f>"河南省南阳市镇平县侯集镇马圈王"</f>
        <v>河南省南阳市镇平县侯集镇马圈王</v>
      </c>
      <c r="H1151" s="1" t="str">
        <f>"物流管理师高级"</f>
        <v>物流管理师高级</v>
      </c>
      <c r="I1151" s="1" t="str">
        <f>"202210-202506 南通职业大学 就读"</f>
        <v>202210-202506 南通职业大学 就读</v>
      </c>
    </row>
    <row r="1152" spans="1:9">
      <c r="A1152" s="1" t="str">
        <f>"410928199012035730"</f>
        <v>410928199012035730</v>
      </c>
      <c r="B1152" s="1" t="str">
        <f t="shared" si="568"/>
        <v>群众</v>
      </c>
      <c r="C1152" s="1" t="str">
        <f t="shared" si="567"/>
        <v>本科</v>
      </c>
      <c r="D1152" s="1" t="str">
        <f>"2017年7月1日"</f>
        <v>2017年7月1日</v>
      </c>
      <c r="E1152" s="1" t="str">
        <f>"西安工程大学"</f>
        <v>西安工程大学</v>
      </c>
      <c r="F1152" s="1" t="str">
        <f>"视觉传达专业"</f>
        <v>视觉传达专业</v>
      </c>
      <c r="G1152" s="1" t="str">
        <f>"河南省濮阳市濮阳县建业新城3号楼2单元101"</f>
        <v>河南省濮阳市濮阳县建业新城3号楼2单元101</v>
      </c>
      <c r="H1152" s="1" t="str">
        <f t="shared" ref="H1152:H1155" si="569">"无"</f>
        <v>无</v>
      </c>
      <c r="I1152" s="1" t="str">
        <f>"20130901-20170701 西安工程大学 服装设计学院 视觉传达设计专业"</f>
        <v>20130901-20170701 西安工程大学 服装设计学院 视觉传达设计专业</v>
      </c>
    </row>
    <row r="1153" spans="1:9">
      <c r="A1153" s="1" t="str">
        <f>"41133020030523152X"</f>
        <v>41133020030523152X</v>
      </c>
      <c r="B1153" s="1" t="str">
        <f>"共青团员"</f>
        <v>共青团员</v>
      </c>
      <c r="C1153" s="1" t="str">
        <f t="shared" si="567"/>
        <v>本科</v>
      </c>
      <c r="D1153" s="1" t="str">
        <f>"20250607"</f>
        <v>20250607</v>
      </c>
      <c r="E1153" s="1" t="str">
        <f>"安阳师范学院"</f>
        <v>安阳师范学院</v>
      </c>
      <c r="F1153" s="1" t="str">
        <f>"土木工程"</f>
        <v>土木工程</v>
      </c>
      <c r="G1153" s="1" t="str">
        <f>"河南省西峡县城关镇农贸街15号"</f>
        <v>河南省西峡县城关镇农贸街15号</v>
      </c>
      <c r="H1153" s="1" t="str">
        <f t="shared" si="569"/>
        <v>无</v>
      </c>
      <c r="I1153" s="1" t="str">
        <f>"202109-202506在安阳师范学院土木工程专业就读，是全日制学历"</f>
        <v>202109-202506在安阳师范学院土木工程专业就读，是全日制学历</v>
      </c>
    </row>
    <row r="1154" spans="1:9">
      <c r="A1154" s="1" t="str">
        <f>"411327199308053315"</f>
        <v>411327199308053315</v>
      </c>
      <c r="B1154" s="1" t="str">
        <f t="shared" si="568"/>
        <v>群众</v>
      </c>
      <c r="C1154" s="1" t="str">
        <f>"硕士研究生"</f>
        <v>硕士研究生</v>
      </c>
      <c r="D1154" s="1" t="str">
        <f>"20230619"</f>
        <v>20230619</v>
      </c>
      <c r="E1154" s="1" t="str">
        <f>"淮阴工学院"</f>
        <v>淮阴工学院</v>
      </c>
      <c r="F1154" s="1" t="str">
        <f>"材料与化工"</f>
        <v>材料与化工</v>
      </c>
      <c r="G1154" s="1" t="str">
        <f>"河南省南阳市灌涨镇杨集村十字路32号"</f>
        <v>河南省南阳市灌涨镇杨集村十字路32号</v>
      </c>
      <c r="H1154" s="1" t="str">
        <f>"江苏省初级专业技术资格证书-助理工程师"</f>
        <v>江苏省初级专业技术资格证书-助理工程师</v>
      </c>
      <c r="I1154" s="1" t="str">
        <f>"201409-201807 中原工学院信息商务学院商学系信息管理与信息系统专业就读，是全日制；
201807-202008 在家待业
202009-202306 淮阴工学院自动化学院 材料与化工专业就读， 是全日制；
202311-202507 苏州市精创测控技术有限公司任职"</f>
        <v>201409-201807 中原工学院信息商务学院商学系信息管理与信息系统专业就读，是全日制；
201807-202008 在家待业
202009-202306 淮阴工学院自动化学院 材料与化工专业就读， 是全日制；
202311-202507 苏州市精创测控技术有限公司任职</v>
      </c>
    </row>
    <row r="1155" spans="1:9">
      <c r="A1155" s="1" t="str">
        <f>"411381199803136327"</f>
        <v>411381199803136327</v>
      </c>
      <c r="B1155" s="1" t="str">
        <f t="shared" si="568"/>
        <v>群众</v>
      </c>
      <c r="C1155" s="1" t="str">
        <f>"专科"</f>
        <v>专科</v>
      </c>
      <c r="D1155" s="1" t="str">
        <f>"20170701"</f>
        <v>20170701</v>
      </c>
      <c r="E1155" s="1" t="str">
        <f>"河南财政金融学院"</f>
        <v>河南财政金融学院</v>
      </c>
      <c r="F1155" s="1" t="str">
        <f>"计算机网络技术"</f>
        <v>计算机网络技术</v>
      </c>
      <c r="G1155" s="1" t="str">
        <f>"河南省南阳市宛城区长江西路新途径"</f>
        <v>河南省南阳市宛城区长江西路新途径</v>
      </c>
      <c r="H1155" s="1" t="str">
        <f t="shared" si="569"/>
        <v>无</v>
      </c>
      <c r="I1155" s="1" t="str">
        <f>"201509-201707河南财政金融学院计算机网络技术专业，全日制。
201707-202001南阳市待业
202001-202507 南阳新途径教育科技有限公司"</f>
        <v>201509-201707河南财政金融学院计算机网络技术专业，全日制。
201707-202001南阳市待业
202001-202507 南阳新途径教育科技有限公司</v>
      </c>
    </row>
    <row r="1156" spans="1:9">
      <c r="A1156" s="1" t="str">
        <f>"412728200211014517"</f>
        <v>412728200211014517</v>
      </c>
      <c r="B1156" s="1" t="str">
        <f t="shared" si="568"/>
        <v>群众</v>
      </c>
      <c r="C1156" s="1" t="str">
        <f t="shared" ref="C1156:C1163" si="570">"本科"</f>
        <v>本科</v>
      </c>
      <c r="D1156" s="1" t="str">
        <f>"20250625"</f>
        <v>20250625</v>
      </c>
      <c r="E1156" s="1" t="str">
        <f>"长春人文学院"</f>
        <v>长春人文学院</v>
      </c>
      <c r="F1156" s="1" t="str">
        <f>"电气工程及其自动化"</f>
        <v>电气工程及其自动化</v>
      </c>
      <c r="G1156" s="1" t="str">
        <f>"河南省周口市沈丘县刘庄店镇长安路183号"</f>
        <v>河南省周口市沈丘县刘庄店镇长安路183号</v>
      </c>
      <c r="H1156" s="1" t="str">
        <f>"职业技能等级证书"</f>
        <v>职业技能等级证书</v>
      </c>
      <c r="I1156" s="1" t="str">
        <f>"202109——20250625 于长春人文学院就读电气工程及其自动化专业，为全日制本科"</f>
        <v>202109——20250625 于长春人文学院就读电气工程及其自动化专业，为全日制本科</v>
      </c>
    </row>
    <row r="1157" spans="1:9">
      <c r="A1157" s="1" t="str">
        <f>"41130319930615375X"</f>
        <v>41130319930615375X</v>
      </c>
      <c r="B1157" s="1" t="str">
        <f>"中共党员"</f>
        <v>中共党员</v>
      </c>
      <c r="C1157" s="1" t="str">
        <f>"硕士研究生"</f>
        <v>硕士研究生</v>
      </c>
      <c r="D1157" s="1" t="str">
        <f>"20230620"</f>
        <v>20230620</v>
      </c>
      <c r="E1157" s="1" t="str">
        <f>"西南民族大学"</f>
        <v>西南民族大学</v>
      </c>
      <c r="F1157" s="1" t="str">
        <f>"有机化学"</f>
        <v>有机化学</v>
      </c>
      <c r="G1157" s="1" t="str">
        <f>"河南省南阳市卧龙区北京大道与麒麟路交叉口 麒麟公馆"</f>
        <v>河南省南阳市卧龙区北京大道与麒麟路交叉口 麒麟公馆</v>
      </c>
      <c r="H1157" s="1" t="str">
        <f t="shared" ref="H1157:H1170" si="571">"无"</f>
        <v>无</v>
      </c>
      <c r="I1157" s="1" t="str">
        <f>"201509-201906  西南民族大学 化学与环境学院  化学工程与工艺专业 就读，全日制本科。
201907-202009 在家备考考研
202010-202306 西南民族大学 化学与环境学院 有机化学专业 就读，全日制硕士。
202307-202501 康龙化成（北京）新药技术股份有限公司  有机合成研究员
202502-至今在家待业"</f>
        <v>201509-201906  西南民族大学 化学与环境学院  化学工程与工艺专业 就读，全日制本科。
201907-202009 在家备考考研
202010-202306 西南民族大学 化学与环境学院 有机化学专业 就读，全日制硕士。
202307-202501 康龙化成（北京）新药技术股份有限公司  有机合成研究员
202502-至今在家待业</v>
      </c>
    </row>
    <row r="1158" spans="1:9">
      <c r="A1158" s="1" t="str">
        <f>"411327200012134525"</f>
        <v>411327200012134525</v>
      </c>
      <c r="B1158" s="1" t="str">
        <f>"群众"</f>
        <v>群众</v>
      </c>
      <c r="C1158" s="1" t="str">
        <f t="shared" si="570"/>
        <v>本科</v>
      </c>
      <c r="D1158" s="1" t="str">
        <f>"20220701"</f>
        <v>20220701</v>
      </c>
      <c r="E1158" s="1" t="str">
        <f>"中原科技学院"</f>
        <v>中原科技学院</v>
      </c>
      <c r="F1158" s="1" t="str">
        <f>"人力资源管理"</f>
        <v>人力资源管理</v>
      </c>
      <c r="G1158" s="1" t="str">
        <f>"河南省南阳市内乡县赵店乡聂岗村"</f>
        <v>河南省南阳市内乡县赵店乡聂岗村</v>
      </c>
      <c r="H1158" s="1" t="str">
        <f t="shared" si="571"/>
        <v>无</v>
      </c>
      <c r="I1158" s="1" t="str">
        <f>"201809-202207  在中原科技学院就读人力资源管理专业
202209-202507 在内乡郦都学校工作
"</f>
        <v>201809-202207  在中原科技学院就读人力资源管理专业
202209-202507 在内乡郦都学校工作
</v>
      </c>
    </row>
    <row r="1159" spans="1:9">
      <c r="A1159" s="1" t="str">
        <f>"411322200112283411"</f>
        <v>411322200112283411</v>
      </c>
      <c r="B1159" s="1" t="str">
        <f>"中共党员"</f>
        <v>中共党员</v>
      </c>
      <c r="C1159" s="1" t="str">
        <f t="shared" si="570"/>
        <v>本科</v>
      </c>
      <c r="D1159" s="1" t="str">
        <f>"20240630"</f>
        <v>20240630</v>
      </c>
      <c r="E1159" s="1" t="str">
        <f>"新乡学院"</f>
        <v>新乡学院</v>
      </c>
      <c r="F1159" s="1" t="str">
        <f>"体育教育"</f>
        <v>体育教育</v>
      </c>
      <c r="G1159" s="1" t="str">
        <f>"河南省南阳市方城县清河镇后楼村"</f>
        <v>河南省南阳市方城县清河镇后楼村</v>
      </c>
      <c r="H1159" s="1" t="str">
        <f t="shared" si="571"/>
        <v>无</v>
      </c>
      <c r="I1159" s="1" t="str">
        <f>"20201010-20240630新乡学院体育教育专业全日制学历就读
20240630-至今河南省南阳市方城县清河镇后楼村待业"</f>
        <v>20201010-20240630新乡学院体育教育专业全日制学历就读
20240630-至今河南省南阳市方城县清河镇后楼村待业</v>
      </c>
    </row>
    <row r="1160" spans="1:9">
      <c r="A1160" s="1" t="str">
        <f>"411202200209130023"</f>
        <v>411202200209130023</v>
      </c>
      <c r="B1160" s="1" t="str">
        <f>"共青团员"</f>
        <v>共青团员</v>
      </c>
      <c r="C1160" s="1" t="str">
        <f t="shared" si="570"/>
        <v>本科</v>
      </c>
      <c r="D1160" s="1" t="str">
        <f>"20250606"</f>
        <v>20250606</v>
      </c>
      <c r="E1160" s="1" t="str">
        <f>"信阳学院"</f>
        <v>信阳学院</v>
      </c>
      <c r="F1160" s="1" t="str">
        <f>"汉语言文学"</f>
        <v>汉语言文学</v>
      </c>
      <c r="G1160" s="1" t="str">
        <f>"河南省南阳市南召县马市坪乡九组七号"</f>
        <v>河南省南阳市南召县马市坪乡九组七号</v>
      </c>
      <c r="H1160" s="1" t="str">
        <f t="shared" si="571"/>
        <v>无</v>
      </c>
      <c r="I1160" s="1" t="str">
        <f>"202109-202506 信阳学院 文学院汉语言文学专业 就读，全日制本科"</f>
        <v>202109-202506 信阳学院 文学院汉语言文学专业 就读，全日制本科</v>
      </c>
    </row>
    <row r="1161" spans="1:9">
      <c r="A1161" s="1" t="str">
        <f>"411327200304300011"</f>
        <v>411327200304300011</v>
      </c>
      <c r="B1161" s="1" t="str">
        <f>"共青团员"</f>
        <v>共青团员</v>
      </c>
      <c r="C1161" s="1" t="str">
        <f t="shared" si="570"/>
        <v>本科</v>
      </c>
      <c r="D1161" s="1" t="str">
        <f>"2025-06-15"</f>
        <v>2025-06-15</v>
      </c>
      <c r="E1161" s="1" t="str">
        <f>"郑州航空工业管理学院"</f>
        <v>郑州航空工业管理学院</v>
      </c>
      <c r="F1161" s="1" t="str">
        <f>"土木工程"</f>
        <v>土木工程</v>
      </c>
      <c r="G1161" s="1" t="str">
        <f>"河南省南阳市内乡县"</f>
        <v>河南省南阳市内乡县</v>
      </c>
      <c r="H1161" s="1" t="str">
        <f t="shared" si="571"/>
        <v>无</v>
      </c>
      <c r="I1161" s="1" t="str">
        <f>"202109-202506 郑州航空工业管理学院就读"</f>
        <v>202109-202506 郑州航空工业管理学院就读</v>
      </c>
    </row>
    <row r="1162" spans="1:9">
      <c r="A1162" s="1" t="str">
        <f>"411327199007154921"</f>
        <v>411327199007154921</v>
      </c>
      <c r="B1162" s="1" t="str">
        <f t="shared" ref="B1162:B1168" si="572">"群众"</f>
        <v>群众</v>
      </c>
      <c r="C1162" s="1" t="str">
        <f t="shared" si="570"/>
        <v>本科</v>
      </c>
      <c r="D1162" s="1" t="str">
        <f>"20111231"</f>
        <v>20111231</v>
      </c>
      <c r="E1162" s="1" t="str">
        <f>"西北政法大学"</f>
        <v>西北政法大学</v>
      </c>
      <c r="F1162" s="1" t="str">
        <f>"法律"</f>
        <v>法律</v>
      </c>
      <c r="G1162" s="1" t="str">
        <f>"河南省南阳市内乡县城关镇新民路"</f>
        <v>河南省南阳市内乡县城关镇新民路</v>
      </c>
      <c r="H1162" s="1" t="str">
        <f t="shared" si="571"/>
        <v>无</v>
      </c>
      <c r="I1162" s="1" t="str">
        <f>"200809-201307 西北政法大学 就读 非全日制学历
201307-202307 阳光财产保险股份有限公司内乡支公司
202307 至今内乡县公路事业发展中心"</f>
        <v>200809-201307 西北政法大学 就读 非全日制学历
201307-202307 阳光财产保险股份有限公司内乡支公司
202307 至今内乡县公路事业发展中心</v>
      </c>
    </row>
    <row r="1163" spans="1:9">
      <c r="A1163" s="1" t="str">
        <f>"411327200203082924"</f>
        <v>411327200203082924</v>
      </c>
      <c r="B1163" s="1" t="str">
        <f>"中共党员"</f>
        <v>中共党员</v>
      </c>
      <c r="C1163" s="1" t="str">
        <f t="shared" si="570"/>
        <v>本科</v>
      </c>
      <c r="D1163" s="1" t="str">
        <f>"20250701"</f>
        <v>20250701</v>
      </c>
      <c r="E1163" s="1" t="str">
        <f>"郑州工业应用技术学院"</f>
        <v>郑州工业应用技术学院</v>
      </c>
      <c r="F1163" s="1" t="str">
        <f>"通信工程"</f>
        <v>通信工程</v>
      </c>
      <c r="G1163" s="1" t="str">
        <f>"河南省南阳市内乡县瓦亭镇"</f>
        <v>河南省南阳市内乡县瓦亭镇</v>
      </c>
      <c r="H1163" s="1" t="str">
        <f t="shared" si="571"/>
        <v>无</v>
      </c>
      <c r="I1163" s="1" t="str">
        <f>"202009-202306 在济源职业技术学院人工智能学院物联网应用技术专业就读，全日制学历；
202309-202506 在郑州工业应用技术学院信息工程学院通信工程专业就读，全日制学历。"</f>
        <v>202009-202306 在济源职业技术学院人工智能学院物联网应用技术专业就读，全日制学历；
202309-202506 在郑州工业应用技术学院信息工程学院通信工程专业就读，全日制学历。</v>
      </c>
    </row>
    <row r="1164" spans="1:9">
      <c r="A1164" s="1" t="str">
        <f>"411327199410192047"</f>
        <v>411327199410192047</v>
      </c>
      <c r="B1164" s="1" t="str">
        <f t="shared" si="572"/>
        <v>群众</v>
      </c>
      <c r="C1164" s="1" t="str">
        <f t="shared" ref="C1164:C1168" si="573">"专科"</f>
        <v>专科</v>
      </c>
      <c r="D1164" s="1" t="str">
        <f>"20180701"</f>
        <v>20180701</v>
      </c>
      <c r="E1164" s="1" t="str">
        <f>"郑州财经学院"</f>
        <v>郑州财经学院</v>
      </c>
      <c r="F1164" s="1" t="str">
        <f>"会计与审计"</f>
        <v>会计与审计</v>
      </c>
      <c r="G1164" s="1" t="str">
        <f>"内乡县梨苑山庄"</f>
        <v>内乡县梨苑山庄</v>
      </c>
      <c r="H1164" s="1" t="str">
        <f t="shared" si="571"/>
        <v>无</v>
      </c>
      <c r="I1164" s="1" t="str">
        <f>"201509-201807郑州财经学院就读于会计与审计专业，全日制学历
201807-202009在家待业
202009-至今于内乡复兴学校任教"</f>
        <v>201509-201807郑州财经学院就读于会计与审计专业，全日制学历
201807-202009在家待业
202009-至今于内乡复兴学校任教</v>
      </c>
    </row>
    <row r="1165" spans="1:9">
      <c r="A1165" s="1" t="str">
        <f>"130426200107063943"</f>
        <v>130426200107063943</v>
      </c>
      <c r="B1165" s="1" t="str">
        <f>"中共党员"</f>
        <v>中共党员</v>
      </c>
      <c r="C1165" s="1" t="str">
        <f>"本科"</f>
        <v>本科</v>
      </c>
      <c r="D1165" s="1" t="str">
        <f>"20230615"</f>
        <v>20230615</v>
      </c>
      <c r="E1165" s="1" t="str">
        <f>"江西理工大学"</f>
        <v>江西理工大学</v>
      </c>
      <c r="F1165" s="1" t="str">
        <f>"法学"</f>
        <v>法学</v>
      </c>
      <c r="G1165" s="1" t="str">
        <f>"河北省邯郸市涉县滨河路御湖天城小区"</f>
        <v>河北省邯郸市涉县滨河路御湖天城小区</v>
      </c>
      <c r="H1165" s="1" t="str">
        <f t="shared" si="571"/>
        <v>无</v>
      </c>
      <c r="I1165" s="1" t="str">
        <f>"201909—202306 江西理工大学法学院法学专业就读 全日制学历"</f>
        <v>201909—202306 江西理工大学法学院法学专业就读 全日制学历</v>
      </c>
    </row>
    <row r="1166" spans="1:9">
      <c r="A1166" s="1" t="str">
        <f>"411327200001100688"</f>
        <v>411327200001100688</v>
      </c>
      <c r="B1166" s="1" t="str">
        <f>"共青团员"</f>
        <v>共青团员</v>
      </c>
      <c r="C1166" s="1" t="str">
        <f>"本科"</f>
        <v>本科</v>
      </c>
      <c r="D1166" s="1" t="str">
        <f>"20240618"</f>
        <v>20240618</v>
      </c>
      <c r="E1166" s="1" t="str">
        <f>"河南农业大学"</f>
        <v>河南农业大学</v>
      </c>
      <c r="F1166" s="1" t="str">
        <f>"经济学"</f>
        <v>经济学</v>
      </c>
      <c r="G1166" s="1" t="str">
        <f>"河南省南阳市内乡县马山口镇"</f>
        <v>河南省南阳市内乡县马山口镇</v>
      </c>
      <c r="H1166" s="1" t="str">
        <f t="shared" si="571"/>
        <v>无</v>
      </c>
      <c r="I1166" s="1" t="str">
        <f>"2020年9月到2024年6月在河南农业大学经济与管理学院经济学专业就读，为全日制学历。"</f>
        <v>2020年9月到2024年6月在河南农业大学经济与管理学院经济学专业就读，为全日制学历。</v>
      </c>
    </row>
    <row r="1167" spans="1:9">
      <c r="A1167" s="1" t="str">
        <f>"411323199802060013"</f>
        <v>411323199802060013</v>
      </c>
      <c r="B1167" s="1" t="str">
        <f t="shared" si="572"/>
        <v>群众</v>
      </c>
      <c r="C1167" s="1" t="str">
        <f t="shared" si="573"/>
        <v>专科</v>
      </c>
      <c r="D1167" s="1" t="str">
        <f>"2020年6月1号"</f>
        <v>2020年6月1号</v>
      </c>
      <c r="E1167" s="1" t="str">
        <f>"焦作工贸学院"</f>
        <v>焦作工贸学院</v>
      </c>
      <c r="F1167" s="1" t="str">
        <f>"会计"</f>
        <v>会计</v>
      </c>
      <c r="G1167" s="1" t="str">
        <f>"河南省南阳市淅川县老街路103号"</f>
        <v>河南省南阳市淅川县老街路103号</v>
      </c>
      <c r="H1167" s="1" t="str">
        <f t="shared" si="571"/>
        <v>无</v>
      </c>
      <c r="I1167" s="1" t="str">
        <f>"201709-202006焦作工贸职业学院 就读。 2017年9月至2020年6月在焦作工贸职业学院经济管理系会计专业就读，是全日制学历；"</f>
        <v>201709-202006焦作工贸职业学院 就读。 2017年9月至2020年6月在焦作工贸职业学院经济管理系会计专业就读，是全日制学历；</v>
      </c>
    </row>
    <row r="1168" spans="1:9">
      <c r="A1168" s="1" t="str">
        <f>"41132719931202201X"</f>
        <v>41132719931202201X</v>
      </c>
      <c r="B1168" s="1" t="str">
        <f t="shared" si="572"/>
        <v>群众</v>
      </c>
      <c r="C1168" s="1" t="str">
        <f t="shared" si="573"/>
        <v>专科</v>
      </c>
      <c r="D1168" s="1" t="str">
        <f>"2020年一月"</f>
        <v>2020年一月</v>
      </c>
      <c r="E1168" s="1" t="str">
        <f>"东北师范大学"</f>
        <v>东北师范大学</v>
      </c>
      <c r="F1168" s="1" t="str">
        <f>"法学"</f>
        <v>法学</v>
      </c>
      <c r="G1168" s="1" t="str">
        <f>"河南省内乡县师岗镇北街"</f>
        <v>河南省内乡县师岗镇北街</v>
      </c>
      <c r="H1168" s="1" t="str">
        <f t="shared" si="571"/>
        <v>无</v>
      </c>
      <c r="I1168" s="1" t="str">
        <f>"2011年至2013年内乡实验高中；2017年3月至今在内乡县公安局辅警"</f>
        <v>2011年至2013年内乡实验高中；2017年3月至今在内乡县公安局辅警</v>
      </c>
    </row>
    <row r="1169" spans="1:9">
      <c r="A1169" s="1" t="str">
        <f>"411330199812214366"</f>
        <v>411330199812214366</v>
      </c>
      <c r="B1169" s="1" t="str">
        <f>"中共党员"</f>
        <v>中共党员</v>
      </c>
      <c r="C1169" s="1" t="str">
        <f>"硕士研究生"</f>
        <v>硕士研究生</v>
      </c>
      <c r="D1169" s="1" t="str">
        <f>"20250630"</f>
        <v>20250630</v>
      </c>
      <c r="E1169" s="1" t="str">
        <f>"东华理工大学"</f>
        <v>东华理工大学</v>
      </c>
      <c r="F1169" s="1" t="str">
        <f>"城市规划"</f>
        <v>城市规划</v>
      </c>
      <c r="G1169" s="1" t="str">
        <f>"河南省西峡县石界河镇"</f>
        <v>河南省西峡县石界河镇</v>
      </c>
      <c r="H1169" s="1" t="str">
        <f t="shared" si="571"/>
        <v>无</v>
      </c>
      <c r="I1169" s="1" t="str">
        <f>"201709-202106 河北地质大学土地资源与空间规划学院城乡规划专业 就读，全日制本科学历
202109-202206 在河南省西峡县
202209-202506 东华理工大学地球与行星科学学院城市规划专业 就读，全日制硕士学历
"</f>
        <v>201709-202106 河北地质大学土地资源与空间规划学院城乡规划专业 就读，全日制本科学历
202109-202206 在河南省西峡县
202209-202506 东华理工大学地球与行星科学学院城市规划专业 就读，全日制硕士学历
</v>
      </c>
    </row>
    <row r="1170" spans="1:9">
      <c r="A1170" s="1" t="str">
        <f>"411327199606130016"</f>
        <v>411327199606130016</v>
      </c>
      <c r="B1170" s="1" t="str">
        <f t="shared" ref="B1170:B1175" si="574">"群众"</f>
        <v>群众</v>
      </c>
      <c r="C1170" s="1" t="str">
        <f t="shared" ref="C1170:C1174" si="575">"专科"</f>
        <v>专科</v>
      </c>
      <c r="D1170" s="1" t="str">
        <f>"20180701"</f>
        <v>20180701</v>
      </c>
      <c r="E1170" s="1" t="str">
        <f>"黄河科技学院"</f>
        <v>黄河科技学院</v>
      </c>
      <c r="F1170" s="1" t="str">
        <f>"临床医学"</f>
        <v>临床医学</v>
      </c>
      <c r="G1170" s="1" t="str">
        <f>"河南省南阳市内乡县城关镇清新路71号"</f>
        <v>河南省南阳市内乡县城关镇清新路71号</v>
      </c>
      <c r="H1170" s="1" t="str">
        <f t="shared" si="571"/>
        <v>无</v>
      </c>
      <c r="I1170" s="1" t="str">
        <f>"201509-201807 黄河科技学院就读临床医学专业，是全日制学历"</f>
        <v>201509-201807 黄河科技学院就读临床医学专业，是全日制学历</v>
      </c>
    </row>
    <row r="1171" spans="1:9">
      <c r="A1171" s="1" t="str">
        <f>"410311199007036528"</f>
        <v>410311199007036528</v>
      </c>
      <c r="B1171" s="1" t="str">
        <f t="shared" si="574"/>
        <v>群众</v>
      </c>
      <c r="C1171" s="1" t="str">
        <f t="shared" si="575"/>
        <v>专科</v>
      </c>
      <c r="D1171" s="1" t="str">
        <f>"20120701"</f>
        <v>20120701</v>
      </c>
      <c r="E1171" s="1" t="str">
        <f>"商丘职业技术学院"</f>
        <v>商丘职业技术学院</v>
      </c>
      <c r="F1171" s="1" t="str">
        <f>"会计电算化"</f>
        <v>会计电算化</v>
      </c>
      <c r="G1171" s="1" t="str">
        <f>"河南省新乡市卫滨区建宏社区"</f>
        <v>河南省新乡市卫滨区建宏社区</v>
      </c>
      <c r="H1171" s="1" t="str">
        <f>"会计从业资格证"</f>
        <v>会计从业资格证</v>
      </c>
      <c r="I1171" s="1" t="str">
        <f>"2009年9月至2012年7月就读于商丘职业技术学院，2012年至今在新乡市卫滨区英才小学任教。"</f>
        <v>2009年9月至2012年7月就读于商丘职业技术学院，2012年至今在新乡市卫滨区英才小学任教。</v>
      </c>
    </row>
    <row r="1172" spans="1:9">
      <c r="A1172" s="1" t="str">
        <f>"411122200311150143"</f>
        <v>411122200311150143</v>
      </c>
      <c r="B1172" s="1" t="str">
        <f>"共青团员"</f>
        <v>共青团员</v>
      </c>
      <c r="C1172" s="1" t="str">
        <f t="shared" ref="C1172:C1175" si="576">"本科"</f>
        <v>本科</v>
      </c>
      <c r="D1172" s="1" t="str">
        <f>"2025-06-30"</f>
        <v>2025-06-30</v>
      </c>
      <c r="E1172" s="1" t="str">
        <f>"苏州城市学院"</f>
        <v>苏州城市学院</v>
      </c>
      <c r="F1172" s="1" t="str">
        <f>"物联网工程"</f>
        <v>物联网工程</v>
      </c>
      <c r="G1172" s="1" t="str">
        <f>"河南省漯河市临颍县台陈镇凹孙村57号"</f>
        <v>河南省漯河市临颍县台陈镇凹孙村57号</v>
      </c>
      <c r="H1172" s="1" t="str">
        <f t="shared" ref="H1172:H1178" si="577">"无"</f>
        <v>无</v>
      </c>
      <c r="I1172" s="1" t="str">
        <f>"202109-202506 苏州城市学院 计算科学与人工智能学院 物联网工程专业 全日制本科学历 工学学士学位"</f>
        <v>202109-202506 苏州城市学院 计算科学与人工智能学院 物联网工程专业 全日制本科学历 工学学士学位</v>
      </c>
    </row>
    <row r="1173" spans="1:9">
      <c r="A1173" s="1" t="str">
        <f>"411327199407060027"</f>
        <v>411327199407060027</v>
      </c>
      <c r="B1173" s="1" t="str">
        <f t="shared" si="574"/>
        <v>群众</v>
      </c>
      <c r="C1173" s="1" t="str">
        <f t="shared" si="576"/>
        <v>本科</v>
      </c>
      <c r="D1173" s="1" t="str">
        <f>"20160701"</f>
        <v>20160701</v>
      </c>
      <c r="E1173" s="1" t="str">
        <f>"四川音乐学院绵阳艺术学院"</f>
        <v>四川音乐学院绵阳艺术学院</v>
      </c>
      <c r="F1173" s="1" t="str">
        <f>"公共事业管理（媒体资源管理）"</f>
        <v>公共事业管理（媒体资源管理）</v>
      </c>
      <c r="G1173" s="1" t="str">
        <f>"河南省南阳市内乡县豫湍宾馆"</f>
        <v>河南省南阳市内乡县豫湍宾馆</v>
      </c>
      <c r="H1173" s="1" t="str">
        <f t="shared" si="577"/>
        <v>无</v>
      </c>
      <c r="I1173" s="1" t="str">
        <f>"201209-201606在四川音乐学院绵阳艺术学院公共事业管理（媒体资源管理）就读，是全日制学历。
201607-201701在内乡县待业。
201702-202001在内乡县企业养老保险管理局工作。
202002至今在内乡县第一建设工程有限公司工作。"</f>
        <v>201209-201606在四川音乐学院绵阳艺术学院公共事业管理（媒体资源管理）就读，是全日制学历。
201607-201701在内乡县待业。
201702-202001在内乡县企业养老保险管理局工作。
202002至今在内乡县第一建设工程有限公司工作。</v>
      </c>
    </row>
    <row r="1174" spans="1:9">
      <c r="A1174" s="1" t="str">
        <f>"411330199112305128"</f>
        <v>411330199112305128</v>
      </c>
      <c r="B1174" s="1" t="str">
        <f t="shared" si="574"/>
        <v>群众</v>
      </c>
      <c r="C1174" s="1" t="str">
        <f t="shared" si="575"/>
        <v>专科</v>
      </c>
      <c r="D1174" s="1" t="str">
        <f>"202407"</f>
        <v>202407</v>
      </c>
      <c r="E1174" s="1" t="str">
        <f>"河南中医药大学"</f>
        <v>河南中医药大学</v>
      </c>
      <c r="F1174" s="1" t="str">
        <f>"中药学"</f>
        <v>中药学</v>
      </c>
      <c r="G1174" s="1" t="str">
        <f>"西峡县土门西巷19号"</f>
        <v>西峡县土门西巷19号</v>
      </c>
      <c r="H1174" s="1" t="str">
        <f t="shared" si="577"/>
        <v>无</v>
      </c>
      <c r="I1174" s="1" t="str">
        <f>"2016.7-2017.12就职于南阳张仲景医院
2018年1-至今就职于张仲景大药房"</f>
        <v>2016.7-2017.12就职于南阳张仲景医院
2018年1-至今就职于张仲景大药房</v>
      </c>
    </row>
    <row r="1175" spans="1:9">
      <c r="A1175" s="1" t="str">
        <f>"411224199407068112"</f>
        <v>411224199407068112</v>
      </c>
      <c r="B1175" s="1" t="str">
        <f t="shared" si="574"/>
        <v>群众</v>
      </c>
      <c r="C1175" s="1" t="str">
        <f t="shared" si="576"/>
        <v>本科</v>
      </c>
      <c r="D1175" s="1" t="str">
        <f>"20220608"</f>
        <v>20220608</v>
      </c>
      <c r="E1175" s="1" t="str">
        <f>"德州学院"</f>
        <v>德州学院</v>
      </c>
      <c r="F1175" s="1" t="str">
        <f>"工商管理"</f>
        <v>工商管理</v>
      </c>
      <c r="G1175" s="1" t="str">
        <f>"河南省卢氏县杜关镇同德小区3号楼101室"</f>
        <v>河南省卢氏县杜关镇同德小区3号楼101室</v>
      </c>
      <c r="H1175" s="1" t="str">
        <f t="shared" si="577"/>
        <v>无</v>
      </c>
      <c r="I1175" s="1" t="str">
        <f>"201809-202206德州学院工商管理学院工商管理专业就读是全日制学历"</f>
        <v>201809-202206德州学院工商管理学院工商管理专业就读是全日制学历</v>
      </c>
    </row>
    <row r="1176" spans="1:9">
      <c r="A1176" s="1" t="str">
        <f>"410923199811160026"</f>
        <v>410923199811160026</v>
      </c>
      <c r="B1176" s="1" t="str">
        <f>"共青团员"</f>
        <v>共青团员</v>
      </c>
      <c r="C1176" s="1" t="str">
        <f>"硕士研究生"</f>
        <v>硕士研究生</v>
      </c>
      <c r="D1176" s="1" t="str">
        <f>"20250615"</f>
        <v>20250615</v>
      </c>
      <c r="E1176" s="1" t="str">
        <f>"河南理工大学"</f>
        <v>河南理工大学</v>
      </c>
      <c r="F1176" s="1" t="str">
        <f>"会计"</f>
        <v>会计</v>
      </c>
      <c r="G1176" s="1" t="str">
        <f>"河南省濮阳市南乐县林海花园"</f>
        <v>河南省濮阳市南乐县林海花园</v>
      </c>
      <c r="H1176" s="1" t="str">
        <f t="shared" si="577"/>
        <v>无</v>
      </c>
      <c r="I1176" s="1" t="str">
        <f>"201709-202107 南阳师范学院经济与管理学院财务管理专业就读 全日制
202109-202207 待业
202209-202507 河南理工大学财经学院会计专业就读 全日制"</f>
        <v>201709-202107 南阳师范学院经济与管理学院财务管理专业就读 全日制
202109-202207 待业
202209-202507 河南理工大学财经学院会计专业就读 全日制</v>
      </c>
    </row>
    <row r="1177" spans="1:9">
      <c r="A1177" s="1" t="str">
        <f>"340122199101307670"</f>
        <v>340122199101307670</v>
      </c>
      <c r="B1177" s="1" t="str">
        <f t="shared" ref="B1177:B1179" si="578">"群众"</f>
        <v>群众</v>
      </c>
      <c r="C1177" s="1" t="str">
        <f>"本科"</f>
        <v>本科</v>
      </c>
      <c r="D1177" s="1" t="str">
        <f>"20150701"</f>
        <v>20150701</v>
      </c>
      <c r="E1177" s="1" t="str">
        <f>"淮北师范大学"</f>
        <v>淮北师范大学</v>
      </c>
      <c r="F1177" s="1" t="str">
        <f>"化学（师范）"</f>
        <v>化学（师范）</v>
      </c>
      <c r="G1177" s="1" t="str">
        <f>"安徽省合肥市肥西县三河镇茶棚社区"</f>
        <v>安徽省合肥市肥西县三河镇茶棚社区</v>
      </c>
      <c r="H1177" s="1" t="str">
        <f t="shared" si="577"/>
        <v>无</v>
      </c>
      <c r="I1177" s="1" t="str">
        <f>"201109-201507          淮北师范大学化学与材料科学学院（全日制学历）
201508-201902         待业
201903-202503          蜀王集团员工
2025.04-至今              待业"</f>
        <v>201109-201507          淮北师范大学化学与材料科学学院（全日制学历）
201508-201902         待业
201903-202503          蜀王集团员工
2025.04-至今              待业</v>
      </c>
    </row>
    <row r="1178" spans="1:9">
      <c r="A1178" s="1" t="str">
        <f>"411302199410094212"</f>
        <v>411302199410094212</v>
      </c>
      <c r="B1178" s="1" t="str">
        <f t="shared" si="578"/>
        <v>群众</v>
      </c>
      <c r="C1178" s="1" t="str">
        <f t="shared" ref="C1178:C1181" si="579">"专科"</f>
        <v>专科</v>
      </c>
      <c r="D1178" s="1" t="str">
        <f>"20230701"</f>
        <v>20230701</v>
      </c>
      <c r="E1178" s="1" t="str">
        <f>"南阳职业学院"</f>
        <v>南阳职业学院</v>
      </c>
      <c r="F1178" s="1" t="str">
        <f>"建设工程管理"</f>
        <v>建设工程管理</v>
      </c>
      <c r="G1178" s="1" t="str">
        <f>"河南省南阳市宛城区汉冶街道杨寨新村"</f>
        <v>河南省南阳市宛城区汉冶街道杨寨新村</v>
      </c>
      <c r="H1178" s="1" t="str">
        <f t="shared" si="577"/>
        <v>无</v>
      </c>
      <c r="I1178" s="1" t="str">
        <f>"202110-202307 南阳职业学院建设工程管理就读 是全日制学历"</f>
        <v>202110-202307 南阳职业学院建设工程管理就读 是全日制学历</v>
      </c>
    </row>
    <row r="1179" spans="1:9">
      <c r="A1179" s="1" t="str">
        <f>"410781200404249785"</f>
        <v>410781200404249785</v>
      </c>
      <c r="B1179" s="1" t="str">
        <f t="shared" si="578"/>
        <v>群众</v>
      </c>
      <c r="C1179" s="1" t="str">
        <f t="shared" si="579"/>
        <v>专科</v>
      </c>
      <c r="D1179" s="1" t="str">
        <f>"2025年6月1日"</f>
        <v>2025年6月1日</v>
      </c>
      <c r="E1179" s="1" t="str">
        <f>"郑州信息工程职业学院"</f>
        <v>郑州信息工程职业学院</v>
      </c>
      <c r="F1179" s="1" t="str">
        <f>"大数据与财务管理"</f>
        <v>大数据与财务管理</v>
      </c>
      <c r="G1179" s="1" t="str">
        <f>"河南省新乡市"</f>
        <v>河南省新乡市</v>
      </c>
      <c r="H1179" s="1" t="str">
        <f>"GYB创业培训证书  SYB创业培训证书"</f>
        <v>GYB创业培训证书  SYB创业培训证书</v>
      </c>
      <c r="I1179" s="1" t="str">
        <f>"2022年9月1日起至2025年6月1日与郑州信息工程职业学院 大数据与财务管理就读，全日制"</f>
        <v>2022年9月1日起至2025年6月1日与郑州信息工程职业学院 大数据与财务管理就读，全日制</v>
      </c>
    </row>
    <row r="1180" spans="1:9">
      <c r="A1180" s="1" t="str">
        <f>"411502200211139322"</f>
        <v>411502200211139322</v>
      </c>
      <c r="B1180" s="1" t="str">
        <f t="shared" ref="B1180:B1185" si="580">"共青团员"</f>
        <v>共青团员</v>
      </c>
      <c r="C1180" s="1" t="str">
        <f t="shared" si="579"/>
        <v>专科</v>
      </c>
      <c r="D1180" s="1" t="str">
        <f>"20220701"</f>
        <v>20220701</v>
      </c>
      <c r="E1180" s="1" t="str">
        <f>"信阳职业技术学院"</f>
        <v>信阳职业技术学院</v>
      </c>
      <c r="F1180" s="1" t="str">
        <f>"学前教育"</f>
        <v>学前教育</v>
      </c>
      <c r="G1180" s="1" t="str">
        <f>"河南省信阳市平桥区荣业林溪佳苑"</f>
        <v>河南省信阳市平桥区荣业林溪佳苑</v>
      </c>
      <c r="H1180" s="1" t="str">
        <f>"保育员四级"</f>
        <v>保育员四级</v>
      </c>
      <c r="I1180" s="1" t="str">
        <f>"201709-202207信阳职业技术学院是全日制"</f>
        <v>201709-202207信阳职业技术学院是全日制</v>
      </c>
    </row>
    <row r="1181" spans="1:9">
      <c r="A1181" s="1" t="str">
        <f>"411330200006161517"</f>
        <v>411330200006161517</v>
      </c>
      <c r="B1181" s="1" t="str">
        <f t="shared" ref="B1181:B1184" si="581">"群众"</f>
        <v>群众</v>
      </c>
      <c r="C1181" s="1" t="str">
        <f t="shared" si="579"/>
        <v>专科</v>
      </c>
      <c r="D1181" s="1" t="str">
        <f>"20210630"</f>
        <v>20210630</v>
      </c>
      <c r="E1181" s="1" t="str">
        <f>"南通职业大学"</f>
        <v>南通职业大学</v>
      </c>
      <c r="F1181" s="1" t="str">
        <f>"会计"</f>
        <v>会计</v>
      </c>
      <c r="G1181" s="1" t="str">
        <f>"河南省南阳市西峡县"</f>
        <v>河南省南阳市西峡县</v>
      </c>
      <c r="H1181" s="1" t="str">
        <f t="shared" ref="H1181:H1184" si="582">"无"</f>
        <v>无</v>
      </c>
      <c r="I1181" s="1" t="str">
        <f>"201809-202106南通职业大学
202109-202309中国人民解放军73087部队
202309-至今 待业"</f>
        <v>201809-202106南通职业大学
202109-202309中国人民解放军73087部队
202309-至今 待业</v>
      </c>
    </row>
    <row r="1182" spans="1:9">
      <c r="A1182" s="1" t="str">
        <f>"411327200112013544"</f>
        <v>411327200112013544</v>
      </c>
      <c r="B1182" s="1" t="str">
        <f t="shared" si="580"/>
        <v>共青团员</v>
      </c>
      <c r="C1182" s="1" t="str">
        <f t="shared" ref="C1182:C1184" si="583">"本科"</f>
        <v>本科</v>
      </c>
      <c r="D1182" s="1" t="str">
        <f>"20230610"</f>
        <v>20230610</v>
      </c>
      <c r="E1182" s="1" t="str">
        <f>"黄淮学院"</f>
        <v>黄淮学院</v>
      </c>
      <c r="F1182" s="1" t="str">
        <f>"旅游管理"</f>
        <v>旅游管理</v>
      </c>
      <c r="G1182" s="1" t="str">
        <f>"河南省南阳市内乡县板场乡文龙村"</f>
        <v>河南省南阳市内乡县板场乡文龙村</v>
      </c>
      <c r="H1182" s="1" t="str">
        <f t="shared" si="582"/>
        <v>无</v>
      </c>
      <c r="I1182" s="1" t="str">
        <f>"201909-202306  黄淮学院经济与管理学院旅游管理专业就读，为全日制学历  "</f>
        <v>201909-202306  黄淮学院经济与管理学院旅游管理专业就读，为全日制学历  </v>
      </c>
    </row>
    <row r="1183" spans="1:9">
      <c r="A1183" s="1" t="str">
        <f>"411327200201270649"</f>
        <v>411327200201270649</v>
      </c>
      <c r="B1183" s="1" t="str">
        <f t="shared" si="581"/>
        <v>群众</v>
      </c>
      <c r="C1183" s="1" t="str">
        <f t="shared" si="583"/>
        <v>本科</v>
      </c>
      <c r="D1183" s="1" t="str">
        <f>"20230607"</f>
        <v>20230607</v>
      </c>
      <c r="E1183" s="1" t="str">
        <f>"河南牧业经济学院"</f>
        <v>河南牧业经济学院</v>
      </c>
      <c r="F1183" s="1" t="str">
        <f>"物流管理"</f>
        <v>物流管理</v>
      </c>
      <c r="G1183" s="1" t="str">
        <f>"河南省南阳市"</f>
        <v>河南省南阳市</v>
      </c>
      <c r="H1183" s="1" t="str">
        <f t="shared" si="582"/>
        <v>无</v>
      </c>
      <c r="I1183" s="1" t="str">
        <f>"201909-202306在河南牧业经济学院国际教育学院就读物流管理专业"</f>
        <v>201909-202306在河南牧业经济学院国际教育学院就读物流管理专业</v>
      </c>
    </row>
    <row r="1184" spans="1:9">
      <c r="A1184" s="1" t="str">
        <f>"411327199311131126"</f>
        <v>411327199311131126</v>
      </c>
      <c r="B1184" s="1" t="str">
        <f t="shared" si="581"/>
        <v>群众</v>
      </c>
      <c r="C1184" s="1" t="str">
        <f t="shared" si="583"/>
        <v>本科</v>
      </c>
      <c r="D1184" s="1" t="str">
        <f>"20170615"</f>
        <v>20170615</v>
      </c>
      <c r="E1184" s="1" t="str">
        <f>"河北传媒学院"</f>
        <v>河北传媒学院</v>
      </c>
      <c r="F1184" s="1" t="str">
        <f>"广播电视编导"</f>
        <v>广播电视编导</v>
      </c>
      <c r="G1184" s="1" t="str">
        <f>"河南省内乡县城关镇"</f>
        <v>河南省内乡县城关镇</v>
      </c>
      <c r="H1184" s="1" t="str">
        <f t="shared" si="582"/>
        <v>无</v>
      </c>
      <c r="I1184" s="1" t="str">
        <f>"201309-201706  河北传媒学院  就读 影视艺术学院 广播电视编导专业 全日制本科学历"</f>
        <v>201309-201706  河北传媒学院  就读 影视艺术学院 广播电视编导专业 全日制本科学历</v>
      </c>
    </row>
    <row r="1185" spans="1:9">
      <c r="A1185" s="1" t="str">
        <f>"411302199705304520"</f>
        <v>411302199705304520</v>
      </c>
      <c r="B1185" s="1" t="str">
        <f t="shared" si="580"/>
        <v>共青团员</v>
      </c>
      <c r="C1185" s="1" t="str">
        <f>"专科"</f>
        <v>专科</v>
      </c>
      <c r="D1185" s="1" t="str">
        <f>"20180701"</f>
        <v>20180701</v>
      </c>
      <c r="E1185" s="1" t="str">
        <f>"开封大学"</f>
        <v>开封大学</v>
      </c>
      <c r="F1185" s="1" t="str">
        <f>"会计电算化"</f>
        <v>会计电算化</v>
      </c>
      <c r="G1185" s="1" t="str">
        <f>"河南省南阳市内乡县湍东镇大成西路梨园山庄"</f>
        <v>河南省南阳市内乡县湍东镇大成西路梨园山庄</v>
      </c>
      <c r="H1185" s="1" t="str">
        <f>"初级会计师资格证"</f>
        <v>初级会计师资格证</v>
      </c>
      <c r="I1185" s="1" t="str">
        <f>"201509-201807  开封大学
201807-201904  福州优鲜冷链物流有限公司
201904-202105  浙江冠豪新材料有限公司
202105-202409  河南牧原物流有限公司
202411-202505   河南恒辉农牧设备有限公司"</f>
        <v>201509-201807  开封大学
201807-201904  福州优鲜冷链物流有限公司
201904-202105  浙江冠豪新材料有限公司
202105-202409  河南牧原物流有限公司
202411-202505   河南恒辉农牧设备有限公司</v>
      </c>
    </row>
    <row r="1186" spans="1:9">
      <c r="A1186" s="1" t="str">
        <f>"410426199003014188"</f>
        <v>410426199003014188</v>
      </c>
      <c r="B1186" s="1" t="str">
        <f>"中共党员"</f>
        <v>中共党员</v>
      </c>
      <c r="C1186" s="1" t="str">
        <f t="shared" ref="C1186:C1188" si="584">"本科"</f>
        <v>本科</v>
      </c>
      <c r="D1186" s="1" t="str">
        <f>"20130701"</f>
        <v>20130701</v>
      </c>
      <c r="E1186" s="1" t="str">
        <f>"河南农业大学"</f>
        <v>河南农业大学</v>
      </c>
      <c r="F1186" s="1" t="str">
        <f>"工商管理"</f>
        <v>工商管理</v>
      </c>
      <c r="G1186" s="1" t="str">
        <f>"安徽省阜阳市太和县刘园新村5栋一单元7楼703"</f>
        <v>安徽省阜阳市太和县刘园新村5栋一单元7楼703</v>
      </c>
      <c r="H1186" s="1" t="str">
        <f t="shared" ref="H1186:H1204" si="585">"无"</f>
        <v>无</v>
      </c>
      <c r="I1186" s="1" t="str">
        <f>"200909-201307在河南农业大学经济与管理学院工商管理专业就读全日制本科
201307-201409在郑州待业
201409-201703浙江工商大学经济学院国际贸易学专业就读全日制研究生
201703至今灵活就业"</f>
        <v>200909-201307在河南农业大学经济与管理学院工商管理专业就读全日制本科
201307-201409在郑州待业
201409-201703浙江工商大学经济学院国际贸易学专业就读全日制研究生
201703至今灵活就业</v>
      </c>
    </row>
    <row r="1187" spans="1:9">
      <c r="A1187" s="1" t="str">
        <f>"411302200011270819"</f>
        <v>411302200011270819</v>
      </c>
      <c r="B1187" s="1" t="str">
        <f>"共青团员"</f>
        <v>共青团员</v>
      </c>
      <c r="C1187" s="1" t="str">
        <f t="shared" si="584"/>
        <v>本科</v>
      </c>
      <c r="D1187" s="1" t="str">
        <f>"20230607"</f>
        <v>20230607</v>
      </c>
      <c r="E1187" s="1" t="str">
        <f>"河南工程学院"</f>
        <v>河南工程学院</v>
      </c>
      <c r="F1187" s="1" t="str">
        <f>"软件工程"</f>
        <v>软件工程</v>
      </c>
      <c r="G1187" s="1" t="str">
        <f>"河南省南阳市宛城区明山路向阳二村323号"</f>
        <v>河南省南阳市宛城区明山路向阳二村323号</v>
      </c>
      <c r="H1187" s="1" t="str">
        <f t="shared" si="585"/>
        <v>无</v>
      </c>
      <c r="I1187" s="1" t="str">
        <f>"201906-202306 河南工程学院软件工程专业就读 全日制本科。
202306-202507 无业。
"</f>
        <v>201906-202306 河南工程学院软件工程专业就读 全日制本科。
202306-202507 无业。
</v>
      </c>
    </row>
    <row r="1188" spans="1:9">
      <c r="A1188" s="1" t="str">
        <f>"411327200010304543"</f>
        <v>411327200010304543</v>
      </c>
      <c r="B1188" s="1" t="str">
        <f t="shared" ref="B1188:B1190" si="586">"群众"</f>
        <v>群众</v>
      </c>
      <c r="C1188" s="1" t="str">
        <f t="shared" si="584"/>
        <v>本科</v>
      </c>
      <c r="D1188" s="1" t="str">
        <f>"20220701"</f>
        <v>20220701</v>
      </c>
      <c r="E1188" s="1" t="str">
        <f>"河南农业大学"</f>
        <v>河南农业大学</v>
      </c>
      <c r="F1188" s="1" t="str">
        <f>"经济学"</f>
        <v>经济学</v>
      </c>
      <c r="G1188" s="1" t="str">
        <f>"河南省南阳市内乡县赵店乡"</f>
        <v>河南省南阳市内乡县赵店乡</v>
      </c>
      <c r="H1188" s="1" t="str">
        <f>"初级会计"</f>
        <v>初级会计</v>
      </c>
      <c r="I1188" s="1" t="str">
        <f>"201809-202207 河南农业大学  在经济与管理学院经济学专业就读
202208-202507  福森药业   工作"</f>
        <v>201809-202207 河南农业大学  在经济与管理学院经济学专业就读
202208-202507  福森药业   工作</v>
      </c>
    </row>
    <row r="1189" spans="1:9">
      <c r="A1189" s="1" t="str">
        <f>"411381200204193931"</f>
        <v>411381200204193931</v>
      </c>
      <c r="B1189" s="1" t="str">
        <f t="shared" si="586"/>
        <v>群众</v>
      </c>
      <c r="C1189" s="1" t="str">
        <f t="shared" ref="C1189:C1194" si="587">"专科"</f>
        <v>专科</v>
      </c>
      <c r="D1189" s="1" t="str">
        <f>"2023年07月01日"</f>
        <v>2023年07月01日</v>
      </c>
      <c r="E1189" s="1" t="str">
        <f>"郑州工商学院"</f>
        <v>郑州工商学院</v>
      </c>
      <c r="F1189" s="1" t="str">
        <f>"会计学"</f>
        <v>会计学</v>
      </c>
      <c r="G1189" s="1" t="str">
        <f>"河南省邓州市罗庄镇罗西村街上442号"</f>
        <v>河南省邓州市罗庄镇罗西村街上442号</v>
      </c>
      <c r="H1189" s="1" t="str">
        <f t="shared" si="585"/>
        <v>无</v>
      </c>
      <c r="I1189" s="1" t="str">
        <f>"无"</f>
        <v>无</v>
      </c>
    </row>
    <row r="1190" spans="1:9">
      <c r="A1190" s="1" t="str">
        <f>"411327200109160025"</f>
        <v>411327200109160025</v>
      </c>
      <c r="B1190" s="1" t="str">
        <f t="shared" si="586"/>
        <v>群众</v>
      </c>
      <c r="C1190" s="1" t="str">
        <f t="shared" ref="C1190:C1192" si="588">"本科"</f>
        <v>本科</v>
      </c>
      <c r="D1190" s="1" t="str">
        <f>"2023-07-01"</f>
        <v>2023-07-01</v>
      </c>
      <c r="E1190" s="1" t="str">
        <f>"平顶山学院"</f>
        <v>平顶山学院</v>
      </c>
      <c r="F1190" s="1" t="str">
        <f>"音乐学"</f>
        <v>音乐学</v>
      </c>
      <c r="G1190" s="1" t="str">
        <f>"河南省南阳市内乡县城关镇"</f>
        <v>河南省南阳市内乡县城关镇</v>
      </c>
      <c r="H1190" s="1" t="str">
        <f t="shared" si="585"/>
        <v>无</v>
      </c>
      <c r="I1190" s="1" t="str">
        <f>"201909-202307 平顶山学院 音乐学院音乐学就读，全日制
202307-202401 待业
202401-202407 郑州北大附属幼儿园
202407-202502 待业
202502-至今 菊潭学校
"</f>
        <v>201909-202307 平顶山学院 音乐学院音乐学就读，全日制
202307-202401 待业
202401-202407 郑州北大附属幼儿园
202407-202502 待业
202502-至今 菊潭学校
</v>
      </c>
    </row>
    <row r="1191" spans="1:9">
      <c r="A1191" s="1" t="str">
        <f>"411327199809154229"</f>
        <v>411327199809154229</v>
      </c>
      <c r="B1191" s="1" t="str">
        <f t="shared" ref="B1191:B1194" si="589">"共青团员"</f>
        <v>共青团员</v>
      </c>
      <c r="C1191" s="1" t="str">
        <f t="shared" si="588"/>
        <v>本科</v>
      </c>
      <c r="D1191" s="1" t="str">
        <f>"20210701"</f>
        <v>20210701</v>
      </c>
      <c r="E1191" s="1" t="str">
        <f>"郑州科技学院"</f>
        <v>郑州科技学院</v>
      </c>
      <c r="F1191" s="1" t="str">
        <f>"视觉传达设计"</f>
        <v>视觉传达设计</v>
      </c>
      <c r="G1191" s="1" t="str">
        <f>"内乡县建业三期"</f>
        <v>内乡县建业三期</v>
      </c>
      <c r="H1191" s="1" t="str">
        <f t="shared" si="585"/>
        <v>无</v>
      </c>
      <c r="I1191" s="1" t="str">
        <f>"2017年9月去郑州科技学院艺术学院视觉传达设计专业就读
2021年7月毕业，在郑州上班近一年；
2022年在家备考考教师编，未考上；
2022年8月县私立学校教学至今。"</f>
        <v>2017年9月去郑州科技学院艺术学院视觉传达设计专业就读
2021年7月毕业，在郑州上班近一年；
2022年在家备考考教师编，未考上；
2022年8月县私立学校教学至今。</v>
      </c>
    </row>
    <row r="1192" spans="1:9">
      <c r="A1192" s="1" t="str">
        <f>"411327200112264212"</f>
        <v>411327200112264212</v>
      </c>
      <c r="B1192" s="1" t="str">
        <f t="shared" ref="B1192:B1196" si="590">"群众"</f>
        <v>群众</v>
      </c>
      <c r="C1192" s="1" t="str">
        <f t="shared" si="588"/>
        <v>本科</v>
      </c>
      <c r="D1192" s="1" t="str">
        <f>"20230701"</f>
        <v>20230701</v>
      </c>
      <c r="E1192" s="1" t="str">
        <f>"郑州航空工业管理学院"</f>
        <v>郑州航空工业管理学院</v>
      </c>
      <c r="F1192" s="1" t="str">
        <f>"经济学"</f>
        <v>经济学</v>
      </c>
      <c r="G1192" s="1" t="str">
        <f>"河南省内乡县余关乡麦西村"</f>
        <v>河南省内乡县余关乡麦西村</v>
      </c>
      <c r="H1192" s="1" t="str">
        <f t="shared" si="585"/>
        <v>无</v>
      </c>
      <c r="I1192" s="1" t="str">
        <f>"201909-202307 郑州航空工业管理学院 经济学院 经济学专业就读，全日制学历；
202307-202405 牧原食品股份有限公司就职；
202405-202506 内乡待业；
202506-202507 河南恒辉农牧设备有限公司就职；
202507至今待业；"</f>
        <v>201909-202307 郑州航空工业管理学院 经济学院 经济学专业就读，全日制学历；
202307-202405 牧原食品股份有限公司就职；
202405-202506 内乡待业；
202506-202507 河南恒辉农牧设备有限公司就职；
202507至今待业；</v>
      </c>
    </row>
    <row r="1193" spans="1:9">
      <c r="A1193" s="1" t="str">
        <f>"41132620030317482X"</f>
        <v>41132620030317482X</v>
      </c>
      <c r="B1193" s="1" t="str">
        <f t="shared" si="589"/>
        <v>共青团员</v>
      </c>
      <c r="C1193" s="1" t="str">
        <f t="shared" si="587"/>
        <v>专科</v>
      </c>
      <c r="D1193" s="1" t="str">
        <f>"20230701"</f>
        <v>20230701</v>
      </c>
      <c r="E1193" s="1" t="str">
        <f>"洛阳职业技术学院"</f>
        <v>洛阳职业技术学院</v>
      </c>
      <c r="F1193" s="1" t="str">
        <f>"医学检验技术"</f>
        <v>医学检验技术</v>
      </c>
      <c r="G1193" s="1" t="str">
        <f>"河南省南阳市内乡县马山口镇大寨村新通街2号"</f>
        <v>河南省南阳市内乡县马山口镇大寨村新通街2号</v>
      </c>
      <c r="H1193" s="1" t="str">
        <f t="shared" si="585"/>
        <v>无</v>
      </c>
      <c r="I1193" s="1" t="str">
        <f>"2020年9月至2023年7月洛阳职业技术学院学生 全日制
2022年6月至2023年3月在新乡市第一人民医院检验科实习
2023年4月在马山口镇卫生院检验科工作至今"</f>
        <v>2020年9月至2023年7月洛阳职业技术学院学生 全日制
2022年6月至2023年3月在新乡市第一人民医院检验科实习
2023年4月在马山口镇卫生院检验科工作至今</v>
      </c>
    </row>
    <row r="1194" spans="1:9">
      <c r="A1194" s="1" t="str">
        <f>"411324200210294221"</f>
        <v>411324200210294221</v>
      </c>
      <c r="B1194" s="1" t="str">
        <f t="shared" si="589"/>
        <v>共青团员</v>
      </c>
      <c r="C1194" s="1" t="str">
        <f t="shared" si="587"/>
        <v>专科</v>
      </c>
      <c r="D1194" s="1" t="str">
        <f>"20230615"</f>
        <v>20230615</v>
      </c>
      <c r="E1194" s="1" t="str">
        <f>"焦作大学"</f>
        <v>焦作大学</v>
      </c>
      <c r="F1194" s="1" t="str">
        <f>"建筑动画与模型制作"</f>
        <v>建筑动画与模型制作</v>
      </c>
      <c r="G1194" s="1" t="str">
        <f>"河南省南阳市镇平县桂花苑小区"</f>
        <v>河南省南阳市镇平县桂花苑小区</v>
      </c>
      <c r="H1194" s="1" t="str">
        <f t="shared" si="585"/>
        <v>无</v>
      </c>
      <c r="I1194" s="1" t="str">
        <f>"2020年10月至2023年06月在焦作大学土木建筑工程学院建筑动画与模型制作专业就读，是全日制学历。"</f>
        <v>2020年10月至2023年06月在焦作大学土木建筑工程学院建筑动画与模型制作专业就读，是全日制学历。</v>
      </c>
    </row>
    <row r="1195" spans="1:9">
      <c r="A1195" s="1" t="str">
        <f>"411327199607071513"</f>
        <v>411327199607071513</v>
      </c>
      <c r="B1195" s="1" t="str">
        <f t="shared" si="590"/>
        <v>群众</v>
      </c>
      <c r="C1195" s="1" t="str">
        <f t="shared" ref="C1195:C1197" si="591">"本科"</f>
        <v>本科</v>
      </c>
      <c r="D1195" s="1" t="str">
        <f>"20180701"</f>
        <v>20180701</v>
      </c>
      <c r="E1195" s="1" t="str">
        <f>"郑州升达经贸管理学院"</f>
        <v>郑州升达经贸管理学院</v>
      </c>
      <c r="F1195" s="1" t="str">
        <f>"通信工程"</f>
        <v>通信工程</v>
      </c>
      <c r="G1195" s="1" t="str">
        <f>"河南省南阳市内乡县"</f>
        <v>河南省南阳市内乡县</v>
      </c>
      <c r="H1195" s="1" t="str">
        <f t="shared" si="585"/>
        <v>无</v>
      </c>
      <c r="I1195" s="1" t="str">
        <f>"201409-201807 郑州升达经贸管理学院 通信工程
201809-201910 郑州格蒂科技有限公司 运维工程师
201910至今河南寅兴重工科技有限公司 技术员       "</f>
        <v>201409-201807 郑州升达经贸管理学院 通信工程
201809-201910 郑州格蒂科技有限公司 运维工程师
201910至今河南寅兴重工科技有限公司 技术员       </v>
      </c>
    </row>
    <row r="1196" spans="1:9">
      <c r="A1196" s="1" t="str">
        <f>"41018120030403301X"</f>
        <v>41018120030403301X</v>
      </c>
      <c r="B1196" s="1" t="str">
        <f t="shared" si="590"/>
        <v>群众</v>
      </c>
      <c r="C1196" s="1" t="str">
        <f t="shared" si="591"/>
        <v>本科</v>
      </c>
      <c r="D1196" s="1" t="str">
        <f>"20250630"</f>
        <v>20250630</v>
      </c>
      <c r="E1196" s="1" t="str">
        <f>"新疆农业大学"</f>
        <v>新疆农业大学</v>
      </c>
      <c r="F1196" s="1" t="str">
        <f>"国际经济与贸易"</f>
        <v>国际经济与贸易</v>
      </c>
      <c r="G1196" s="1" t="str">
        <f>"河南省郑州市巩义市紫荆路街道东方现代城北苑10号楼1703"</f>
        <v>河南省郑州市巩义市紫荆路街道东方现代城北苑10号楼1703</v>
      </c>
      <c r="H1196" s="1" t="str">
        <f t="shared" si="585"/>
        <v>无</v>
      </c>
      <c r="I1196" s="1" t="str">
        <f>"202109-202506 新疆农业大学就读"</f>
        <v>202109-202506 新疆农业大学就读</v>
      </c>
    </row>
    <row r="1197" spans="1:9">
      <c r="A1197" s="1" t="str">
        <f>"411326200110261572"</f>
        <v>411326200110261572</v>
      </c>
      <c r="B1197" s="1" t="str">
        <f>"共青团员"</f>
        <v>共青团员</v>
      </c>
      <c r="C1197" s="1" t="str">
        <f t="shared" si="591"/>
        <v>本科</v>
      </c>
      <c r="D1197" s="1" t="str">
        <f>"20220701"</f>
        <v>20220701</v>
      </c>
      <c r="E1197" s="1" t="str">
        <f>"郑州财经学院"</f>
        <v>郑州财经学院</v>
      </c>
      <c r="F1197" s="1" t="str">
        <f>"会计学"</f>
        <v>会计学</v>
      </c>
      <c r="G1197" s="1" t="str">
        <f>"河南省南阳市南召县城关镇城关三小"</f>
        <v>河南省南阳市南召县城关镇城关三小</v>
      </c>
      <c r="H1197" s="1" t="str">
        <f t="shared" si="585"/>
        <v>无</v>
      </c>
      <c r="I1197" s="1" t="str">
        <f>"20180901-20220701 郑州财经学院 就读 会计学院 会计学 全日制学历
20220701-至今 待业"</f>
        <v>20180901-20220701 郑州财经学院 就读 会计学院 会计学 全日制学历
20220701-至今 待业</v>
      </c>
    </row>
    <row r="1198" spans="1:9">
      <c r="A1198" s="1" t="str">
        <f>"411330200403221528"</f>
        <v>411330200403221528</v>
      </c>
      <c r="B1198" s="1" t="str">
        <f>"共青团员"</f>
        <v>共青团员</v>
      </c>
      <c r="C1198" s="1" t="str">
        <f>"专科"</f>
        <v>专科</v>
      </c>
      <c r="D1198" s="1" t="str">
        <f>"20250625"</f>
        <v>20250625</v>
      </c>
      <c r="E1198" s="1" t="str">
        <f>"郑州电子信息职业技术学院"</f>
        <v>郑州电子信息职业技术学院</v>
      </c>
      <c r="F1198" s="1" t="str">
        <f>"软件技术"</f>
        <v>软件技术</v>
      </c>
      <c r="G1198" s="1" t="str">
        <f>"河南省南阳市西峡县"</f>
        <v>河南省南阳市西峡县</v>
      </c>
      <c r="H1198" s="1" t="str">
        <f t="shared" si="585"/>
        <v>无</v>
      </c>
      <c r="I1198" s="1" t="str">
        <f>"2022年09月至2025年06月在郑州电子信息职业技术学院信息工程学院系软件技术专业就读。是全日制学历；"</f>
        <v>2022年09月至2025年06月在郑州电子信息职业技术学院信息工程学院系软件技术专业就读。是全日制学历；</v>
      </c>
    </row>
    <row r="1199" spans="1:9">
      <c r="A1199" s="1" t="str">
        <f>"410183200109210060"</f>
        <v>410183200109210060</v>
      </c>
      <c r="B1199" s="1" t="str">
        <f t="shared" ref="B1199:B1201" si="592">"群众"</f>
        <v>群众</v>
      </c>
      <c r="C1199" s="1" t="str">
        <f t="shared" ref="C1199:C1204" si="593">"本科"</f>
        <v>本科</v>
      </c>
      <c r="D1199" s="1" t="str">
        <f>"20240620"</f>
        <v>20240620</v>
      </c>
      <c r="E1199" s="1" t="str">
        <f>"洛阳师范学院"</f>
        <v>洛阳师范学院</v>
      </c>
      <c r="F1199" s="1" t="str">
        <f>"音乐学"</f>
        <v>音乐学</v>
      </c>
      <c r="G1199" s="1" t="str">
        <f>"河南省郑州市荥阳市东方盛典D座"</f>
        <v>河南省郑州市荥阳市东方盛典D座</v>
      </c>
      <c r="H1199" s="1" t="str">
        <f t="shared" si="585"/>
        <v>无</v>
      </c>
      <c r="I1199" s="1" t="str">
        <f>"2017年9月-2020年6月就读于荥阳市第二高级中学
2020年9月-2024年6月就读于洛阳师范学院  本科 音乐学专业
2024年6月至今待业"</f>
        <v>2017年9月-2020年6月就读于荥阳市第二高级中学
2020年9月-2024年6月就读于洛阳师范学院  本科 音乐学专业
2024年6月至今待业</v>
      </c>
    </row>
    <row r="1200" spans="1:9">
      <c r="A1200" s="1" t="str">
        <f>"410105200203010031"</f>
        <v>410105200203010031</v>
      </c>
      <c r="B1200" s="1" t="str">
        <f t="shared" si="592"/>
        <v>群众</v>
      </c>
      <c r="C1200" s="1" t="str">
        <f t="shared" si="593"/>
        <v>本科</v>
      </c>
      <c r="D1200" s="1" t="str">
        <f>"20250615"</f>
        <v>20250615</v>
      </c>
      <c r="E1200" s="1" t="str">
        <f>"华北水利水电大学"</f>
        <v>华北水利水电大学</v>
      </c>
      <c r="F1200" s="1" t="str">
        <f>"人工智能"</f>
        <v>人工智能</v>
      </c>
      <c r="G1200" s="1" t="str">
        <f>"河南省郑州市管城区帆布厂家属院"</f>
        <v>河南省郑州市管城区帆布厂家属院</v>
      </c>
      <c r="H1200" s="1" t="str">
        <f t="shared" si="585"/>
        <v>无</v>
      </c>
      <c r="I1200" s="1" t="str">
        <f>"202109-202506华北水利水电大学信息工程学院人工智能专业就读，全日制学历
202506-至今 在郑州市待业"</f>
        <v>202109-202506华北水利水电大学信息工程学院人工智能专业就读，全日制学历
202506-至今 在郑州市待业</v>
      </c>
    </row>
    <row r="1201" spans="1:9">
      <c r="A1201" s="1" t="str">
        <f>"411327200012080045"</f>
        <v>411327200012080045</v>
      </c>
      <c r="B1201" s="1" t="str">
        <f t="shared" si="592"/>
        <v>群众</v>
      </c>
      <c r="C1201" s="1" t="str">
        <f t="shared" si="593"/>
        <v>本科</v>
      </c>
      <c r="D1201" s="1" t="str">
        <f>"20190607"</f>
        <v>20190607</v>
      </c>
      <c r="E1201" s="1" t="str">
        <f>"许昌学院"</f>
        <v>许昌学院</v>
      </c>
      <c r="F1201" s="1" t="str">
        <f>"汉语言文学"</f>
        <v>汉语言文学</v>
      </c>
      <c r="G1201" s="1" t="str">
        <f>"河南省南阳市内乡县宏大北路十巷"</f>
        <v>河南省南阳市内乡县宏大北路十巷</v>
      </c>
      <c r="H1201" s="1" t="str">
        <f t="shared" si="585"/>
        <v>无</v>
      </c>
      <c r="I1201" s="1" t="str">
        <f>"2016.7-2019.6 就读于内乡高级中学
2019.9-2023.7就读于许昌学院汉语言文学专业，全日制
"</f>
        <v>2016.7-2019.6 就读于内乡高级中学
2019.9-2023.7就读于许昌学院汉语言文学专业，全日制
</v>
      </c>
    </row>
    <row r="1202" spans="1:9">
      <c r="A1202" s="1" t="str">
        <f>"410882199812205024"</f>
        <v>410882199812205024</v>
      </c>
      <c r="B1202" s="1" t="str">
        <f>"中共预备党员"</f>
        <v>中共预备党员</v>
      </c>
      <c r="C1202" s="1" t="str">
        <f t="shared" si="593"/>
        <v>本科</v>
      </c>
      <c r="D1202" s="1" t="str">
        <f>"20210622"</f>
        <v>20210622</v>
      </c>
      <c r="E1202" s="1" t="str">
        <f>"南昌大学"</f>
        <v>南昌大学</v>
      </c>
      <c r="F1202" s="1" t="str">
        <f>"行政管理"</f>
        <v>行政管理</v>
      </c>
      <c r="G1202" s="1" t="str">
        <f>"河南省焦作市沁阳市柏香镇"</f>
        <v>河南省焦作市沁阳市柏香镇</v>
      </c>
      <c r="H1202" s="1" t="str">
        <f t="shared" si="585"/>
        <v>无</v>
      </c>
      <c r="I1202" s="1" t="str">
        <f>"201709-202106南昌大学公共管理学院行政管理就读 全日制本科
202107-至今 河南省焦作市沁阳市待业"</f>
        <v>201709-202106南昌大学公共管理学院行政管理就读 全日制本科
202107-至今 河南省焦作市沁阳市待业</v>
      </c>
    </row>
    <row r="1203" spans="1:9">
      <c r="A1203" s="1" t="str">
        <f>"411327200011291123"</f>
        <v>411327200011291123</v>
      </c>
      <c r="B1203" s="1" t="str">
        <f>"群众"</f>
        <v>群众</v>
      </c>
      <c r="C1203" s="1" t="str">
        <f t="shared" si="593"/>
        <v>本科</v>
      </c>
      <c r="D1203" s="1" t="str">
        <f>"20240605"</f>
        <v>20240605</v>
      </c>
      <c r="E1203" s="1" t="str">
        <f>"安阳学院"</f>
        <v>安阳学院</v>
      </c>
      <c r="F1203" s="1" t="str">
        <f>"英语"</f>
        <v>英语</v>
      </c>
      <c r="G1203" s="1" t="str">
        <f>"南阳市内乡县"</f>
        <v>南阳市内乡县</v>
      </c>
      <c r="H1203" s="1" t="str">
        <f t="shared" si="585"/>
        <v>无</v>
      </c>
      <c r="I1203" s="1" t="str">
        <f>"202009—202406 安阳学院外国语学院 就读本科全日制学历"</f>
        <v>202009—202406 安阳学院外国语学院 就读本科全日制学历</v>
      </c>
    </row>
    <row r="1204" spans="1:9">
      <c r="A1204" s="1" t="str">
        <f>"411327200305041111"</f>
        <v>411327200305041111</v>
      </c>
      <c r="B1204" s="1" t="str">
        <f>"群众"</f>
        <v>群众</v>
      </c>
      <c r="C1204" s="1" t="str">
        <f t="shared" si="593"/>
        <v>本科</v>
      </c>
      <c r="D1204" s="1" t="str">
        <f>"2025-06-30"</f>
        <v>2025-06-30</v>
      </c>
      <c r="E1204" s="1" t="str">
        <f>"伊犁师范大学"</f>
        <v>伊犁师范大学</v>
      </c>
      <c r="F1204" s="1" t="str">
        <f>"数学与应用数学"</f>
        <v>数学与应用数学</v>
      </c>
      <c r="G1204" s="1" t="str">
        <f>"河南省内乡县赤眉镇韩岗村后营5号"</f>
        <v>河南省内乡县赤眉镇韩岗村后营5号</v>
      </c>
      <c r="H1204" s="1" t="str">
        <f t="shared" si="585"/>
        <v>无</v>
      </c>
      <c r="I1204" s="1" t="str">
        <f>"2021.09-2021.06伊犁师范大学就读"</f>
        <v>2021.09-2021.06伊犁师范大学就读</v>
      </c>
    </row>
    <row r="1205" spans="1:9">
      <c r="A1205" s="1" t="str">
        <f>"411381200210034814"</f>
        <v>411381200210034814</v>
      </c>
      <c r="B1205" s="1" t="str">
        <f>"中共党员"</f>
        <v>中共党员</v>
      </c>
      <c r="C1205" s="1" t="str">
        <f>"专科"</f>
        <v>专科</v>
      </c>
      <c r="D1205" s="1" t="str">
        <f>"20250629"</f>
        <v>20250629</v>
      </c>
      <c r="E1205" s="1" t="str">
        <f>"开封大学"</f>
        <v>开封大学</v>
      </c>
      <c r="F1205" s="1" t="str">
        <f>"现代物流管理"</f>
        <v>现代物流管理</v>
      </c>
      <c r="G1205" s="1" t="str">
        <f>"河南省南阳市邓州市文渠镇"</f>
        <v>河南省南阳市邓州市文渠镇</v>
      </c>
      <c r="H1205" s="1" t="str">
        <f>"物流服务师"</f>
        <v>物流服务师</v>
      </c>
      <c r="I1205" s="1" t="str">
        <f>"201009-201606 邓州市文渠镇庙沟小学就读
201609-201907 邓州市文渠镇二初中就读
201909-202206 邓州市花洲实验高中就读
202209-202506 开封大学就读"</f>
        <v>201009-201606 邓州市文渠镇庙沟小学就读
201609-201907 邓州市文渠镇二初中就读
201909-202206 邓州市花洲实验高中就读
202209-202506 开封大学就读</v>
      </c>
    </row>
    <row r="1206" spans="1:9">
      <c r="A1206" s="1" t="str">
        <f>"411324200306050512"</f>
        <v>411324200306050512</v>
      </c>
      <c r="B1206" s="1" t="str">
        <f t="shared" ref="B1206:B1210" si="594">"共青团员"</f>
        <v>共青团员</v>
      </c>
      <c r="C1206" s="1" t="str">
        <f t="shared" ref="C1206:C1208" si="595">"本科"</f>
        <v>本科</v>
      </c>
      <c r="D1206" s="1" t="str">
        <f>"20250701"</f>
        <v>20250701</v>
      </c>
      <c r="E1206" s="1" t="str">
        <f>"中原工学院"</f>
        <v>中原工学院</v>
      </c>
      <c r="F1206" s="1" t="str">
        <f>"物流工程"</f>
        <v>物流工程</v>
      </c>
      <c r="G1206" s="1" t="str">
        <f>"2506177767@qq.com"</f>
        <v>2506177767@qq.com</v>
      </c>
      <c r="H1206" s="1" t="str">
        <f t="shared" ref="H1206:H1211" si="596">"无"</f>
        <v>无</v>
      </c>
      <c r="I1206" s="1" t="str">
        <f>"20210901-20250701中原工学院经济管理学院物流工程专业就读。全日制学历。自20250701至今待业。"</f>
        <v>20210901-20250701中原工学院经济管理学院物流工程专业就读。全日制学历。自20250701至今待业。</v>
      </c>
    </row>
    <row r="1207" spans="1:9">
      <c r="A1207" s="1" t="str">
        <f>"411330200108261519"</f>
        <v>411330200108261519</v>
      </c>
      <c r="B1207" s="1" t="str">
        <f t="shared" si="594"/>
        <v>共青团员</v>
      </c>
      <c r="C1207" s="1" t="str">
        <f t="shared" si="595"/>
        <v>本科</v>
      </c>
      <c r="D1207" s="1" t="str">
        <f>"2024-06-06"</f>
        <v>2024-06-06</v>
      </c>
      <c r="E1207" s="1" t="str">
        <f>"河南大学民生学院"</f>
        <v>河南大学民生学院</v>
      </c>
      <c r="F1207" s="1" t="str">
        <f>"应用化学"</f>
        <v>应用化学</v>
      </c>
      <c r="G1207" s="1" t="str">
        <f>"河南省西峡县五里桥镇"</f>
        <v>河南省西峡县五里桥镇</v>
      </c>
      <c r="H1207" s="1" t="str">
        <f t="shared" si="596"/>
        <v>无</v>
      </c>
      <c r="I1207" s="1" t="str">
        <f>"202009-202406 河南大学民生学院理工学院应用化学专业就读
202406-至今 待业"</f>
        <v>202009-202406 河南大学民生学院理工学院应用化学专业就读
202406-至今 待业</v>
      </c>
    </row>
    <row r="1208" spans="1:9">
      <c r="A1208" s="1" t="str">
        <f>"411327200103071128"</f>
        <v>411327200103071128</v>
      </c>
      <c r="B1208" s="1" t="str">
        <f>"中共党员"</f>
        <v>中共党员</v>
      </c>
      <c r="C1208" s="1" t="str">
        <f t="shared" si="595"/>
        <v>本科</v>
      </c>
      <c r="D1208" s="1" t="str">
        <f>"20230701"</f>
        <v>20230701</v>
      </c>
      <c r="E1208" s="1" t="str">
        <f>"郑州航空工业管理学院"</f>
        <v>郑州航空工业管理学院</v>
      </c>
      <c r="F1208" s="1" t="str">
        <f>"电气工程及其自动化"</f>
        <v>电气工程及其自动化</v>
      </c>
      <c r="G1208" s="1" t="str">
        <f>"河南省南阳市内乡县"</f>
        <v>河南省南阳市内乡县</v>
      </c>
      <c r="H1208" s="1" t="str">
        <f t="shared" si="596"/>
        <v>无</v>
      </c>
      <c r="I1208" s="1" t="str">
        <f>"201909-202307 郑州航空工业管理学院 就读。"</f>
        <v>201909-202307 郑州航空工业管理学院 就读。</v>
      </c>
    </row>
    <row r="1209" spans="1:9">
      <c r="A1209" s="1" t="str">
        <f>"411303200301200073"</f>
        <v>411303200301200073</v>
      </c>
      <c r="B1209" s="1" t="str">
        <f>"群众"</f>
        <v>群众</v>
      </c>
      <c r="C1209" s="1" t="str">
        <f>"专科"</f>
        <v>专科</v>
      </c>
      <c r="D1209" s="1" t="str">
        <f>"20240630"</f>
        <v>20240630</v>
      </c>
      <c r="E1209" s="1" t="str">
        <f>"湖北文理学院理工学院"</f>
        <v>湖北文理学院理工学院</v>
      </c>
      <c r="F1209" s="1" t="str">
        <f>"应用电子技术"</f>
        <v>应用电子技术</v>
      </c>
      <c r="G1209" s="1" t="str">
        <f>"河南省南阳市镇平县杨相庄"</f>
        <v>河南省南阳市镇平县杨相庄</v>
      </c>
      <c r="H1209" s="1" t="str">
        <f t="shared" si="596"/>
        <v>无</v>
      </c>
      <c r="I1209" s="1" t="str">
        <f>"202109-202406 湖北文理学院理工学院 就读
至今待业"</f>
        <v>202109-202406 湖北文理学院理工学院 就读
至今待业</v>
      </c>
    </row>
    <row r="1210" spans="1:9">
      <c r="A1210" s="1" t="str">
        <f>"411324200304251126"</f>
        <v>411324200304251126</v>
      </c>
      <c r="B1210" s="1" t="str">
        <f t="shared" si="594"/>
        <v>共青团员</v>
      </c>
      <c r="C1210" s="1" t="str">
        <f t="shared" ref="C1210:C1213" si="597">"本科"</f>
        <v>本科</v>
      </c>
      <c r="D1210" s="1" t="str">
        <f>"20250701"</f>
        <v>20250701</v>
      </c>
      <c r="E1210" s="1" t="str">
        <f>"河南财政金融学院"</f>
        <v>河南财政金融学院</v>
      </c>
      <c r="F1210" s="1" t="str">
        <f>"资产评估"</f>
        <v>资产评估</v>
      </c>
      <c r="G1210" s="1" t="str">
        <f>"河南省南阳市"</f>
        <v>河南省南阳市</v>
      </c>
      <c r="H1210" s="1" t="str">
        <f t="shared" si="596"/>
        <v>无</v>
      </c>
      <c r="I1210" s="1" t="str">
        <f>"202109-202507 河南财政金融学院财政税务学院资产评估专业就读全日制本科，
201809-202106镇平县第一高级中学就读
201509-201807老庄镇初级中学就读
"</f>
        <v>202109-202507 河南财政金融学院财政税务学院资产评估专业就读全日制本科，
201809-202106镇平县第一高级中学就读
201509-201807老庄镇初级中学就读
</v>
      </c>
    </row>
    <row r="1211" spans="1:9">
      <c r="A1211" s="1" t="str">
        <f>"412926199512111524"</f>
        <v>412926199512111524</v>
      </c>
      <c r="B1211" s="1" t="str">
        <f>"中共党员"</f>
        <v>中共党员</v>
      </c>
      <c r="C1211" s="1" t="str">
        <f t="shared" si="597"/>
        <v>本科</v>
      </c>
      <c r="D1211" s="1" t="str">
        <f>"2019.07"</f>
        <v>2019.07</v>
      </c>
      <c r="E1211" s="1" t="str">
        <f>"商丘师范学院"</f>
        <v>商丘师范学院</v>
      </c>
      <c r="F1211" s="1" t="str">
        <f>"广播电视编导"</f>
        <v>广播电视编导</v>
      </c>
      <c r="G1211" s="1" t="str">
        <f>"河南省南阳市内乡县皇家碧岸隔壁高层2004"</f>
        <v>河南省南阳市内乡县皇家碧岸隔壁高层2004</v>
      </c>
      <c r="H1211" s="1" t="str">
        <f t="shared" si="596"/>
        <v>无</v>
      </c>
      <c r="I1211" s="1" t="str">
        <f>"2001 年9月-2007年6月河南省内乡县第三小学学生
2007年9月-2011年6月河南省内乡县复兴学校学生
2011年9月-2014年6月河南省内乡实验高中学生
2014年9月-2017年7月河南艺术职业学院
2017年9月-2019年7月 商丘师范学院
2019 年8月-2021年3月待业
2021年4月-2021年8月内乡县广播电台95.8主持人
2021年8月-至今内乡县融媒体中心记者"</f>
        <v>2001 年9月-2007年6月河南省内乡县第三小学学生
2007年9月-2011年6月河南省内乡县复兴学校学生
2011年9月-2014年6月河南省内乡实验高中学生
2014年9月-2017年7月河南艺术职业学院
2017年9月-2019年7月 商丘师范学院
2019 年8月-2021年3月待业
2021年4月-2021年8月内乡县广播电台95.8主持人
2021年8月-至今内乡县融媒体中心记者</v>
      </c>
    </row>
    <row r="1212" spans="1:9">
      <c r="A1212" s="1" t="str">
        <f>"411327199805282047"</f>
        <v>411327199805282047</v>
      </c>
      <c r="B1212" s="1" t="str">
        <f t="shared" ref="B1212:B1218" si="598">"共青团员"</f>
        <v>共青团员</v>
      </c>
      <c r="C1212" s="1" t="str">
        <f>"硕士研究生"</f>
        <v>硕士研究生</v>
      </c>
      <c r="D1212" s="1" t="str">
        <f>"20250701"</f>
        <v>20250701</v>
      </c>
      <c r="E1212" s="1" t="str">
        <f>"河南科技学院"</f>
        <v>河南科技学院</v>
      </c>
      <c r="F1212" s="1" t="str">
        <f>"资源利用与植物保护"</f>
        <v>资源利用与植物保护</v>
      </c>
      <c r="G1212" s="1" t="str">
        <f>"河南省湍东镇东王沟村"</f>
        <v>河南省湍东镇东王沟村</v>
      </c>
      <c r="H1212" s="1" t="str">
        <f>"普通话证"</f>
        <v>普通话证</v>
      </c>
      <c r="I1212" s="1" t="str">
        <f>"2017-2021河南科技学院就读 植物保护专业
2021-2022休学
2022-2025河南科技学院 资源利用与植物保护专业"</f>
        <v>2017-2021河南科技学院就读 植物保护专业
2021-2022休学
2022-2025河南科技学院 资源利用与植物保护专业</v>
      </c>
    </row>
    <row r="1213" spans="1:9">
      <c r="A1213" s="1" t="str">
        <f>"411326199404223613"</f>
        <v>411326199404223613</v>
      </c>
      <c r="B1213" s="1" t="str">
        <f t="shared" ref="B1213:B1216" si="599">"群众"</f>
        <v>群众</v>
      </c>
      <c r="C1213" s="1" t="str">
        <f t="shared" si="597"/>
        <v>本科</v>
      </c>
      <c r="D1213" s="1" t="str">
        <f>"20180701"</f>
        <v>20180701</v>
      </c>
      <c r="E1213" s="1" t="str">
        <f>"河南科技学院"</f>
        <v>河南科技学院</v>
      </c>
      <c r="F1213" s="1" t="str">
        <f>"社会体育指导与管理专业"</f>
        <v>社会体育指导与管理专业</v>
      </c>
      <c r="G1213" s="1" t="str">
        <f>"河南省南阳市宛城区中瑞淯水宸院"</f>
        <v>河南省南阳市宛城区中瑞淯水宸院</v>
      </c>
      <c r="H1213" s="1" t="str">
        <f t="shared" ref="H1213:H1220" si="600">"无"</f>
        <v>无</v>
      </c>
      <c r="I1213" s="1" t="str">
        <f>"201409-201807河南科技学院体育学院就读。201807-202107北京欧斯威亲子游泳俱乐部担任店长。202108-至今南阳月儿湾游泳俱乐部担任店长。"</f>
        <v>201409-201807河南科技学院体育学院就读。201807-202107北京欧斯威亲子游泳俱乐部担任店长。202108-至今南阳月儿湾游泳俱乐部担任店长。</v>
      </c>
    </row>
    <row r="1214" spans="1:9">
      <c r="A1214" s="1" t="str">
        <f>"411302199712090014"</f>
        <v>411302199712090014</v>
      </c>
      <c r="B1214" s="1" t="str">
        <f t="shared" si="598"/>
        <v>共青团员</v>
      </c>
      <c r="C1214" s="1" t="str">
        <f>"硕士研究生"</f>
        <v>硕士研究生</v>
      </c>
      <c r="D1214" s="1" t="str">
        <f>"20240621"</f>
        <v>20240621</v>
      </c>
      <c r="E1214" s="1" t="str">
        <f>"辽宁工程技术大学"</f>
        <v>辽宁工程技术大学</v>
      </c>
      <c r="F1214" s="1" t="str">
        <f>"力学"</f>
        <v>力学</v>
      </c>
      <c r="G1214" s="1" t="str">
        <f>"宛城区仲景街道银河时代广场"</f>
        <v>宛城区仲景街道银河时代广场</v>
      </c>
      <c r="H1214" s="1" t="str">
        <f t="shared" si="600"/>
        <v>无</v>
      </c>
      <c r="I1214" s="1" t="str">
        <f>"201609-201906 南阳理工学院 电子与电气工程学院 应用电子技术专业 全日制；201906-201909 在家待业；201909-202106 郑州西亚斯学院 电子信息工程学院 计算机科学与技术专业 全日制；202106-202109 在家待业；202109-202406 辽宁工程技术大学 力学与工程学院 力学专业 全日制。"</f>
        <v>201609-201906 南阳理工学院 电子与电气工程学院 应用电子技术专业 全日制；201906-201909 在家待业；201909-202106 郑州西亚斯学院 电子信息工程学院 计算机科学与技术专业 全日制；202106-202109 在家待业；202109-202406 辽宁工程技术大学 力学与工程学院 力学专业 全日制。</v>
      </c>
    </row>
    <row r="1215" spans="1:9">
      <c r="A1215" s="1" t="str">
        <f>"411327199812244516"</f>
        <v>411327199812244516</v>
      </c>
      <c r="B1215" s="1" t="str">
        <f t="shared" si="599"/>
        <v>群众</v>
      </c>
      <c r="C1215" s="1" t="str">
        <f>"专科"</f>
        <v>专科</v>
      </c>
      <c r="D1215" s="1" t="str">
        <f>"2021.6.21"</f>
        <v>2021.6.21</v>
      </c>
      <c r="E1215" s="1" t="str">
        <f>"河南质量工程职业学院"</f>
        <v>河南质量工程职业学院</v>
      </c>
      <c r="F1215" s="1" t="str">
        <f>"电气自动化"</f>
        <v>电气自动化</v>
      </c>
      <c r="G1215" s="1" t="str">
        <f>"河南省南阳市内乡县城关镇大成路125号"</f>
        <v>河南省南阳市内乡县城关镇大成路125号</v>
      </c>
      <c r="H1215" s="1" t="str">
        <f>"电工证"</f>
        <v>电工证</v>
      </c>
      <c r="I1215" s="1" t="str">
        <f>"2018.9.01---2021.6.21在河南质量工程职业学院 电气自动化专业  就读 全日制
2021.10.01---2022.10.01在牧原工作
2023.6.03---至今在内乡县公安局师岗派出所工作"</f>
        <v>2018.9.01---2021.6.21在河南质量工程职业学院 电气自动化专业  就读 全日制
2021.10.01---2022.10.01在牧原工作
2023.6.03---至今在内乡县公安局师岗派出所工作</v>
      </c>
    </row>
    <row r="1216" spans="1:9">
      <c r="A1216" s="1" t="str">
        <f>"411330200209270027"</f>
        <v>411330200209270027</v>
      </c>
      <c r="B1216" s="1" t="str">
        <f t="shared" si="599"/>
        <v>群众</v>
      </c>
      <c r="C1216" s="1" t="str">
        <f t="shared" ref="C1216:C1219" si="601">"本科"</f>
        <v>本科</v>
      </c>
      <c r="D1216" s="1" t="str">
        <f>"2025-6"</f>
        <v>2025-6</v>
      </c>
      <c r="E1216" s="1" t="str">
        <f>"信阳学院"</f>
        <v>信阳学院</v>
      </c>
      <c r="F1216" s="1" t="str">
        <f>"心理学"</f>
        <v>心理学</v>
      </c>
      <c r="G1216" s="1" t="str">
        <f>"河南省西峡县丹水镇袁沟村八组"</f>
        <v>河南省西峡县丹水镇袁沟村八组</v>
      </c>
      <c r="H1216" s="1" t="str">
        <f t="shared" si="600"/>
        <v>无</v>
      </c>
      <c r="I1216" s="1" t="str">
        <f>"202109-202506  信阳学院就读   全日制"</f>
        <v>202109-202506  信阳学院就读   全日制</v>
      </c>
    </row>
    <row r="1217" spans="1:9">
      <c r="A1217" s="1" t="str">
        <f>"411224200308062124"</f>
        <v>411224200308062124</v>
      </c>
      <c r="B1217" s="1" t="str">
        <f t="shared" si="598"/>
        <v>共青团员</v>
      </c>
      <c r="C1217" s="1" t="str">
        <f t="shared" si="601"/>
        <v>本科</v>
      </c>
      <c r="D1217" s="1" t="str">
        <f>"2025年7月1 日"</f>
        <v>2025年7月1 日</v>
      </c>
      <c r="E1217" s="1" t="str">
        <f>"安阳学院"</f>
        <v>安阳学院</v>
      </c>
      <c r="F1217" s="1" t="str">
        <f>"汉语言文学"</f>
        <v>汉语言文学</v>
      </c>
      <c r="G1217" s="1" t="str">
        <f>"河南省三门峡市卢氏县狮子坪乡柳树湾村"</f>
        <v>河南省三门峡市卢氏县狮子坪乡柳树湾村</v>
      </c>
      <c r="H1217" s="1" t="str">
        <f t="shared" si="600"/>
        <v>无</v>
      </c>
      <c r="I1217" s="1" t="str">
        <f>"202109-202507安阳学院就读 文法学院 汉语言文学专业 全日制本科"</f>
        <v>202109-202507安阳学院就读 文法学院 汉语言文学专业 全日制本科</v>
      </c>
    </row>
    <row r="1218" spans="1:9">
      <c r="A1218" s="1" t="str">
        <f>"411323200203125335"</f>
        <v>411323200203125335</v>
      </c>
      <c r="B1218" s="1" t="str">
        <f t="shared" si="598"/>
        <v>共青团员</v>
      </c>
      <c r="C1218" s="1" t="str">
        <f t="shared" si="601"/>
        <v>本科</v>
      </c>
      <c r="D1218" s="1" t="str">
        <f>"20250731"</f>
        <v>20250731</v>
      </c>
      <c r="E1218" s="1" t="str">
        <f>"西南政法大学"</f>
        <v>西南政法大学</v>
      </c>
      <c r="F1218" s="1" t="str">
        <f>"侦查学"</f>
        <v>侦查学</v>
      </c>
      <c r="G1218" s="1" t="str">
        <f>"重庆市渝北区宝圣湖大道天高鸿苑"</f>
        <v>重庆市渝北区宝圣湖大道天高鸿苑</v>
      </c>
      <c r="H1218" s="1" t="str">
        <f t="shared" si="600"/>
        <v>无</v>
      </c>
      <c r="I1218" s="1" t="str">
        <f>"本人于202109031—20250731期间就读于西南政法大学刑事侦查学院侦查学专业，于20250720正式从母校毕业，并获得全日制法学学士学位。"</f>
        <v>本人于202109031—20250731期间就读于西南政法大学刑事侦查学院侦查学专业，于20250720正式从母校毕业，并获得全日制法学学士学位。</v>
      </c>
    </row>
    <row r="1219" spans="1:9">
      <c r="A1219" s="1" t="str">
        <f>"41132719981105063X"</f>
        <v>41132719981105063X</v>
      </c>
      <c r="B1219" s="1" t="str">
        <f t="shared" ref="B1219:B1222" si="602">"群众"</f>
        <v>群众</v>
      </c>
      <c r="C1219" s="1" t="str">
        <f t="shared" si="601"/>
        <v>本科</v>
      </c>
      <c r="D1219" s="1" t="str">
        <f>"20210701"</f>
        <v>20210701</v>
      </c>
      <c r="E1219" s="1" t="str">
        <f>"安阳学院"</f>
        <v>安阳学院</v>
      </c>
      <c r="F1219" s="1" t="str">
        <f>"电子信息工程"</f>
        <v>电子信息工程</v>
      </c>
      <c r="G1219" s="1" t="str">
        <f>"河南省南阳市内乡县"</f>
        <v>河南省南阳市内乡县</v>
      </c>
      <c r="H1219" s="1" t="str">
        <f t="shared" si="600"/>
        <v>无</v>
      </c>
      <c r="I1219" s="1" t="str">
        <f>"201709-202107 安阳学院航空工程学院电子信息工程专业就读，为全日制学历"</f>
        <v>201709-202107 安阳学院航空工程学院电子信息工程专业就读，为全日制学历</v>
      </c>
    </row>
    <row r="1220" spans="1:9">
      <c r="A1220" s="1" t="str">
        <f>"41032919981127255X"</f>
        <v>41032919981127255X</v>
      </c>
      <c r="B1220" s="1" t="str">
        <f t="shared" si="602"/>
        <v>群众</v>
      </c>
      <c r="C1220" s="1" t="str">
        <f t="shared" ref="C1220:C1224" si="603">"专科"</f>
        <v>专科</v>
      </c>
      <c r="D1220" s="1" t="str">
        <f>"20200701"</f>
        <v>20200701</v>
      </c>
      <c r="E1220" s="1" t="str">
        <f>"洛阳理工学院"</f>
        <v>洛阳理工学院</v>
      </c>
      <c r="F1220" s="1" t="str">
        <f>"电子测量技术与仪器"</f>
        <v>电子测量技术与仪器</v>
      </c>
      <c r="G1220" s="1" t="str">
        <f>"河南省洛阳市伊川县鸣皋镇"</f>
        <v>河南省洛阳市伊川县鸣皋镇</v>
      </c>
      <c r="H1220" s="1" t="str">
        <f t="shared" si="600"/>
        <v>无</v>
      </c>
      <c r="I1220" s="1" t="str">
        <f>"20170901-20200701洛阳理工学院学生"</f>
        <v>20170901-20200701洛阳理工学院学生</v>
      </c>
    </row>
    <row r="1221" spans="1:9">
      <c r="A1221" s="1" t="str">
        <f>"411327199706290615"</f>
        <v>411327199706290615</v>
      </c>
      <c r="B1221" s="1" t="str">
        <f t="shared" si="602"/>
        <v>群众</v>
      </c>
      <c r="C1221" s="1" t="str">
        <f t="shared" si="603"/>
        <v>专科</v>
      </c>
      <c r="D1221" s="1" t="str">
        <f>"20230701"</f>
        <v>20230701</v>
      </c>
      <c r="E1221" s="1" t="str">
        <f>"河南工业职业技术学院"</f>
        <v>河南工业职业技术学院</v>
      </c>
      <c r="F1221" s="1" t="str">
        <f>"市场营销"</f>
        <v>市场营销</v>
      </c>
      <c r="G1221" s="1" t="str">
        <f>"河南省南阳市内乡县范蠡大街与好问路交叉口泰丰公寓"</f>
        <v>河南省南阳市内乡县范蠡大街与好问路交叉口泰丰公寓</v>
      </c>
      <c r="H1221" s="1" t="str">
        <f>"计算机专业证 三级电子商务师"</f>
        <v>计算机专业证 三级电子商务师</v>
      </c>
      <c r="I1221" s="1" t="str">
        <f>"202006-202307 河南工业职业技术学院 函授"</f>
        <v>202006-202307 河南工业职业技术学院 函授</v>
      </c>
    </row>
    <row r="1222" spans="1:9">
      <c r="A1222" s="1" t="str">
        <f>"411327199112154528"</f>
        <v>411327199112154528</v>
      </c>
      <c r="B1222" s="1" t="str">
        <f t="shared" si="602"/>
        <v>群众</v>
      </c>
      <c r="C1222" s="1" t="str">
        <f t="shared" ref="C1222:C1231" si="604">"本科"</f>
        <v>本科</v>
      </c>
      <c r="D1222" s="1" t="str">
        <f>"20150701"</f>
        <v>20150701</v>
      </c>
      <c r="E1222" s="1" t="str">
        <f>"黄淮学院"</f>
        <v>黄淮学院</v>
      </c>
      <c r="F1222" s="1" t="str">
        <f>"电子信息工程"</f>
        <v>电子信息工程</v>
      </c>
      <c r="G1222" s="1" t="str">
        <f>"内乡县丽都国际1期"</f>
        <v>内乡县丽都国际1期</v>
      </c>
      <c r="H1222" s="1" t="str">
        <f t="shared" ref="H1222:H1230" si="605">"无"</f>
        <v>无</v>
      </c>
      <c r="I1222" s="1" t="str">
        <f>"201109-201506 黄淮学院 电子信息工程专业就读
"</f>
        <v>201109-201506 黄淮学院 电子信息工程专业就读
</v>
      </c>
    </row>
    <row r="1223" spans="1:9">
      <c r="A1223" s="1" t="str">
        <f>"411327200005310025"</f>
        <v>411327200005310025</v>
      </c>
      <c r="B1223" s="1" t="str">
        <f t="shared" ref="B1223:B1227" si="606">"共青团员"</f>
        <v>共青团员</v>
      </c>
      <c r="C1223" s="1" t="str">
        <f t="shared" si="604"/>
        <v>本科</v>
      </c>
      <c r="D1223" s="1" t="str">
        <f>"20230701"</f>
        <v>20230701</v>
      </c>
      <c r="E1223" s="1" t="str">
        <f>"商丘学院"</f>
        <v>商丘学院</v>
      </c>
      <c r="F1223" s="1" t="str">
        <f>"小学教育（师范）"</f>
        <v>小学教育（师范）</v>
      </c>
      <c r="G1223" s="1" t="str">
        <f>"河南省南阳市内乡县城关镇清真寺村清真寺北路80号"</f>
        <v>河南省南阳市内乡县城关镇清真寺村清真寺北路80号</v>
      </c>
      <c r="H1223" s="1" t="str">
        <f t="shared" si="605"/>
        <v>无</v>
      </c>
      <c r="I1223" s="1" t="str">
        <f>"201809-202107   郑州幼儿师范高等专科学校  学前教育专业就读
202109-202307   商丘学院    小学教育就读
202307-至今        待业"</f>
        <v>201809-202107   郑州幼儿师范高等专科学校  学前教育专业就读
202109-202307   商丘学院    小学教育就读
202307-至今        待业</v>
      </c>
    </row>
    <row r="1224" spans="1:9">
      <c r="A1224" s="1" t="str">
        <f>"411324200402222820"</f>
        <v>411324200402222820</v>
      </c>
      <c r="B1224" s="1" t="str">
        <f t="shared" ref="B1224:B1228" si="607">"群众"</f>
        <v>群众</v>
      </c>
      <c r="C1224" s="1" t="str">
        <f t="shared" si="603"/>
        <v>专科</v>
      </c>
      <c r="D1224" s="1" t="str">
        <f>"20250620"</f>
        <v>20250620</v>
      </c>
      <c r="E1224" s="1" t="str">
        <f>"开封文化艺术职业学院"</f>
        <v>开封文化艺术职业学院</v>
      </c>
      <c r="F1224" s="1" t="str">
        <f>"小学数学教育"</f>
        <v>小学数学教育</v>
      </c>
      <c r="G1224" s="1" t="str">
        <f>"河南省南阳市镇平县卢医镇白杨树村赵坡庄474号"</f>
        <v>河南省南阳市镇平县卢医镇白杨树村赵坡庄474号</v>
      </c>
      <c r="H1224" s="1" t="str">
        <f t="shared" si="605"/>
        <v>无</v>
      </c>
      <c r="I1224" s="1" t="str">
        <f>"202209-202506开封文化艺术职业学院
2025-至今  在家待业"</f>
        <v>202209-202506开封文化艺术职业学院
2025-至今  在家待业</v>
      </c>
    </row>
    <row r="1225" spans="1:9">
      <c r="A1225" s="1" t="str">
        <f>"411327199510190022"</f>
        <v>411327199510190022</v>
      </c>
      <c r="B1225" s="1" t="str">
        <f t="shared" si="607"/>
        <v>群众</v>
      </c>
      <c r="C1225" s="1" t="str">
        <f t="shared" si="604"/>
        <v>本科</v>
      </c>
      <c r="D1225" s="1" t="str">
        <f>"20180110"</f>
        <v>20180110</v>
      </c>
      <c r="E1225" s="1" t="str">
        <f>"中国药科大学"</f>
        <v>中国药科大学</v>
      </c>
      <c r="F1225" s="1" t="str">
        <f>"药学"</f>
        <v>药学</v>
      </c>
      <c r="G1225" s="1" t="str">
        <f>"河南省南阳市淅川县金河镇金河村"</f>
        <v>河南省南阳市淅川县金河镇金河村</v>
      </c>
      <c r="H1225" s="1" t="str">
        <f t="shared" si="605"/>
        <v>无</v>
      </c>
      <c r="I1225" s="1" t="str">
        <f>"201301-201801中国药科大学就读药学专业。非全日制学历"</f>
        <v>201301-201801中国药科大学就读药学专业。非全日制学历</v>
      </c>
    </row>
    <row r="1226" spans="1:9">
      <c r="A1226" s="1" t="str">
        <f>"411302200304030122"</f>
        <v>411302200304030122</v>
      </c>
      <c r="B1226" s="1" t="str">
        <f t="shared" si="606"/>
        <v>共青团员</v>
      </c>
      <c r="C1226" s="1" t="str">
        <f t="shared" si="604"/>
        <v>本科</v>
      </c>
      <c r="D1226" s="1" t="str">
        <f>"20250630"</f>
        <v>20250630</v>
      </c>
      <c r="E1226" s="1" t="str">
        <f>"哈尔滨广厦学院"</f>
        <v>哈尔滨广厦学院</v>
      </c>
      <c r="F1226" s="1" t="str">
        <f>"视觉传达设计"</f>
        <v>视觉传达设计</v>
      </c>
      <c r="G1226" s="1" t="str">
        <f>"河南省南阳市卧龙区 光武中路939号骏景花园8号楼二单元"</f>
        <v>河南省南阳市卧龙区 光武中路939号骏景花园8号楼二单元</v>
      </c>
      <c r="H1226" s="1" t="str">
        <f t="shared" si="605"/>
        <v>无</v>
      </c>
      <c r="I1226" s="1" t="str">
        <f>"202109-202506 哈尔滨广厦学院 艺术与传媒学院 视觉传达设计就读 全日制学历
202506-至今 在家待业"</f>
        <v>202109-202506 哈尔滨广厦学院 艺术与传媒学院 视觉传达设计就读 全日制学历
202506-至今 在家待业</v>
      </c>
    </row>
    <row r="1227" spans="1:9">
      <c r="A1227" s="1" t="str">
        <f>"411326200210293328"</f>
        <v>411326200210293328</v>
      </c>
      <c r="B1227" s="1" t="str">
        <f t="shared" si="606"/>
        <v>共青团员</v>
      </c>
      <c r="C1227" s="1" t="str">
        <f t="shared" si="604"/>
        <v>本科</v>
      </c>
      <c r="D1227" s="1" t="str">
        <f>"20240701"</f>
        <v>20240701</v>
      </c>
      <c r="E1227" s="1" t="str">
        <f>"河南警察学院"</f>
        <v>河南警察学院</v>
      </c>
      <c r="F1227" s="1" t="str">
        <f>"法学（警务辅助方向）"</f>
        <v>法学（警务辅助方向）</v>
      </c>
      <c r="G1227" s="1" t="str">
        <f>"河南省南阳市卧龙区杜诗路沙岗店"</f>
        <v>河南省南阳市卧龙区杜诗路沙岗店</v>
      </c>
      <c r="H1227" s="1" t="str">
        <f t="shared" si="605"/>
        <v>无</v>
      </c>
      <c r="I1227" s="1" t="str">
        <f>"202009-202207 河南检察职业学院就读
202209-202407 河南警察学院就读"</f>
        <v>202009-202207 河南检察职业学院就读
202209-202407 河南警察学院就读</v>
      </c>
    </row>
    <row r="1228" spans="1:9">
      <c r="A1228" s="1" t="str">
        <f>"411222199508062016"</f>
        <v>411222199508062016</v>
      </c>
      <c r="B1228" s="1" t="str">
        <f t="shared" si="607"/>
        <v>群众</v>
      </c>
      <c r="C1228" s="1" t="str">
        <f t="shared" si="604"/>
        <v>本科</v>
      </c>
      <c r="D1228" s="1" t="str">
        <f>"20190701"</f>
        <v>20190701</v>
      </c>
      <c r="E1228" s="1" t="str">
        <f>"安阳学院"</f>
        <v>安阳学院</v>
      </c>
      <c r="F1228" s="1" t="str">
        <f>"人力资源管理"</f>
        <v>人力资源管理</v>
      </c>
      <c r="G1228" s="1" t="str">
        <f>"河南省三门峡市陕县西张村镇陈村"</f>
        <v>河南省三门峡市陕县西张村镇陈村</v>
      </c>
      <c r="H1228" s="1" t="str">
        <f t="shared" si="605"/>
        <v>无</v>
      </c>
      <c r="I1228" s="1" t="str">
        <f>"201409-201707在黄河科技学院商贸学院电子商务专业就读，全日制专科学历；201709-201907在安阳学院经济与管理学院人力资源管理专业就读，全日制本科学历；201907至今待业。"</f>
        <v>201409-201707在黄河科技学院商贸学院电子商务专业就读，全日制专科学历；201709-201907在安阳学院经济与管理学院人力资源管理专业就读，全日制本科学历；201907至今待业。</v>
      </c>
    </row>
    <row r="1229" spans="1:9">
      <c r="A1229" s="1" t="str">
        <f>"411327200107073526"</f>
        <v>411327200107073526</v>
      </c>
      <c r="B1229" s="1" t="str">
        <f>"中共党员"</f>
        <v>中共党员</v>
      </c>
      <c r="C1229" s="1" t="str">
        <f t="shared" si="604"/>
        <v>本科</v>
      </c>
      <c r="D1229" s="1" t="str">
        <f>"20230701"</f>
        <v>20230701</v>
      </c>
      <c r="E1229" s="1" t="str">
        <f>"华北水利水电大学"</f>
        <v>华北水利水电大学</v>
      </c>
      <c r="F1229" s="1" t="str">
        <f>"信息与计算科学"</f>
        <v>信息与计算科学</v>
      </c>
      <c r="G1229" s="1" t="str">
        <f>"河南省南阳市内乡县城关镇海天楼"</f>
        <v>河南省南阳市内乡县城关镇海天楼</v>
      </c>
      <c r="H1229" s="1" t="str">
        <f t="shared" si="605"/>
        <v>无</v>
      </c>
      <c r="I1229" s="1" t="str">
        <f>"201909-202307 华北水利水电大学数学与统计学院信息与计算科学专业全日制就读
202307-202403 河南宝通信息安全测评有限公司工作
202403-至今 河南省南阳市待业"</f>
        <v>201909-202307 华北水利水电大学数学与统计学院信息与计算科学专业全日制就读
202307-202403 河南宝通信息安全测评有限公司工作
202403-至今 河南省南阳市待业</v>
      </c>
    </row>
    <row r="1230" spans="1:9">
      <c r="A1230" s="1" t="str">
        <f>"411303200110290141"</f>
        <v>411303200110290141</v>
      </c>
      <c r="B1230" s="1" t="str">
        <f t="shared" ref="B1230:B1234" si="608">"共青团员"</f>
        <v>共青团员</v>
      </c>
      <c r="C1230" s="1" t="str">
        <f t="shared" si="604"/>
        <v>本科</v>
      </c>
      <c r="D1230" s="1" t="str">
        <f>"20230630"</f>
        <v>20230630</v>
      </c>
      <c r="E1230" s="1" t="str">
        <f>"中南财经政法大学"</f>
        <v>中南财经政法大学</v>
      </c>
      <c r="F1230" s="1" t="str">
        <f>"法学"</f>
        <v>法学</v>
      </c>
      <c r="G1230" s="1" t="str">
        <f>"河南省南阳市蒲电怡源村"</f>
        <v>河南省南阳市蒲电怡源村</v>
      </c>
      <c r="H1230" s="1" t="str">
        <f t="shared" si="605"/>
        <v>无</v>
      </c>
      <c r="I1230" s="1" t="str">
        <f>"201909-202306 中南财经政法大学就读"</f>
        <v>201909-202306 中南财经政法大学就读</v>
      </c>
    </row>
    <row r="1231" spans="1:9">
      <c r="A1231" s="1" t="str">
        <f>"411327200106163968"</f>
        <v>411327200106163968</v>
      </c>
      <c r="B1231" s="1" t="str">
        <f t="shared" si="608"/>
        <v>共青团员</v>
      </c>
      <c r="C1231" s="1" t="str">
        <f t="shared" si="604"/>
        <v>本科</v>
      </c>
      <c r="D1231" s="1" t="str">
        <f>"20220701"</f>
        <v>20220701</v>
      </c>
      <c r="E1231" s="1" t="str">
        <f>"河南科技学院新科学院"</f>
        <v>河南科技学院新科学院</v>
      </c>
      <c r="F1231" s="1" t="str">
        <f>"汉语言文学（师范）"</f>
        <v>汉语言文学（师范）</v>
      </c>
      <c r="G1231" s="1" t="str">
        <f>"河南省南阳市内乡县岞曲镇彭营村"</f>
        <v>河南省南阳市内乡县岞曲镇彭营村</v>
      </c>
      <c r="H1231" s="1" t="str">
        <f>"小学教师资格证，二级甲等普通话"</f>
        <v>小学教师资格证，二级甲等普通话</v>
      </c>
      <c r="I1231" s="1" t="str">
        <f>"20170901-20200701 在南阳师范学院，文史学院语文教育专业就读专科 是全日制学历
20200901-20220701在河南科技学院新科学院，文法学院，汉语言文学（师范）就读本科 是全日制学历
20220701-20240501就职于内乡郦都小学，教语文
20240501-至今在内乡县待业"</f>
        <v>20170901-20200701 在南阳师范学院，文史学院语文教育专业就读专科 是全日制学历
20200901-20220701在河南科技学院新科学院，文法学院，汉语言文学（师范）就读本科 是全日制学历
20220701-20240501就职于内乡郦都小学，教语文
20240501-至今在内乡县待业</v>
      </c>
    </row>
    <row r="1232" spans="1:9">
      <c r="A1232" s="1" t="str">
        <f>"411327199802231121"</f>
        <v>411327199802231121</v>
      </c>
      <c r="B1232" s="1" t="str">
        <f>"中共党员"</f>
        <v>中共党员</v>
      </c>
      <c r="C1232" s="1" t="str">
        <f t="shared" ref="C1232:C1238" si="609">"专科"</f>
        <v>专科</v>
      </c>
      <c r="D1232" s="1" t="str">
        <f>"20200701"</f>
        <v>20200701</v>
      </c>
      <c r="E1232" s="1" t="str">
        <f>"河南工学院"</f>
        <v>河南工学院</v>
      </c>
      <c r="F1232" s="1" t="str">
        <f>"旅游管理"</f>
        <v>旅游管理</v>
      </c>
      <c r="G1232" s="1" t="str">
        <f>"河南省南阳市宛城区新华街道解放路印刷厂家属院"</f>
        <v>河南省南阳市宛城区新华街道解放路印刷厂家属院</v>
      </c>
      <c r="H1232" s="1" t="str">
        <f t="shared" ref="H1232:H1235" si="610">"无"</f>
        <v>无</v>
      </c>
      <c r="I1232" s="1" t="str">
        <f>"201709-202007  河南工学院  管理系  旅游管理专业
202008-202207  河南省闾河乡人民政府  办公室人员
202208-202312   南阳私塾培训机构 培训老师和班主任
202401-202408  南阳书院小学教师
202409-202502  在南阳待业
202503-202506  南阳内乡复兴学校教师
202507-至今  在内乡待业"</f>
        <v>201709-202007  河南工学院  管理系  旅游管理专业
202008-202207  河南省闾河乡人民政府  办公室人员
202208-202312   南阳私塾培训机构 培训老师和班主任
202401-202408  南阳书院小学教师
202409-202502  在南阳待业
202503-202506  南阳内乡复兴学校教师
202507-至今  在内乡待业</v>
      </c>
    </row>
    <row r="1233" spans="1:9">
      <c r="A1233" s="1" t="str">
        <f>"410181200208315527"</f>
        <v>410181200208315527</v>
      </c>
      <c r="B1233" s="1" t="str">
        <f t="shared" si="608"/>
        <v>共青团员</v>
      </c>
      <c r="C1233" s="1" t="str">
        <f t="shared" ref="C1233:C1236" si="611">"本科"</f>
        <v>本科</v>
      </c>
      <c r="D1233" s="1" t="str">
        <f>"20250701"</f>
        <v>20250701</v>
      </c>
      <c r="E1233" s="1" t="str">
        <f>"郑州师范学院"</f>
        <v>郑州师范学院</v>
      </c>
      <c r="F1233" s="1" t="str">
        <f>"汉语言文学"</f>
        <v>汉语言文学</v>
      </c>
      <c r="G1233" s="1" t="str">
        <f>"河南省巩义市北山口镇水地河村"</f>
        <v>河南省巩义市北山口镇水地河村</v>
      </c>
      <c r="H1233" s="1" t="str">
        <f>"高中语文教师资格证"</f>
        <v>高中语文教师资格证</v>
      </c>
      <c r="I1233" s="1" t="str">
        <f>"202109-202507 郑州师范学院文学院汉语言文学就读，全日制学历。"</f>
        <v>202109-202507 郑州师范学院文学院汉语言文学就读，全日制学历。</v>
      </c>
    </row>
    <row r="1234" spans="1:9">
      <c r="A1234" s="1" t="str">
        <f>"411327200206044528"</f>
        <v>411327200206044528</v>
      </c>
      <c r="B1234" s="1" t="str">
        <f t="shared" si="608"/>
        <v>共青团员</v>
      </c>
      <c r="C1234" s="1" t="str">
        <f t="shared" si="611"/>
        <v>本科</v>
      </c>
      <c r="D1234" s="1" t="str">
        <f>"20250620"</f>
        <v>20250620</v>
      </c>
      <c r="E1234" s="1" t="str">
        <f>"河南科技职业大学"</f>
        <v>河南科技职业大学</v>
      </c>
      <c r="F1234" s="1" t="str">
        <f>"环境艺术设计"</f>
        <v>环境艺术设计</v>
      </c>
      <c r="G1234" s="1" t="str">
        <f>"河南省南阳市内乡县赵店乡"</f>
        <v>河南省南阳市内乡县赵店乡</v>
      </c>
      <c r="H1234" s="1" t="str">
        <f t="shared" si="610"/>
        <v>无</v>
      </c>
      <c r="I1234" s="1" t="str">
        <f>"202109-202506在河南科技职业大学美术与艺术设计学院环境艺术设计专业就读，是全日制学历"</f>
        <v>202109-202506在河南科技职业大学美术与艺术设计学院环境艺术设计专业就读，是全日制学历</v>
      </c>
    </row>
    <row r="1235" spans="1:9">
      <c r="A1235" s="1" t="str">
        <f>"411324199903170525"</f>
        <v>411324199903170525</v>
      </c>
      <c r="B1235" s="1" t="str">
        <f t="shared" ref="B1235:B1241" si="612">"群众"</f>
        <v>群众</v>
      </c>
      <c r="C1235" s="1" t="str">
        <f t="shared" si="609"/>
        <v>专科</v>
      </c>
      <c r="D1235" s="1" t="str">
        <f>"2019.07"</f>
        <v>2019.07</v>
      </c>
      <c r="E1235" s="1" t="str">
        <f>"河南牧业经济学院"</f>
        <v>河南牧业经济学院</v>
      </c>
      <c r="F1235" s="1" t="str">
        <f>"广告设计与制作"</f>
        <v>广告设计与制作</v>
      </c>
      <c r="G1235" s="1" t="str">
        <f>"河南省南阳市镇平县杨相庄"</f>
        <v>河南省南阳市镇平县杨相庄</v>
      </c>
      <c r="H1235" s="1" t="str">
        <f t="shared" si="610"/>
        <v>无</v>
      </c>
      <c r="I1235" s="1" t="str">
        <f>"201609-201707 河南牧业经济学院 广告设计与制作 全日制
202104-202204 就职河南宾果文化 任平面设计
202204-202507待业
"</f>
        <v>201609-201707 河南牧业经济学院 广告设计与制作 全日制
202104-202204 就职河南宾果文化 任平面设计
202204-202507待业
</v>
      </c>
    </row>
    <row r="1236" spans="1:9">
      <c r="A1236" s="1" t="str">
        <f>"411327200008140025"</f>
        <v>411327200008140025</v>
      </c>
      <c r="B1236" s="1" t="str">
        <f t="shared" ref="B1236:B1239" si="613">"共青团员"</f>
        <v>共青团员</v>
      </c>
      <c r="C1236" s="1" t="str">
        <f t="shared" si="611"/>
        <v>本科</v>
      </c>
      <c r="D1236" s="1" t="str">
        <f>"20230701"</f>
        <v>20230701</v>
      </c>
      <c r="E1236" s="1" t="str">
        <f>"南阳师范学院"</f>
        <v>南阳师范学院</v>
      </c>
      <c r="F1236" s="1" t="str">
        <f>"财务管理"</f>
        <v>财务管理</v>
      </c>
      <c r="G1236" s="1" t="str">
        <f>"内乡县城关镇书院南组56号"</f>
        <v>内乡县城关镇书院南组56号</v>
      </c>
      <c r="H1236" s="1" t="str">
        <f>"初级会计证书"</f>
        <v>初级会计证书</v>
      </c>
      <c r="I1236" s="1" t="str">
        <f>"201809-202107 许昌职业技术学院经济与管理学院会计电算化专业就读全日制
202109-202307 南阳师范学院经济与管理学院财务管理专业就读全日制
202307-202408 在家待业
202408至今 南阳市翔丞人力资源服务有限公司工作"</f>
        <v>201809-202107 许昌职业技术学院经济与管理学院会计电算化专业就读全日制
202109-202307 南阳师范学院经济与管理学院财务管理专业就读全日制
202307-202408 在家待业
202408至今 南阳市翔丞人力资源服务有限公司工作</v>
      </c>
    </row>
    <row r="1237" spans="1:9">
      <c r="A1237" s="1" t="str">
        <f>"411323200109095360"</f>
        <v>411323200109095360</v>
      </c>
      <c r="B1237" s="1" t="str">
        <f t="shared" si="612"/>
        <v>群众</v>
      </c>
      <c r="C1237" s="1" t="str">
        <f t="shared" si="609"/>
        <v>专科</v>
      </c>
      <c r="D1237" s="1" t="str">
        <f>"2023012"</f>
        <v>2023012</v>
      </c>
      <c r="E1237" s="1" t="str">
        <f>"郑州澍青医学高等专科学校"</f>
        <v>郑州澍青医学高等专科学校</v>
      </c>
      <c r="F1237" s="1" t="str">
        <f>"医学影像技术"</f>
        <v>医学影像技术</v>
      </c>
      <c r="G1237" s="1" t="str">
        <f>"河南省南阳市淅川县"</f>
        <v>河南省南阳市淅川县</v>
      </c>
      <c r="H1237" s="1" t="str">
        <f>"影像技士"</f>
        <v>影像技士</v>
      </c>
      <c r="I1237" s="1" t="str">
        <f>"2020年9月1日就读于郑州澍青医学高等专科学校影像技术专业就读，是全日制，于2023年11月12日毕业至今在淅川县第二人民医院实习至今"</f>
        <v>2020年9月1日就读于郑州澍青医学高等专科学校影像技术专业就读，是全日制，于2023年11月12日毕业至今在淅川县第二人民医院实习至今</v>
      </c>
    </row>
    <row r="1238" spans="1:9">
      <c r="A1238" s="1" t="str">
        <f>"411327200208070025"</f>
        <v>411327200208070025</v>
      </c>
      <c r="B1238" s="1" t="str">
        <f t="shared" si="613"/>
        <v>共青团员</v>
      </c>
      <c r="C1238" s="1" t="str">
        <f t="shared" si="609"/>
        <v>专科</v>
      </c>
      <c r="D1238" s="1" t="str">
        <f>"202407001"</f>
        <v>202407001</v>
      </c>
      <c r="E1238" s="1" t="str">
        <f>"焦作大学"</f>
        <v>焦作大学</v>
      </c>
      <c r="F1238" s="1" t="str">
        <f>"法律事务"</f>
        <v>法律事务</v>
      </c>
      <c r="G1238" s="1" t="str">
        <f>"河南省南阳市内乡县金河家园"</f>
        <v>河南省南阳市内乡县金河家园</v>
      </c>
      <c r="H1238" s="1" t="str">
        <f t="shared" ref="H1238:H1247" si="614">"无"</f>
        <v>无</v>
      </c>
      <c r="I1238" s="1" t="str">
        <f>"202203-202407 焦作大学 ，否"</f>
        <v>202203-202407 焦作大学 ，否</v>
      </c>
    </row>
    <row r="1239" spans="1:9">
      <c r="A1239" s="1" t="str">
        <f>"412822199605255526"</f>
        <v>412822199605255526</v>
      </c>
      <c r="B1239" s="1" t="str">
        <f t="shared" si="613"/>
        <v>共青团员</v>
      </c>
      <c r="C1239" s="1" t="str">
        <f t="shared" ref="C1239:C1243" si="615">"本科"</f>
        <v>本科</v>
      </c>
      <c r="D1239" s="1" t="str">
        <f>"20210701"</f>
        <v>20210701</v>
      </c>
      <c r="E1239" s="1" t="str">
        <f>"郑州西亚斯学院"</f>
        <v>郑州西亚斯学院</v>
      </c>
      <c r="F1239" s="1" t="str">
        <f>"汉语言文学"</f>
        <v>汉语言文学</v>
      </c>
      <c r="G1239" s="1" t="str">
        <f>"河南省驻马店市泌阳县铜山乡铜峰村委铜山沟"</f>
        <v>河南省驻马店市泌阳县铜山乡铜峰村委铜山沟</v>
      </c>
      <c r="H1239" s="1" t="str">
        <f t="shared" si="614"/>
        <v>无</v>
      </c>
      <c r="I1239" s="1" t="str">
        <f>"201609-201906周口师范学院文学院语文教育专业就读 全日制
201909-202106郑州西亚斯学院教育学院汉语言文学专业就读 全日制
202109-202507在郑州工作"</f>
        <v>201609-201906周口师范学院文学院语文教育专业就读 全日制
201909-202106郑州西亚斯学院教育学院汉语言文学专业就读 全日制
202109-202507在郑州工作</v>
      </c>
    </row>
    <row r="1240" spans="1:9">
      <c r="A1240" s="1" t="str">
        <f>"411324200101010015"</f>
        <v>411324200101010015</v>
      </c>
      <c r="B1240" s="1" t="str">
        <f t="shared" si="612"/>
        <v>群众</v>
      </c>
      <c r="C1240" s="1" t="str">
        <f t="shared" ref="C1240:C1244" si="616">"专科"</f>
        <v>专科</v>
      </c>
      <c r="D1240" s="1" t="str">
        <f>"2023-07-01"</f>
        <v>2023-07-01</v>
      </c>
      <c r="E1240" s="1" t="str">
        <f>"河南职业技术学院"</f>
        <v>河南职业技术学院</v>
      </c>
      <c r="F1240" s="1" t="str">
        <f>"审计学"</f>
        <v>审计学</v>
      </c>
      <c r="G1240" s="1" t="str">
        <f>"南阳市镇平县西关村"</f>
        <v>南阳市镇平县西关村</v>
      </c>
      <c r="H1240" s="1" t="str">
        <f t="shared" si="614"/>
        <v>无</v>
      </c>
      <c r="I1240" s="1" t="str">
        <f>"20160901-20200607 镇平县第一高级中学
20210901-20230701 河南职业技术学院财经管理学院审计专业
202307-至今 待业"</f>
        <v>20160901-20200607 镇平县第一高级中学
20210901-20230701 河南职业技术学院财经管理学院审计专业
202307-至今 待业</v>
      </c>
    </row>
    <row r="1241" spans="1:9">
      <c r="A1241" s="1" t="str">
        <f>"410324199901113411"</f>
        <v>410324199901113411</v>
      </c>
      <c r="B1241" s="1" t="str">
        <f t="shared" si="612"/>
        <v>群众</v>
      </c>
      <c r="C1241" s="1" t="str">
        <f t="shared" si="616"/>
        <v>专科</v>
      </c>
      <c r="D1241" s="1" t="str">
        <f>"20220701"</f>
        <v>20220701</v>
      </c>
      <c r="E1241" s="1" t="str">
        <f>"驻马店职业技术学院"</f>
        <v>驻马店职业技术学院</v>
      </c>
      <c r="F1241" s="1" t="str">
        <f>"电子商务"</f>
        <v>电子商务</v>
      </c>
      <c r="G1241" s="1" t="str">
        <f>"河南省洛阳市栾川县陶湾镇"</f>
        <v>河南省洛阳市栾川县陶湾镇</v>
      </c>
      <c r="H1241" s="1" t="str">
        <f t="shared" si="614"/>
        <v>无</v>
      </c>
      <c r="I1241" s="1" t="str">
        <f>"201912-202207 驻马店职业技术学院 经济管理学院系电子商务专业就读，全日制学历
202207-202507 待业"</f>
        <v>201912-202207 驻马店职业技术学院 经济管理学院系电子商务专业就读，全日制学历
202207-202507 待业</v>
      </c>
    </row>
    <row r="1242" spans="1:9">
      <c r="A1242" s="1" t="str">
        <f>"411330200207162022"</f>
        <v>411330200207162022</v>
      </c>
      <c r="B1242" s="1" t="str">
        <f t="shared" ref="B1242:B1245" si="617">"共青团员"</f>
        <v>共青团员</v>
      </c>
      <c r="C1242" s="1" t="str">
        <f t="shared" si="615"/>
        <v>本科</v>
      </c>
      <c r="D1242" s="1" t="str">
        <f>"20240701"</f>
        <v>20240701</v>
      </c>
      <c r="E1242" s="1" t="str">
        <f>"河南城建学院"</f>
        <v>河南城建学院</v>
      </c>
      <c r="F1242" s="1" t="str">
        <f>"劳动与社会保障"</f>
        <v>劳动与社会保障</v>
      </c>
      <c r="G1242" s="1" t="str">
        <f>"河南省南阳市西峡县五里桥镇燕岗村上坑组"</f>
        <v>河南省南阳市西峡县五里桥镇燕岗村上坑组</v>
      </c>
      <c r="H1242" s="1" t="str">
        <f t="shared" si="614"/>
        <v>无</v>
      </c>
      <c r="I1242" s="1" t="str">
        <f>"202009-202406于河南城建学院管理学院劳动与社会保障专业就读。毕业后处于待业状态，"</f>
        <v>202009-202406于河南城建学院管理学院劳动与社会保障专业就读。毕业后处于待业状态，</v>
      </c>
    </row>
    <row r="1243" spans="1:9">
      <c r="A1243" s="1" t="str">
        <f>"411324200303290019"</f>
        <v>411324200303290019</v>
      </c>
      <c r="B1243" s="1" t="str">
        <f>"中共预备党员"</f>
        <v>中共预备党员</v>
      </c>
      <c r="C1243" s="1" t="str">
        <f t="shared" si="615"/>
        <v>本科</v>
      </c>
      <c r="D1243" s="1" t="str">
        <f>"20250701"</f>
        <v>20250701</v>
      </c>
      <c r="E1243" s="1" t="str">
        <f>"黄河科技学院"</f>
        <v>黄河科技学院</v>
      </c>
      <c r="F1243" s="1" t="str">
        <f>"电子信息工程"</f>
        <v>电子信息工程</v>
      </c>
      <c r="G1243" s="1" t="str">
        <f>"河南省镇平县枣园镇坤张31号"</f>
        <v>河南省镇平县枣园镇坤张31号</v>
      </c>
      <c r="H1243" s="1" t="str">
        <f t="shared" si="614"/>
        <v>无</v>
      </c>
      <c r="I1243" s="1" t="str">
        <f>"202109-202507黄河科技学院 就读"</f>
        <v>202109-202507黄河科技学院 就读</v>
      </c>
    </row>
    <row r="1244" spans="1:9">
      <c r="A1244" s="1" t="str">
        <f>"41132720001123003X"</f>
        <v>41132720001123003X</v>
      </c>
      <c r="B1244" s="1" t="str">
        <f t="shared" si="617"/>
        <v>共青团员</v>
      </c>
      <c r="C1244" s="1" t="str">
        <f t="shared" si="616"/>
        <v>专科</v>
      </c>
      <c r="D1244" s="1" t="str">
        <f>"20220720"</f>
        <v>20220720</v>
      </c>
      <c r="E1244" s="1" t="str">
        <f>"国家开放大学"</f>
        <v>国家开放大学</v>
      </c>
      <c r="F1244" s="1" t="str">
        <f>"法律事务"</f>
        <v>法律事务</v>
      </c>
      <c r="G1244" s="1" t="str">
        <f>"河南省南阳市内乡县五小后大门"</f>
        <v>河南省南阳市内乡县五小后大门</v>
      </c>
      <c r="H1244" s="1" t="str">
        <f t="shared" si="614"/>
        <v>无</v>
      </c>
      <c r="I1244" s="1" t="str">
        <f>"201809-202309入伍在部队当兵，2018-09-2022-07国家开发大学，不是全日制。"</f>
        <v>201809-202309入伍在部队当兵，2018-09-2022-07国家开发大学，不是全日制。</v>
      </c>
    </row>
    <row r="1245" spans="1:9">
      <c r="A1245" s="1" t="str">
        <f>"410581199906226050"</f>
        <v>410581199906226050</v>
      </c>
      <c r="B1245" s="1" t="str">
        <f t="shared" si="617"/>
        <v>共青团员</v>
      </c>
      <c r="C1245" s="1" t="str">
        <f t="shared" ref="C1245:C1250" si="618">"本科"</f>
        <v>本科</v>
      </c>
      <c r="D1245" s="1" t="str">
        <f>"20220701"</f>
        <v>20220701</v>
      </c>
      <c r="E1245" s="1" t="str">
        <f>"郑州科技学院"</f>
        <v>郑州科技学院</v>
      </c>
      <c r="F1245" s="1" t="str">
        <f>"环境设计"</f>
        <v>环境设计</v>
      </c>
      <c r="G1245" s="1" t="str">
        <f>"河南省林州市东岗镇杨家寨村"</f>
        <v>河南省林州市东岗镇杨家寨村</v>
      </c>
      <c r="H1245" s="1" t="str">
        <f t="shared" si="614"/>
        <v>无</v>
      </c>
      <c r="I1245" s="1" t="str">
        <f>"20180901-20220701 郑州科技学院就读 全日制学历"</f>
        <v>20180901-20220701 郑州科技学院就读 全日制学历</v>
      </c>
    </row>
    <row r="1246" spans="1:9">
      <c r="A1246" s="1" t="str">
        <f>"342921200001212417"</f>
        <v>342921200001212417</v>
      </c>
      <c r="B1246" s="1" t="str">
        <f t="shared" ref="B1246:B1249" si="619">"群众"</f>
        <v>群众</v>
      </c>
      <c r="C1246" s="1" t="str">
        <f>"硕士研究生"</f>
        <v>硕士研究生</v>
      </c>
      <c r="D1246" s="1" t="str">
        <f>"20250630"</f>
        <v>20250630</v>
      </c>
      <c r="E1246" s="1" t="str">
        <f>"西安电子科技大学"</f>
        <v>西安电子科技大学</v>
      </c>
      <c r="F1246" s="1" t="str">
        <f>"金融"</f>
        <v>金融</v>
      </c>
      <c r="G1246" s="1" t="str">
        <f>"安徽省池州市东至县尧渡镇西湖巷"</f>
        <v>安徽省池州市东至县尧渡镇西湖巷</v>
      </c>
      <c r="H1246" s="1" t="str">
        <f t="shared" si="614"/>
        <v>无</v>
      </c>
      <c r="I1246" s="1" t="str">
        <f>"201809-202206  安徽财经大学金融学院金融工程  就读  全日制本科
202209-202506  西安电子科技大学经济与管理学院金融  就读  全日制硕士"</f>
        <v>201809-202206  安徽财经大学金融学院金融工程  就读  全日制本科
202209-202506  西安电子科技大学经济与管理学院金融  就读  全日制硕士</v>
      </c>
    </row>
    <row r="1247" spans="1:9">
      <c r="A1247" s="1" t="str">
        <f>"410825199208111542"</f>
        <v>410825199208111542</v>
      </c>
      <c r="B1247" s="1" t="str">
        <f t="shared" ref="B1247:B1251" si="620">"中共党员"</f>
        <v>中共党员</v>
      </c>
      <c r="C1247" s="1" t="str">
        <f t="shared" si="618"/>
        <v>本科</v>
      </c>
      <c r="D1247" s="1" t="str">
        <f>"2018.07"</f>
        <v>2018.07</v>
      </c>
      <c r="E1247" s="1" t="str">
        <f>"南阳师范学院"</f>
        <v>南阳师范学院</v>
      </c>
      <c r="F1247" s="1" t="str">
        <f>"汉语言文学"</f>
        <v>汉语言文学</v>
      </c>
      <c r="G1247" s="1" t="str">
        <f>"河南省温县祥云镇北贾村经二路三街13号"</f>
        <v>河南省温县祥云镇北贾村经二路三街13号</v>
      </c>
      <c r="H1247" s="1" t="str">
        <f t="shared" si="614"/>
        <v>无</v>
      </c>
      <c r="I1247" s="1" t="str">
        <f>"2013.09-2016.07洛阳理工学院，文秘专业就读全日制
2016.09-2018.07南阳师范学院，汉语言文学专业就读全日制
2018.07-至今温县辅导机构就读"</f>
        <v>2013.09-2016.07洛阳理工学院，文秘专业就读全日制
2016.09-2018.07南阳师范学院，汉语言文学专业就读全日制
2018.07-至今温县辅导机构就读</v>
      </c>
    </row>
    <row r="1248" spans="1:9">
      <c r="A1248" s="1" t="str">
        <f>"411381199311250318"</f>
        <v>411381199311250318</v>
      </c>
      <c r="B1248" s="1" t="str">
        <f t="shared" si="619"/>
        <v>群众</v>
      </c>
      <c r="C1248" s="1" t="str">
        <f t="shared" si="618"/>
        <v>本科</v>
      </c>
      <c r="D1248" s="1" t="str">
        <f>"20191230"</f>
        <v>20191230</v>
      </c>
      <c r="E1248" s="1" t="str">
        <f>"中国地质大学（武汉）"</f>
        <v>中国地质大学（武汉）</v>
      </c>
      <c r="F1248" s="1" t="str">
        <f>"工程管理"</f>
        <v>工程管理</v>
      </c>
      <c r="G1248" s="1" t="str">
        <f>"邓州市名仕豪庭"</f>
        <v>邓州市名仕豪庭</v>
      </c>
      <c r="H1248" s="1" t="str">
        <f>"助理工程师"</f>
        <v>助理工程师</v>
      </c>
      <c r="I1248" s="1" t="str">
        <f>"201009-201306 在湖北国土资源职业学院就读工程测量专业全日制学历
201309-201912在中国地质大学（武汉）就读工程管理专业非全日制本科
"</f>
        <v>201009-201306 在湖北国土资源职业学院就读工程测量专业全日制学历
201309-201912在中国地质大学（武汉）就读工程管理专业非全日制本科
</v>
      </c>
    </row>
    <row r="1249" spans="1:9">
      <c r="A1249" s="1" t="str">
        <f>"411327200009202523"</f>
        <v>411327200009202523</v>
      </c>
      <c r="B1249" s="1" t="str">
        <f t="shared" si="619"/>
        <v>群众</v>
      </c>
      <c r="C1249" s="1" t="str">
        <f t="shared" si="618"/>
        <v>本科</v>
      </c>
      <c r="D1249" s="1" t="str">
        <f>"20220701"</f>
        <v>20220701</v>
      </c>
      <c r="E1249" s="1" t="str">
        <f>"商丘学院"</f>
        <v>商丘学院</v>
      </c>
      <c r="F1249" s="1" t="str">
        <f>"会计学"</f>
        <v>会计学</v>
      </c>
      <c r="G1249" s="1" t="str">
        <f>"河南省南阳市内乡县王店镇"</f>
        <v>河南省南阳市内乡县王店镇</v>
      </c>
      <c r="H1249" s="1" t="str">
        <f>"初级会计证"</f>
        <v>初级会计证</v>
      </c>
      <c r="I1249" s="1" t="str">
        <f>"201809-202207商丘学院应用科技学院会计学专业全日制就读。
202208-202301内乡县待业。
202302-202502在内乡县泰隆集团有限公司任会计一职。
202502-至今内乡县待业。"</f>
        <v>201809-202207商丘学院应用科技学院会计学专业全日制就读。
202208-202301内乡县待业。
202302-202502在内乡县泰隆集团有限公司任会计一职。
202502-至今内乡县待业。</v>
      </c>
    </row>
    <row r="1250" spans="1:9">
      <c r="A1250" s="1" t="str">
        <f>"412828200108031218"</f>
        <v>412828200108031218</v>
      </c>
      <c r="B1250" s="1" t="str">
        <f t="shared" si="620"/>
        <v>中共党员</v>
      </c>
      <c r="C1250" s="1" t="str">
        <f t="shared" si="618"/>
        <v>本科</v>
      </c>
      <c r="D1250" s="1" t="str">
        <f>"20250701"</f>
        <v>20250701</v>
      </c>
      <c r="E1250" s="1" t="str">
        <f>"广州理工学院"</f>
        <v>广州理工学院</v>
      </c>
      <c r="F1250" s="1" t="str">
        <f>"物联网工程"</f>
        <v>物联网工程</v>
      </c>
      <c r="G1250" s="1" t="str">
        <f>"河南省驻马店市新蔡县顿岗乡祖师庙村委闫楼"</f>
        <v>河南省驻马店市新蔡县顿岗乡祖师庙村委闫楼</v>
      </c>
      <c r="H1250" s="1" t="str">
        <f t="shared" ref="H1250:H1252" si="621">"无"</f>
        <v>无</v>
      </c>
      <c r="I1250" s="1" t="str">
        <f>"202009-202307  中山职业技术学院 就读 信息工程学院人工智能技术服务专业  全日制学历
 202309-202507 广州理工学院就读智能制造与电气工程学院物联网工程专业     全日制学历"</f>
        <v>202009-202307  中山职业技术学院 就读 信息工程学院人工智能技术服务专业  全日制学历
 202309-202507 广州理工学院就读智能制造与电气工程学院物联网工程专业     全日制学历</v>
      </c>
    </row>
    <row r="1251" spans="1:9">
      <c r="A1251" s="1" t="str">
        <f>"411524199811137622"</f>
        <v>411524199811137622</v>
      </c>
      <c r="B1251" s="1" t="str">
        <f t="shared" si="620"/>
        <v>中共党员</v>
      </c>
      <c r="C1251" s="1" t="str">
        <f>"硕士研究生"</f>
        <v>硕士研究生</v>
      </c>
      <c r="D1251" s="1" t="str">
        <f>"20240630"</f>
        <v>20240630</v>
      </c>
      <c r="E1251" s="1" t="str">
        <f>"广东海洋大学"</f>
        <v>广东海洋大学</v>
      </c>
      <c r="F1251" s="1" t="str">
        <f>"渔业发展"</f>
        <v>渔业发展</v>
      </c>
      <c r="G1251" s="1" t="str">
        <f>"河南省信阳市商城县赤城街道易小桥菜市场"</f>
        <v>河南省信阳市商城县赤城街道易小桥菜市场</v>
      </c>
      <c r="H1251" s="1" t="str">
        <f t="shared" si="621"/>
        <v>无</v>
      </c>
      <c r="I1251" s="1" t="str">
        <f>"201709-202106河南科技大学动物科技学院动物药学就读，全日制
202109-202406广东海洋大学水产学院渔业发展读研究生，全日制
"</f>
        <v>201709-202106河南科技大学动物科技学院动物药学就读，全日制
202109-202406广东海洋大学水产学院渔业发展读研究生，全日制
</v>
      </c>
    </row>
    <row r="1252" spans="1:9">
      <c r="A1252" s="1" t="str">
        <f>"411327200002050045"</f>
        <v>411327200002050045</v>
      </c>
      <c r="B1252" s="1" t="str">
        <f>"共青团员"</f>
        <v>共青团员</v>
      </c>
      <c r="C1252" s="1" t="str">
        <f t="shared" ref="C1252:C1259" si="622">"本科"</f>
        <v>本科</v>
      </c>
      <c r="D1252" s="1" t="str">
        <f>"20220701"</f>
        <v>20220701</v>
      </c>
      <c r="E1252" s="1" t="str">
        <f>"河南大学民生学院"</f>
        <v>河南大学民生学院</v>
      </c>
      <c r="F1252" s="1" t="str">
        <f>"汉语言文学"</f>
        <v>汉语言文学</v>
      </c>
      <c r="G1252" s="1" t="str">
        <f>"河南省南阳市内乡县郦都国际1期"</f>
        <v>河南省南阳市内乡县郦都国际1期</v>
      </c>
      <c r="H1252" s="1" t="str">
        <f t="shared" si="621"/>
        <v>无</v>
      </c>
      <c r="I1252" s="1" t="str">
        <f>"201809-202207 河南大学民生学院 就读
202210-至今      内乡县瓦亭镇人民政府 工作 "</f>
        <v>201809-202207 河南大学民生学院 就读
202210-至今      内乡县瓦亭镇人民政府 工作 </v>
      </c>
    </row>
    <row r="1253" spans="1:9">
      <c r="A1253" s="1" t="str">
        <f>"411324199901222221"</f>
        <v>411324199901222221</v>
      </c>
      <c r="B1253" s="1" t="str">
        <f>"中共党员"</f>
        <v>中共党员</v>
      </c>
      <c r="C1253" s="1" t="str">
        <f t="shared" si="622"/>
        <v>本科</v>
      </c>
      <c r="D1253" s="1" t="str">
        <f>"20210607"</f>
        <v>20210607</v>
      </c>
      <c r="E1253" s="1" t="str">
        <f>"北华大学"</f>
        <v>北华大学</v>
      </c>
      <c r="F1253" s="1" t="str">
        <f>"测控技术与仪器"</f>
        <v>测控技术与仪器</v>
      </c>
      <c r="G1253" s="1" t="str">
        <f>"河南省南阳市宇信凯旋城"</f>
        <v>河南省南阳市宇信凯旋城</v>
      </c>
      <c r="H1253" s="1" t="str">
        <f>"初级工程师"</f>
        <v>初级工程师</v>
      </c>
      <c r="I1253" s="1" t="str">
        <f>"201709-202106 北华大学测控技术与仪器专业就读 全日制学历
202106-202309  苏州五方光电材料有限公司担任研发工程师
202309-至今       聚爱数字科技有限公司担任区域运营岗"</f>
        <v>201709-202106 北华大学测控技术与仪器专业就读 全日制学历
202106-202309  苏州五方光电材料有限公司担任研发工程师
202309-至今       聚爱数字科技有限公司担任区域运营岗</v>
      </c>
    </row>
    <row r="1254" spans="1:9">
      <c r="A1254" s="1" t="str">
        <f>"41132219920704424X"</f>
        <v>41132219920704424X</v>
      </c>
      <c r="B1254" s="1" t="str">
        <f t="shared" ref="B1254:B1260" si="623">"群众"</f>
        <v>群众</v>
      </c>
      <c r="C1254" s="1" t="str">
        <f t="shared" si="622"/>
        <v>本科</v>
      </c>
      <c r="D1254" s="1" t="str">
        <f>"20170701"</f>
        <v>20170701</v>
      </c>
      <c r="E1254" s="1" t="str">
        <f>"安阳师范学院"</f>
        <v>安阳师范学院</v>
      </c>
      <c r="F1254" s="1" t="str">
        <f>"物联网工程"</f>
        <v>物联网工程</v>
      </c>
      <c r="G1254" s="1" t="str">
        <f>"河南省南阳市内乡县建业三期"</f>
        <v>河南省南阳市内乡县建业三期</v>
      </c>
      <c r="H1254" s="1" t="str">
        <f t="shared" ref="H1254:H1259" si="624">"无"</f>
        <v>无</v>
      </c>
      <c r="I1254" s="1" t="str">
        <f>"20130901-20170701安阳师范学院人文管理学院数学系就读物联网工程专业；全日制学历。"</f>
        <v>20130901-20170701安阳师范学院人文管理学院数学系就读物联网工程专业；全日制学历。</v>
      </c>
    </row>
    <row r="1255" spans="1:9">
      <c r="A1255" s="1" t="str">
        <f>"411330199809150824"</f>
        <v>411330199809150824</v>
      </c>
      <c r="B1255" s="1" t="str">
        <f>"共青团员"</f>
        <v>共青团员</v>
      </c>
      <c r="C1255" s="1" t="str">
        <f t="shared" si="622"/>
        <v>本科</v>
      </c>
      <c r="D1255" s="1" t="str">
        <f>"20220701"</f>
        <v>20220701</v>
      </c>
      <c r="E1255" s="1" t="str">
        <f>"黄河科技学院"</f>
        <v>黄河科技学院</v>
      </c>
      <c r="F1255" s="1" t="str">
        <f>"工商管理"</f>
        <v>工商管理</v>
      </c>
      <c r="G1255" s="1" t="str">
        <f>"河南省西峡县阳城乡后营村"</f>
        <v>河南省西峡县阳城乡后营村</v>
      </c>
      <c r="H1255" s="1" t="str">
        <f t="shared" si="624"/>
        <v>无</v>
      </c>
      <c r="I1255" s="1" t="str">
        <f>"201709-202007河南机电职业学院汽车工程学院汽车营销与服务 全日制
202009-202207黄河科技学院商学院工商管理 全日制"</f>
        <v>201709-202007河南机电职业学院汽车工程学院汽车营销与服务 全日制
202009-202207黄河科技学院商学院工商管理 全日制</v>
      </c>
    </row>
    <row r="1256" spans="1:9">
      <c r="A1256" s="1" t="str">
        <f>"411381199111144836"</f>
        <v>411381199111144836</v>
      </c>
      <c r="B1256" s="1" t="str">
        <f>"中共党员"</f>
        <v>中共党员</v>
      </c>
      <c r="C1256" s="1" t="str">
        <f t="shared" si="622"/>
        <v>本科</v>
      </c>
      <c r="D1256" s="1" t="str">
        <f>"20121230"</f>
        <v>20121230</v>
      </c>
      <c r="E1256" s="1" t="str">
        <f>"南京政治学院"</f>
        <v>南京政治学院</v>
      </c>
      <c r="F1256" s="1" t="str">
        <f>"经济与行政管理"</f>
        <v>经济与行政管理</v>
      </c>
      <c r="G1256" s="1" t="str">
        <f>"河南省邓州市北京大道皇马国际北门商业街二楼蔚蓝广告"</f>
        <v>河南省邓州市北京大道皇马国际北门商业街二楼蔚蓝广告</v>
      </c>
      <c r="H1256" s="1" t="str">
        <f>"精密仪器与维修 中级"</f>
        <v>精密仪器与维修 中级</v>
      </c>
      <c r="I1256" s="1" t="str">
        <f>"201009-201306武汉军械士官院校光电系精密仪器与维修全日制大专
201012-201212南京政治学院经济与行政管理自考本科
201306-201612北部战区65737部队72分队
201703-202007北京天成宏业有限公司办公室主任
202101-202503自主创业"</f>
        <v>201009-201306武汉军械士官院校光电系精密仪器与维修全日制大专
201012-201212南京政治学院经济与行政管理自考本科
201306-201612北部战区65737部队72分队
201703-202007北京天成宏业有限公司办公室主任
202101-202503自主创业</v>
      </c>
    </row>
    <row r="1257" spans="1:9">
      <c r="A1257" s="1" t="str">
        <f>"411327200310090620"</f>
        <v>411327200310090620</v>
      </c>
      <c r="B1257" s="1" t="str">
        <f t="shared" si="623"/>
        <v>群众</v>
      </c>
      <c r="C1257" s="1" t="str">
        <f t="shared" si="622"/>
        <v>本科</v>
      </c>
      <c r="D1257" s="1" t="str">
        <f>"20250630"</f>
        <v>20250630</v>
      </c>
      <c r="E1257" s="1" t="str">
        <f>"新乡学院"</f>
        <v>新乡学院</v>
      </c>
      <c r="F1257" s="1" t="str">
        <f>"广播电视编导"</f>
        <v>广播电视编导</v>
      </c>
      <c r="G1257" s="1" t="str">
        <f>"河南省南阳市内乡县马山口镇朱庙村"</f>
        <v>河南省南阳市内乡县马山口镇朱庙村</v>
      </c>
      <c r="H1257" s="1" t="str">
        <f t="shared" si="624"/>
        <v>无</v>
      </c>
      <c r="I1257" s="1" t="str">
        <f>"202109-202506 新乡学院 新闻传播学院就读广播电视编导专业，为全日制本科学历。"</f>
        <v>202109-202506 新乡学院 新闻传播学院就读广播电视编导专业，为全日制本科学历。</v>
      </c>
    </row>
    <row r="1258" spans="1:9">
      <c r="A1258" s="1" t="str">
        <f>"411303200105196767"</f>
        <v>411303200105196767</v>
      </c>
      <c r="B1258" s="1" t="str">
        <f t="shared" si="623"/>
        <v>群众</v>
      </c>
      <c r="C1258" s="1" t="str">
        <f t="shared" si="622"/>
        <v>本科</v>
      </c>
      <c r="D1258" s="1" t="str">
        <f>"20240701"</f>
        <v>20240701</v>
      </c>
      <c r="E1258" s="1" t="str">
        <f>"郑州商学院"</f>
        <v>郑州商学院</v>
      </c>
      <c r="F1258" s="1" t="str">
        <f>"汉语言文学"</f>
        <v>汉语言文学</v>
      </c>
      <c r="G1258" s="1" t="str">
        <f>"河南省南阳市卧龙区潦河坡镇闫沟村碾盘庄"</f>
        <v>河南省南阳市卧龙区潦河坡镇闫沟村碾盘庄</v>
      </c>
      <c r="H1258" s="1" t="str">
        <f t="shared" si="624"/>
        <v>无</v>
      </c>
      <c r="I1258" s="1" t="str">
        <f>"202009-202407 郑州商学院文学与新闻传播学院汉语言文学专业 就读，是全日制学历"</f>
        <v>202009-202407 郑州商学院文学与新闻传播学院汉语言文学专业 就读，是全日制学历</v>
      </c>
    </row>
    <row r="1259" spans="1:9">
      <c r="A1259" s="1" t="str">
        <f>"411324199802030929"</f>
        <v>411324199802030929</v>
      </c>
      <c r="B1259" s="1" t="str">
        <f t="shared" si="623"/>
        <v>群众</v>
      </c>
      <c r="C1259" s="1" t="str">
        <f t="shared" si="622"/>
        <v>本科</v>
      </c>
      <c r="D1259" s="1" t="str">
        <f>"20230710"</f>
        <v>20230710</v>
      </c>
      <c r="E1259" s="1" t="str">
        <f>"西安工业大学"</f>
        <v>西安工业大学</v>
      </c>
      <c r="F1259" s="1" t="str">
        <f>"经济学"</f>
        <v>经济学</v>
      </c>
      <c r="G1259" s="1" t="str">
        <f>"河南省南阳市镇平县柳泉铺乡任家庄村"</f>
        <v>河南省南阳市镇平县柳泉铺乡任家庄村</v>
      </c>
      <c r="H1259" s="1" t="str">
        <f t="shared" si="624"/>
        <v>无</v>
      </c>
      <c r="I1259" s="1" t="str">
        <f>"201609-201907  安阳工学院应用英语专业就读  全日制
201909-202111   南阳新学堂教育任英语教师
202112-202206   镇平涅阳四小任英语教师
202103-202307   西安工业大学经济学就读  非全日制
202211至今   中乔体育有限公司工作
"</f>
        <v>201609-201907  安阳工学院应用英语专业就读  全日制
201909-202111   南阳新学堂教育任英语教师
202112-202206   镇平涅阳四小任英语教师
202103-202307   西安工业大学经济学就读  非全日制
202211至今   中乔体育有限公司工作
</v>
      </c>
    </row>
    <row r="1260" spans="1:9">
      <c r="A1260" s="1" t="str">
        <f>"411327200007103927"</f>
        <v>411327200007103927</v>
      </c>
      <c r="B1260" s="1" t="str">
        <f t="shared" si="623"/>
        <v>群众</v>
      </c>
      <c r="C1260" s="1" t="str">
        <f t="shared" ref="C1260:C1263" si="625">"专科"</f>
        <v>专科</v>
      </c>
      <c r="D1260" s="1" t="str">
        <f>"2021.07.10"</f>
        <v>2021.07.10</v>
      </c>
      <c r="E1260" s="1" t="str">
        <f>"三门峡职业技术学院"</f>
        <v>三门峡职业技术学院</v>
      </c>
      <c r="F1260" s="1" t="str">
        <f>"护理学"</f>
        <v>护理学</v>
      </c>
      <c r="G1260" s="1" t="str">
        <f>"河南南阳"</f>
        <v>河南南阳</v>
      </c>
      <c r="H1260" s="1" t="str">
        <f>"护士资格证，护士执业证"</f>
        <v>护士资格证，护士执业证</v>
      </c>
      <c r="I1260" s="1" t="str">
        <f>"2018.9.10至2021.7.10就读于三门峡职业技术学院医护专业
全日制学历"</f>
        <v>2018.9.10至2021.7.10就读于三门峡职业技术学院医护专业
全日制学历</v>
      </c>
    </row>
    <row r="1261" spans="1:9">
      <c r="A1261" s="1" t="str">
        <f>"411303200304170375"</f>
        <v>411303200304170375</v>
      </c>
      <c r="B1261" s="1" t="str">
        <f>"中共党员"</f>
        <v>中共党员</v>
      </c>
      <c r="C1261" s="1" t="str">
        <f t="shared" ref="C1261:C1267" si="626">"本科"</f>
        <v>本科</v>
      </c>
      <c r="D1261" s="1" t="str">
        <f>"20210610"</f>
        <v>20210610</v>
      </c>
      <c r="E1261" s="1" t="str">
        <f>"河南牧业经济学院"</f>
        <v>河南牧业经济学院</v>
      </c>
      <c r="F1261" s="1" t="str">
        <f>"工商管理"</f>
        <v>工商管理</v>
      </c>
      <c r="G1261" s="1" t="str">
        <f>"河南省南阳市"</f>
        <v>河南省南阳市</v>
      </c>
      <c r="H1261" s="1" t="str">
        <f>"企业人力资源管理师四级证书"</f>
        <v>企业人力资源管理师四级证书</v>
      </c>
      <c r="I1261" s="1" t="str">
        <f>"202109-202506河南牧业经济学院工商管理学院工商管理专业就读，是全日制学历"</f>
        <v>202109-202506河南牧业经济学院工商管理学院工商管理专业就读，是全日制学历</v>
      </c>
    </row>
    <row r="1262" spans="1:9">
      <c r="A1262" s="1" t="str">
        <f>"411303200409290197"</f>
        <v>411303200409290197</v>
      </c>
      <c r="B1262" s="1" t="str">
        <f t="shared" ref="B1262:B1270" si="627">"群众"</f>
        <v>群众</v>
      </c>
      <c r="C1262" s="1" t="str">
        <f t="shared" si="625"/>
        <v>专科</v>
      </c>
      <c r="D1262" s="1" t="str">
        <f>"2025-06-30"</f>
        <v>2025-06-30</v>
      </c>
      <c r="E1262" s="1" t="str">
        <f>"河南工业贸易职业学院"</f>
        <v>河南工业贸易职业学院</v>
      </c>
      <c r="F1262" s="1" t="str">
        <f>"大数据与财务管理"</f>
        <v>大数据与财务管理</v>
      </c>
      <c r="G1262" s="1" t="str">
        <f>"河南省南阳市卧龙区王村乡鱼池村岗坡"</f>
        <v>河南省南阳市卧龙区王村乡鱼池村岗坡</v>
      </c>
      <c r="H1262" s="1" t="str">
        <f t="shared" ref="H1262:H1265" si="628">"无"</f>
        <v>无</v>
      </c>
      <c r="I1262" s="1" t="str">
        <f>"2010年9月-2016年6月 河南省南阳市九隆实验小学 就读 全日制
2016年9月-2018年6月 河南省南阳市十二中新校区 就读 全日制
2018年9月-2022年6月 河南省南阳市汉冶高中        就读 全日制
2022年9月-2025年6月 河南工业贸易职业学院        就读 全日制"</f>
        <v>2010年9月-2016年6月 河南省南阳市九隆实验小学 就读 全日制
2016年9月-2018年6月 河南省南阳市十二中新校区 就读 全日制
2018年9月-2022年6月 河南省南阳市汉冶高中        就读 全日制
2022年9月-2025年6月 河南工业贸易职业学院        就读 全日制</v>
      </c>
    </row>
    <row r="1263" spans="1:9">
      <c r="A1263" s="1" t="str">
        <f>"410329200012249586"</f>
        <v>410329200012249586</v>
      </c>
      <c r="B1263" s="1" t="str">
        <f>"共青团员"</f>
        <v>共青团员</v>
      </c>
      <c r="C1263" s="1" t="str">
        <f t="shared" si="625"/>
        <v>专科</v>
      </c>
      <c r="D1263" s="1" t="str">
        <f>"20230630"</f>
        <v>20230630</v>
      </c>
      <c r="E1263" s="1" t="str">
        <f>"河南工程学院"</f>
        <v>河南工程学院</v>
      </c>
      <c r="F1263" s="1" t="str">
        <f>"人物形象设计"</f>
        <v>人物形象设计</v>
      </c>
      <c r="G1263" s="1" t="str">
        <f>"河南省洛阳市伊川县白沙乡程子沟村"</f>
        <v>河南省洛阳市伊川县白沙乡程子沟村</v>
      </c>
      <c r="H1263" s="1" t="str">
        <f>"色彩搭配师四级"</f>
        <v>色彩搭配师四级</v>
      </c>
      <c r="I1263" s="1" t="str">
        <f>"202009-202306河南工程学院服装学院人物形象设计专业就读全日制专科
202306-至今待业"</f>
        <v>202009-202306河南工程学院服装学院人物形象设计专业就读全日制专科
202306-至今待业</v>
      </c>
    </row>
    <row r="1264" spans="1:9">
      <c r="A1264" s="1" t="str">
        <f>"411326200005145115"</f>
        <v>411326200005145115</v>
      </c>
      <c r="B1264" s="1" t="str">
        <f>"共青团员"</f>
        <v>共青团员</v>
      </c>
      <c r="C1264" s="1" t="str">
        <f t="shared" si="626"/>
        <v>本科</v>
      </c>
      <c r="D1264" s="1" t="str">
        <f>"20230630"</f>
        <v>20230630</v>
      </c>
      <c r="E1264" s="1" t="str">
        <f>"重庆机电职业技术大学"</f>
        <v>重庆机电职业技术大学</v>
      </c>
      <c r="F1264" s="1" t="str">
        <f>"工程造价"</f>
        <v>工程造价</v>
      </c>
      <c r="G1264" s="1" t="str">
        <f>"河南省南召县体育管理中心对面"</f>
        <v>河南省南召县体育管理中心对面</v>
      </c>
      <c r="H1264" s="1" t="str">
        <f t="shared" si="628"/>
        <v>无</v>
      </c>
      <c r="I1264" s="1" t="str">
        <f>"201909—202306重庆机电职业技术大学人居环境学院工程造价专业就读，全日制本科学历
202306-至今 南召待业"</f>
        <v>201909—202306重庆机电职业技术大学人居环境学院工程造价专业就读，全日制本科学历
202306-至今 南召待业</v>
      </c>
    </row>
    <row r="1265" spans="1:9">
      <c r="A1265" s="1" t="str">
        <f>"411327200111021139"</f>
        <v>411327200111021139</v>
      </c>
      <c r="B1265" s="1" t="str">
        <f t="shared" si="627"/>
        <v>群众</v>
      </c>
      <c r="C1265" s="1" t="str">
        <f t="shared" si="626"/>
        <v>本科</v>
      </c>
      <c r="D1265" s="1" t="str">
        <f>"20250310"</f>
        <v>20250310</v>
      </c>
      <c r="E1265" s="1" t="str">
        <f>"辽宁何氏医学院"</f>
        <v>辽宁何氏医学院</v>
      </c>
      <c r="F1265" s="1" t="str">
        <f>"应用心理学"</f>
        <v>应用心理学</v>
      </c>
      <c r="G1265" s="1" t="str">
        <f>"河南省南阳市内乡县赤眉镇齐营村"</f>
        <v>河南省南阳市内乡县赤眉镇齐营村</v>
      </c>
      <c r="H1265" s="1" t="str">
        <f t="shared" si="628"/>
        <v>无</v>
      </c>
      <c r="I1265" s="1" t="str">
        <f>"201908-202503 辽宁何氏医学院应用心理学 就读 是全日制学历"</f>
        <v>201908-202503 辽宁何氏医学院应用心理学 就读 是全日制学历</v>
      </c>
    </row>
    <row r="1266" spans="1:9">
      <c r="A1266" s="1" t="str">
        <f>"411327199911262031"</f>
        <v>411327199911262031</v>
      </c>
      <c r="B1266" s="1" t="str">
        <f t="shared" si="627"/>
        <v>群众</v>
      </c>
      <c r="C1266" s="1" t="str">
        <f t="shared" si="626"/>
        <v>本科</v>
      </c>
      <c r="D1266" s="1" t="str">
        <f>"20220630"</f>
        <v>20220630</v>
      </c>
      <c r="E1266" s="1" t="str">
        <f>"云南师范大学商学院"</f>
        <v>云南师范大学商学院</v>
      </c>
      <c r="F1266" s="1" t="str">
        <f>"会计学"</f>
        <v>会计学</v>
      </c>
      <c r="G1266" s="1" t="str">
        <f>"南阳市内乡县城关镇一所组144号"</f>
        <v>南阳市内乡县城关镇一所组144号</v>
      </c>
      <c r="H1266" s="1" t="str">
        <f>"初级会计师"</f>
        <v>初级会计师</v>
      </c>
      <c r="I1266" s="1" t="str">
        <f>"201809-202206  云南师范大学商学院会计学  全日制本科"</f>
        <v>201809-202206  云南师范大学商学院会计学  全日制本科</v>
      </c>
    </row>
    <row r="1267" spans="1:9">
      <c r="A1267" s="1" t="str">
        <f>"411622199606084018"</f>
        <v>411622199606084018</v>
      </c>
      <c r="B1267" s="1" t="str">
        <f t="shared" si="627"/>
        <v>群众</v>
      </c>
      <c r="C1267" s="1" t="str">
        <f t="shared" si="626"/>
        <v>本科</v>
      </c>
      <c r="D1267" s="1" t="str">
        <f>"20210701"</f>
        <v>20210701</v>
      </c>
      <c r="E1267" s="1" t="str">
        <f>"黄河科技学院"</f>
        <v>黄河科技学院</v>
      </c>
      <c r="F1267" s="1" t="str">
        <f>"数据科学与大数据技术"</f>
        <v>数据科学与大数据技术</v>
      </c>
      <c r="G1267" s="1" t="str">
        <f>"河南省周口市西华县聂堆镇"</f>
        <v>河南省周口市西华县聂堆镇</v>
      </c>
      <c r="H1267" s="1" t="str">
        <f t="shared" ref="H1267:H1271" si="629">"无"</f>
        <v>无</v>
      </c>
      <c r="I1267" s="1" t="str">
        <f>"201709-202107 黄河科技学院工学部数据科学与大数据技术专业就读，是全日制；
202107-至今 在富联裕展科技（河南）有限公司工作，岗位为行政管理"</f>
        <v>201709-202107 黄河科技学院工学部数据科学与大数据技术专业就读，是全日制；
202107-至今 在富联裕展科技（河南）有限公司工作，岗位为行政管理</v>
      </c>
    </row>
    <row r="1268" spans="1:9">
      <c r="A1268" s="1" t="str">
        <f>"411326200303116398"</f>
        <v>411326200303116398</v>
      </c>
      <c r="B1268" s="1" t="str">
        <f t="shared" si="627"/>
        <v>群众</v>
      </c>
      <c r="C1268" s="1" t="str">
        <f>"专科"</f>
        <v>专科</v>
      </c>
      <c r="D1268" s="1" t="str">
        <f>"20240607"</f>
        <v>20240607</v>
      </c>
      <c r="E1268" s="1" t="str">
        <f>"湖北襄阳汽车职业技术学院"</f>
        <v>湖北襄阳汽车职业技术学院</v>
      </c>
      <c r="F1268" s="1" t="str">
        <f>"模具设计与制造"</f>
        <v>模具设计与制造</v>
      </c>
      <c r="G1268" s="1" t="str">
        <f>"河南省南阳市淅川县厚坡镇后寨村"</f>
        <v>河南省南阳市淅川县厚坡镇后寨村</v>
      </c>
      <c r="H1268" s="1" t="str">
        <f t="shared" si="629"/>
        <v>无</v>
      </c>
      <c r="I1268" s="1" t="str">
        <f>"202109-202406 湖北襄阳汽车职业技术学院智能制造学院模具设计与制造专业就读 全日制"</f>
        <v>202109-202406 湖北襄阳汽车职业技术学院智能制造学院模具设计与制造专业就读 全日制</v>
      </c>
    </row>
    <row r="1269" spans="1:9">
      <c r="A1269" s="1" t="str">
        <f>"411330200005155115"</f>
        <v>411330200005155115</v>
      </c>
      <c r="B1269" s="1" t="str">
        <f t="shared" si="627"/>
        <v>群众</v>
      </c>
      <c r="C1269" s="1" t="str">
        <f t="shared" ref="C1269:C1272" si="630">"本科"</f>
        <v>本科</v>
      </c>
      <c r="D1269" s="1" t="str">
        <f>"20250620"</f>
        <v>20250620</v>
      </c>
      <c r="E1269" s="1" t="str">
        <f>"商丘师范学院"</f>
        <v>商丘师范学院</v>
      </c>
      <c r="F1269" s="1" t="str">
        <f>"行政管理专业"</f>
        <v>行政管理专业</v>
      </c>
      <c r="G1269" s="1" t="str">
        <f>"河南省南阳市西峡县双龙镇"</f>
        <v>河南省南阳市西峡县双龙镇</v>
      </c>
      <c r="H1269" s="1" t="str">
        <f t="shared" si="629"/>
        <v>无</v>
      </c>
      <c r="I1269" s="1" t="str">
        <f>"201809-202106郑州职业技术学院机械工程系机电一体化，全日制学历
2022-2023鲲鹏密封科技就业
202305-202506商丘师范学院行政管理专业就读，非全日制学历"</f>
        <v>201809-202106郑州职业技术学院机械工程系机电一体化，全日制学历
2022-2023鲲鹏密封科技就业
202305-202506商丘师范学院行政管理专业就读，非全日制学历</v>
      </c>
    </row>
    <row r="1270" spans="1:9">
      <c r="A1270" s="1" t="str">
        <f>"411330200112113113"</f>
        <v>411330200112113113</v>
      </c>
      <c r="B1270" s="1" t="str">
        <f t="shared" si="627"/>
        <v>群众</v>
      </c>
      <c r="C1270" s="1" t="str">
        <f t="shared" si="630"/>
        <v>本科</v>
      </c>
      <c r="D1270" s="1" t="str">
        <f>"20230701"</f>
        <v>20230701</v>
      </c>
      <c r="E1270" s="1" t="str">
        <f>"河南农业大学"</f>
        <v>河南农业大学</v>
      </c>
      <c r="F1270" s="1" t="str">
        <f>"土地整治工程"</f>
        <v>土地整治工程</v>
      </c>
      <c r="G1270" s="1" t="str">
        <f>"河南省南阳市西峡县北大街100号"</f>
        <v>河南省南阳市西峡县北大街100号</v>
      </c>
      <c r="H1270" s="1" t="str">
        <f t="shared" si="629"/>
        <v>无</v>
      </c>
      <c r="I1270" s="1" t="str">
        <f>"201909-202306 河南农业大学就读
202306-202408 北京世纪国源科技股份有限公司就业
202408-202507 在河南省南阳市西峡县待业"</f>
        <v>201909-202306 河南农业大学就读
202306-202408 北京世纪国源科技股份有限公司就业
202408-202507 在河南省南阳市西峡县待业</v>
      </c>
    </row>
    <row r="1271" spans="1:9">
      <c r="A1271" s="1" t="str">
        <f>"411327199708193114"</f>
        <v>411327199708193114</v>
      </c>
      <c r="B1271" s="1" t="str">
        <f>"共青团员"</f>
        <v>共青团员</v>
      </c>
      <c r="C1271" s="1" t="str">
        <f t="shared" si="630"/>
        <v>本科</v>
      </c>
      <c r="D1271" s="1" t="str">
        <f>"20210702"</f>
        <v>20210702</v>
      </c>
      <c r="E1271" s="1" t="str">
        <f>"郑州工业应用技术学院"</f>
        <v>郑州工业应用技术学院</v>
      </c>
      <c r="F1271" s="1" t="str">
        <f>"土木工程"</f>
        <v>土木工程</v>
      </c>
      <c r="G1271" s="1" t="str">
        <f>"河南省南阳市内乡县城关镇清真寺村清真寺北路22号"</f>
        <v>河南省南阳市内乡县城关镇清真寺村清真寺北路22号</v>
      </c>
      <c r="H1271" s="1" t="str">
        <f t="shared" si="629"/>
        <v>无</v>
      </c>
      <c r="I1271" s="1" t="str">
        <f>"201609-201906 三门峡职业技术学院 建筑学院 道路桥梁工程技术专业 是全日制
201909-202106 郑州工业应用技术学院 建筑学院  土木工程专业 是全日制"</f>
        <v>201609-201906 三门峡职业技术学院 建筑学院 道路桥梁工程技术专业 是全日制
201909-202106 郑州工业应用技术学院 建筑学院  土木工程专业 是全日制</v>
      </c>
    </row>
    <row r="1272" spans="1:9">
      <c r="A1272" s="1" t="str">
        <f>"411325200107171123"</f>
        <v>411325200107171123</v>
      </c>
      <c r="B1272" s="1" t="str">
        <f>"共青团员"</f>
        <v>共青团员</v>
      </c>
      <c r="C1272" s="1" t="str">
        <f t="shared" si="630"/>
        <v>本科</v>
      </c>
      <c r="D1272" s="1" t="str">
        <f>"20240601"</f>
        <v>20240601</v>
      </c>
      <c r="E1272" s="1" t="str">
        <f>"郑州升达经贸管理学院"</f>
        <v>郑州升达经贸管理学院</v>
      </c>
      <c r="F1272" s="1" t="str">
        <f>"市场营销"</f>
        <v>市场营销</v>
      </c>
      <c r="G1272" s="1" t="str">
        <f>"河南省南阳市内乡县东湖家园"</f>
        <v>河南省南阳市内乡县东湖家园</v>
      </c>
      <c r="H1272" s="1" t="str">
        <f>"初级会计资格证"</f>
        <v>初级会计资格证</v>
      </c>
      <c r="I1272" s="1" t="str">
        <f>"20220901-20240601 郑州升达经贸管理学院 商学院 市场营销专业全日制本科 20190901-20220601 三门峡职业技术学院 经济管理学院 会计专业 全日制专科 "</f>
        <v>20220901-20240601 郑州升达经贸管理学院 商学院 市场营销专业全日制本科 20190901-20220601 三门峡职业技术学院 经济管理学院 会计专业 全日制专科 </v>
      </c>
    </row>
    <row r="1273" spans="1:9">
      <c r="A1273" s="1" t="str">
        <f>"411327199908160042"</f>
        <v>411327199908160042</v>
      </c>
      <c r="B1273" s="1" t="str">
        <f t="shared" ref="B1273:B1276" si="631">"群众"</f>
        <v>群众</v>
      </c>
      <c r="C1273" s="1" t="str">
        <f>"硕士研究生"</f>
        <v>硕士研究生</v>
      </c>
      <c r="D1273" s="1" t="str">
        <f>"20240731"</f>
        <v>20240731</v>
      </c>
      <c r="E1273" s="1" t="str">
        <f>"齐齐哈尔大学"</f>
        <v>齐齐哈尔大学</v>
      </c>
      <c r="F1273" s="1" t="str">
        <f>"学科教学（音乐）"</f>
        <v>学科教学（音乐）</v>
      </c>
      <c r="G1273" s="1" t="str">
        <f>"河南省南阳市内乡县城关镇郦都大道405号"</f>
        <v>河南省南阳市内乡县城关镇郦都大道405号</v>
      </c>
      <c r="H1273" s="1" t="str">
        <f t="shared" ref="H1273:H1278" si="632">"无"</f>
        <v>无</v>
      </c>
      <c r="I1273" s="1" t="str">
        <f>"201809-202207 河南师范大学新联学院-音乐学院-音乐学专业就读，全日制学历
202209-202407 齐齐哈尔大学-音乐与舞蹈学院-学科教学（音乐）专业就读，全日制学历"</f>
        <v>201809-202207 河南师范大学新联学院-音乐学院-音乐学专业就读，全日制学历
202209-202407 齐齐哈尔大学-音乐与舞蹈学院-学科教学（音乐）专业就读，全日制学历</v>
      </c>
    </row>
    <row r="1274" spans="1:9">
      <c r="A1274" s="1" t="str">
        <f>"411327199901073317"</f>
        <v>411327199901073317</v>
      </c>
      <c r="B1274" s="1" t="str">
        <f t="shared" si="631"/>
        <v>群众</v>
      </c>
      <c r="C1274" s="1" t="str">
        <f t="shared" ref="C1274:C1279" si="633">"本科"</f>
        <v>本科</v>
      </c>
      <c r="D1274" s="1" t="str">
        <f>"20250630"</f>
        <v>20250630</v>
      </c>
      <c r="E1274" s="1" t="str">
        <f>"沈阳城市学院"</f>
        <v>沈阳城市学院</v>
      </c>
      <c r="F1274" s="1" t="str">
        <f>"机械设计制造及其自动化"</f>
        <v>机械设计制造及其自动化</v>
      </c>
      <c r="G1274" s="1" t="str">
        <f>"河南省南阳市内乡县七里坪乡靳河村"</f>
        <v>河南省南阳市内乡县七里坪乡靳河村</v>
      </c>
      <c r="H1274" s="1" t="str">
        <f t="shared" si="632"/>
        <v>无</v>
      </c>
      <c r="I1274" s="1" t="str">
        <f>"202109-202506 在沈阳城市学院机械设计制造及其自动化专业就读，全日制"</f>
        <v>202109-202506 在沈阳城市学院机械设计制造及其自动化专业就读，全日制</v>
      </c>
    </row>
    <row r="1275" spans="1:9">
      <c r="A1275" s="1" t="str">
        <f>"411327199701120334"</f>
        <v>411327199701120334</v>
      </c>
      <c r="B1275" s="1" t="str">
        <f t="shared" si="631"/>
        <v>群众</v>
      </c>
      <c r="C1275" s="1" t="str">
        <f t="shared" si="633"/>
        <v>本科</v>
      </c>
      <c r="D1275" s="1" t="str">
        <f>"20200630"</f>
        <v>20200630</v>
      </c>
      <c r="E1275" s="1" t="str">
        <f>"郑州轻工业大学"</f>
        <v>郑州轻工业大学</v>
      </c>
      <c r="F1275" s="1" t="str">
        <f>"环境设计"</f>
        <v>环境设计</v>
      </c>
      <c r="G1275" s="1" t="str">
        <f>"南阳市内乡县渚阳大街南十二巷67号"</f>
        <v>南阳市内乡县渚阳大街南十二巷67号</v>
      </c>
      <c r="H1275" s="1" t="str">
        <f t="shared" si="632"/>
        <v>无</v>
      </c>
      <c r="I1275" s="1" t="str">
        <f>"201609-202007 郑州轻工业大学 易斯顿美术学院 环境艺术设计就读 
202007-202106 待业
202106-202110 上海自如企业管理有限公司 销售
202110-202209 上海红星美凯龙集团总部 设计师
202209-202405 待业
202405-至今 内乡县人民法院 安保员"</f>
        <v>201609-202007 郑州轻工业大学 易斯顿美术学院 环境艺术设计就读 
202007-202106 待业
202106-202110 上海自如企业管理有限公司 销售
202110-202209 上海红星美凯龙集团总部 设计师
202209-202405 待业
202405-至今 内乡县人民法院 安保员</v>
      </c>
    </row>
    <row r="1276" spans="1:9">
      <c r="A1276" s="1" t="str">
        <f>"411327199808251123"</f>
        <v>411327199808251123</v>
      </c>
      <c r="B1276" s="1" t="str">
        <f t="shared" si="631"/>
        <v>群众</v>
      </c>
      <c r="C1276" s="1" t="str">
        <f>"专科"</f>
        <v>专科</v>
      </c>
      <c r="D1276" s="1" t="str">
        <f>"201907"</f>
        <v>201907</v>
      </c>
      <c r="E1276" s="1" t="str">
        <f t="shared" ref="E1276:E1281" si="634">"南阳师范学院"</f>
        <v>南阳师范学院</v>
      </c>
      <c r="F1276" s="1" t="str">
        <f>"初等教育"</f>
        <v>初等教育</v>
      </c>
      <c r="G1276" s="1" t="str">
        <f>"内乡县五里堡村徐家组"</f>
        <v>内乡县五里堡村徐家组</v>
      </c>
      <c r="H1276" s="1" t="str">
        <f t="shared" si="632"/>
        <v>无</v>
      </c>
      <c r="I1276" s="1" t="str">
        <f>"201709-201907 南阳师范学院就读
201907-202007 内乡县直东风幼儿园
202009-202207 南京市嘉禾齐修幼儿园
202310至今 内乡企业养老保险管理局"</f>
        <v>201709-201907 南阳师范学院就读
201907-202007 内乡县直东风幼儿园
202009-202207 南京市嘉禾齐修幼儿园
202310至今 内乡企业养老保险管理局</v>
      </c>
    </row>
    <row r="1277" spans="1:9">
      <c r="A1277" s="1" t="str">
        <f>"411327199611252042"</f>
        <v>411327199611252042</v>
      </c>
      <c r="B1277" s="1" t="str">
        <f>"共青团员"</f>
        <v>共青团员</v>
      </c>
      <c r="C1277" s="1" t="str">
        <f t="shared" si="633"/>
        <v>本科</v>
      </c>
      <c r="D1277" s="1" t="str">
        <f>"2020.07"</f>
        <v>2020.07</v>
      </c>
      <c r="E1277" s="1" t="str">
        <f>"河南科技学院"</f>
        <v>河南科技学院</v>
      </c>
      <c r="F1277" s="1" t="str">
        <f>"市场营销"</f>
        <v>市场营销</v>
      </c>
      <c r="G1277" s="1" t="str">
        <f>"河南省南阳市内乡县师岗镇水牛沟村喻家867号"</f>
        <v>河南省南阳市内乡县师岗镇水牛沟村喻家867号</v>
      </c>
      <c r="H1277" s="1" t="str">
        <f t="shared" si="632"/>
        <v>无</v>
      </c>
      <c r="I1277" s="1" t="str">
        <f>"201609-202007在河南科技学院经济与管理学院市场营销专业就读，是全日制学历；
202008-202507，在南阳待业"</f>
        <v>201609-202007在河南科技学院经济与管理学院市场营销专业就读，是全日制学历；
202008-202507，在南阳待业</v>
      </c>
    </row>
    <row r="1278" spans="1:9">
      <c r="A1278" s="1" t="str">
        <f>"411327199907283729"</f>
        <v>411327199907283729</v>
      </c>
      <c r="B1278" s="1" t="str">
        <f t="shared" ref="B1278:B1282" si="635">"群众"</f>
        <v>群众</v>
      </c>
      <c r="C1278" s="1" t="str">
        <f t="shared" si="633"/>
        <v>本科</v>
      </c>
      <c r="D1278" s="1" t="str">
        <f>"20240701"</f>
        <v>20240701</v>
      </c>
      <c r="E1278" s="1" t="str">
        <f t="shared" si="634"/>
        <v>南阳师范学院</v>
      </c>
      <c r="F1278" s="1" t="str">
        <f>"教育学"</f>
        <v>教育学</v>
      </c>
      <c r="G1278" s="1" t="str">
        <f>"南阳市城关镇灵山北路"</f>
        <v>南阳市城关镇灵山北路</v>
      </c>
      <c r="H1278" s="1" t="str">
        <f t="shared" si="632"/>
        <v>无</v>
      </c>
      <c r="I1278" s="1" t="str">
        <f>"201509—201906于南阳幼儿师范学校就读学前教育专业，是全日制学历
201909—202106在南阳市卧龙区实验学校代课小学音乐
202203—202407于南阳师范学院就读教育学专业，非全日制学历"</f>
        <v>201509—201906于南阳幼儿师范学校就读学前教育专业，是全日制学历
201909—202106在南阳市卧龙区实验学校代课小学音乐
202203—202407于南阳师范学院就读教育学专业，非全日制学历</v>
      </c>
    </row>
    <row r="1279" ht="135" spans="1:9">
      <c r="A1279" s="1" t="str">
        <f>"411326199010286128"</f>
        <v>411326199010286128</v>
      </c>
      <c r="B1279" s="1" t="str">
        <f t="shared" si="635"/>
        <v>群众</v>
      </c>
      <c r="C1279" s="1" t="str">
        <f t="shared" si="633"/>
        <v>本科</v>
      </c>
      <c r="D1279" s="1" t="str">
        <f>"20140630"</f>
        <v>20140630</v>
      </c>
      <c r="E1279" s="1" t="str">
        <f>"郑州华信学院"</f>
        <v>郑州华信学院</v>
      </c>
      <c r="F1279" s="1" t="str">
        <f>"艺术设计"</f>
        <v>艺术设计</v>
      </c>
      <c r="G1279" s="1" t="str">
        <f>"河南省郑州市紫荆山南路花都港湾34号楼3单元2楼东"</f>
        <v>河南省郑州市紫荆山南路花都港湾34号楼3单元2楼东</v>
      </c>
      <c r="H1279" s="1" t="str">
        <f>"高级平面设计师证"</f>
        <v>高级平面设计师证</v>
      </c>
      <c r="I1279" s="3" t="s">
        <v>221</v>
      </c>
    </row>
    <row r="1280" spans="1:9">
      <c r="A1280" s="1" t="str">
        <f>"411321199810083669"</f>
        <v>411321199810083669</v>
      </c>
      <c r="B1280" s="1" t="str">
        <f>"共青团员"</f>
        <v>共青团员</v>
      </c>
      <c r="C1280" s="1" t="str">
        <f>"硕士研究生"</f>
        <v>硕士研究生</v>
      </c>
      <c r="D1280" s="1" t="str">
        <f>"20220627"</f>
        <v>20220627</v>
      </c>
      <c r="E1280" s="1" t="str">
        <f>"贵州大学"</f>
        <v>贵州大学</v>
      </c>
      <c r="F1280" s="1" t="str">
        <f>"农药学"</f>
        <v>农药学</v>
      </c>
      <c r="G1280" s="1" t="str">
        <f>"河南省桐柏县城关镇乐神路25号"</f>
        <v>河南省桐柏县城关镇乐神路25号</v>
      </c>
      <c r="H1280" s="1" t="str">
        <f t="shared" ref="H1280:H1285" si="636">"无"</f>
        <v>无</v>
      </c>
      <c r="I1280" s="1" t="str">
        <f>"201509-201907，贵阳学院化学专业就读，全日制学历
201909-202206，贵州大学农药学专业就读，全日制学历
202206-至今，河南省桐柏县待业"</f>
        <v>201509-201907，贵阳学院化学专业就读，全日制学历
201909-202206，贵州大学农药学专业就读，全日制学历
202206-至今，河南省桐柏县待业</v>
      </c>
    </row>
    <row r="1281" spans="1:9">
      <c r="A1281" s="1" t="str">
        <f>"411327199711232524"</f>
        <v>411327199711232524</v>
      </c>
      <c r="B1281" s="1" t="str">
        <f t="shared" si="635"/>
        <v>群众</v>
      </c>
      <c r="C1281" s="1" t="str">
        <f t="shared" ref="C1281:C1288" si="637">"本科"</f>
        <v>本科</v>
      </c>
      <c r="D1281" s="1" t="str">
        <f>"20240701"</f>
        <v>20240701</v>
      </c>
      <c r="E1281" s="1" t="str">
        <f t="shared" si="634"/>
        <v>南阳师范学院</v>
      </c>
      <c r="F1281" s="1" t="str">
        <f>"汉语言文学"</f>
        <v>汉语言文学</v>
      </c>
      <c r="G1281" s="1" t="str">
        <f>"河南省内乡县王店镇王店村北组"</f>
        <v>河南省内乡县王店镇王店村北组</v>
      </c>
      <c r="H1281" s="1" t="str">
        <f t="shared" si="636"/>
        <v>无</v>
      </c>
      <c r="I1281" s="1" t="str">
        <f>"20170901-20200701 河南艺术职业学院艺术设计系动漫制作技术专业就读，全日制学历；20220301-20240701 南阳师范学院汉语言文学专业就读，非全日制学历"</f>
        <v>20170901-20200701 河南艺术职业学院艺术设计系动漫制作技术专业就读，全日制学历；20220301-20240701 南阳师范学院汉语言文学专业就读，非全日制学历</v>
      </c>
    </row>
    <row r="1282" spans="1:9">
      <c r="A1282" s="1" t="str">
        <f>"411327199508100614"</f>
        <v>411327199508100614</v>
      </c>
      <c r="B1282" s="1" t="str">
        <f t="shared" si="635"/>
        <v>群众</v>
      </c>
      <c r="C1282" s="1" t="str">
        <f>"专科"</f>
        <v>专科</v>
      </c>
      <c r="D1282" s="1" t="str">
        <f>"20250628"</f>
        <v>20250628</v>
      </c>
      <c r="E1282" s="1" t="str">
        <f>"通化师范学院"</f>
        <v>通化师范学院</v>
      </c>
      <c r="F1282" s="1" t="str">
        <f>"计算机应用技术 "</f>
        <v>计算机应用技术 </v>
      </c>
      <c r="G1282" s="1" t="str">
        <f>"河南南阳马山口镇扫帚厂6号"</f>
        <v>河南南阳马山口镇扫帚厂6号</v>
      </c>
      <c r="H1282" s="1" t="str">
        <f t="shared" si="636"/>
        <v>无</v>
      </c>
      <c r="I1282" s="1" t="str">
        <f>"202305-202506  通化师范学院   计算机应用技术专业就读，成人高等教育"</f>
        <v>202305-202506  通化师范学院   计算机应用技术专业就读，成人高等教育</v>
      </c>
    </row>
    <row r="1283" spans="1:9">
      <c r="A1283" s="1" t="str">
        <f>"411327199411021549"</f>
        <v>411327199411021549</v>
      </c>
      <c r="B1283" s="1" t="str">
        <f>"中共预备党员"</f>
        <v>中共预备党员</v>
      </c>
      <c r="C1283" s="1" t="str">
        <f t="shared" si="637"/>
        <v>本科</v>
      </c>
      <c r="D1283" s="1" t="str">
        <f>"20170630"</f>
        <v>20170630</v>
      </c>
      <c r="E1283" s="1" t="str">
        <f>"江苏师范大学"</f>
        <v>江苏师范大学</v>
      </c>
      <c r="F1283" s="1" t="str">
        <f>"计算机科学与技术"</f>
        <v>计算机科学与技术</v>
      </c>
      <c r="G1283" s="1" t="str">
        <f>"内乡县大成西路"</f>
        <v>内乡县大成西路</v>
      </c>
      <c r="H1283" s="1" t="str">
        <f t="shared" si="636"/>
        <v>无</v>
      </c>
      <c r="I1283" s="1" t="str">
        <f>"201309-201706 江苏师范大学计算机科学与技术专业 全日制学生
201709至今 河南省内乡县待业"</f>
        <v>201309-201706 江苏师范大学计算机科学与技术专业 全日制学生
201709至今 河南省内乡县待业</v>
      </c>
    </row>
    <row r="1284" spans="1:9">
      <c r="A1284" s="1" t="str">
        <f>"411324200302283036"</f>
        <v>411324200302283036</v>
      </c>
      <c r="B1284" s="1" t="str">
        <f t="shared" ref="B1284:B1288" si="638">"中共党员"</f>
        <v>中共党员</v>
      </c>
      <c r="C1284" s="1" t="str">
        <f>"专科"</f>
        <v>专科</v>
      </c>
      <c r="D1284" s="1" t="str">
        <f>"20240701"</f>
        <v>20240701</v>
      </c>
      <c r="E1284" s="1" t="str">
        <f>"三门峡职业技术学院"</f>
        <v>三门峡职业技术学院</v>
      </c>
      <c r="F1284" s="1" t="str">
        <f>"建筑智能化工程技术"</f>
        <v>建筑智能化工程技术</v>
      </c>
      <c r="G1284" s="1" t="str">
        <f>"镇平县"</f>
        <v>镇平县</v>
      </c>
      <c r="H1284" s="1" t="str">
        <f t="shared" si="636"/>
        <v>无</v>
      </c>
      <c r="I1284" s="1" t="str">
        <f>"202109-202407三门峡职业技术学院建筑工程学院建筑智能化工程技术"</f>
        <v>202109-202407三门峡职业技术学院建筑工程学院建筑智能化工程技术</v>
      </c>
    </row>
    <row r="1285" spans="1:9">
      <c r="A1285" s="1" t="str">
        <f>"41150219980624402X"</f>
        <v>41150219980624402X</v>
      </c>
      <c r="B1285" s="1" t="str">
        <f t="shared" si="638"/>
        <v>中共党员</v>
      </c>
      <c r="C1285" s="1" t="str">
        <f t="shared" si="637"/>
        <v>本科</v>
      </c>
      <c r="D1285" s="1" t="str">
        <f>"20210701"</f>
        <v>20210701</v>
      </c>
      <c r="E1285" s="1" t="str">
        <f>"郑州科技学院"</f>
        <v>郑州科技学院</v>
      </c>
      <c r="F1285" s="1" t="str">
        <f>"环境设计"</f>
        <v>环境设计</v>
      </c>
      <c r="G1285" s="1" t="str">
        <f>"464000"</f>
        <v>464000</v>
      </c>
      <c r="H1285" s="1" t="str">
        <f t="shared" si="636"/>
        <v>无</v>
      </c>
      <c r="I1285" s="1" t="str">
        <f>"201709-202107 郑州科技学院就读环境设计专业 全日制"</f>
        <v>201709-202107 郑州科技学院就读环境设计专业 全日制</v>
      </c>
    </row>
    <row r="1286" spans="1:9">
      <c r="A1286" s="1" t="str">
        <f>"412723200108165016"</f>
        <v>412723200108165016</v>
      </c>
      <c r="B1286" s="1" t="str">
        <f>"群众"</f>
        <v>群众</v>
      </c>
      <c r="C1286" s="1" t="str">
        <f t="shared" si="637"/>
        <v>本科</v>
      </c>
      <c r="D1286" s="1" t="str">
        <f>"20250608"</f>
        <v>20250608</v>
      </c>
      <c r="E1286" s="1" t="str">
        <f>"河南开封科技传媒学院"</f>
        <v>河南开封科技传媒学院</v>
      </c>
      <c r="F1286" s="1" t="str">
        <f>"计算机科学与技术"</f>
        <v>计算机科学与技术</v>
      </c>
      <c r="G1286" s="1" t="str">
        <f>"河南省周口市商水县章华台"</f>
        <v>河南省周口市商水县章华台</v>
      </c>
      <c r="H1286" s="1" t="str">
        <f>"人工智能训练师三级"</f>
        <v>人工智能训练师三级</v>
      </c>
      <c r="I1286" s="1" t="str">
        <f>"20210-202506 河南开封科技传媒学院就读全日制计算机科学与技术专业。"</f>
        <v>20210-202506 河南开封科技传媒学院就读全日制计算机科学与技术专业。</v>
      </c>
    </row>
    <row r="1287" spans="1:9">
      <c r="A1287" s="1" t="str">
        <f>"411327200208210016"</f>
        <v>411327200208210016</v>
      </c>
      <c r="B1287" s="1" t="str">
        <f t="shared" ref="B1287:B1290" si="639">"共青团员"</f>
        <v>共青团员</v>
      </c>
      <c r="C1287" s="1" t="str">
        <f t="shared" si="637"/>
        <v>本科</v>
      </c>
      <c r="D1287" s="1" t="str">
        <f>"20240630"</f>
        <v>20240630</v>
      </c>
      <c r="E1287" s="1" t="str">
        <f>"华北科技学院"</f>
        <v>华北科技学院</v>
      </c>
      <c r="F1287" s="1" t="str">
        <f>"国际经济与贸易"</f>
        <v>国际经济与贸易</v>
      </c>
      <c r="G1287" s="1" t="str">
        <f>"河南省南阳市内乡县菊潭大街264号"</f>
        <v>河南省南阳市内乡县菊潭大街264号</v>
      </c>
      <c r="H1287" s="1" t="str">
        <f t="shared" ref="H1287:H1293" si="640">"无"</f>
        <v>无</v>
      </c>
      <c r="I1287" s="1" t="str">
        <f>"202010-2020406 华北科技学院就读 经济管理学院国际经济与贸易专业 全日制学历"</f>
        <v>202010-2020406 华北科技学院就读 经济管理学院国际经济与贸易专业 全日制学历</v>
      </c>
    </row>
    <row r="1288" spans="1:9">
      <c r="A1288" s="1" t="str">
        <f>"411330199602102016"</f>
        <v>411330199602102016</v>
      </c>
      <c r="B1288" s="1" t="str">
        <f t="shared" si="638"/>
        <v>中共党员</v>
      </c>
      <c r="C1288" s="1" t="str">
        <f t="shared" si="637"/>
        <v>本科</v>
      </c>
      <c r="D1288" s="1" t="str">
        <f>"20190928"</f>
        <v>20190928</v>
      </c>
      <c r="E1288" s="1" t="str">
        <f>"河南科技大学"</f>
        <v>河南科技大学</v>
      </c>
      <c r="F1288" s="1" t="str">
        <f>"食品科学与工程"</f>
        <v>食品科学与工程</v>
      </c>
      <c r="G1288" s="1" t="str">
        <f>"河南省南阳市西峡县"</f>
        <v>河南省南阳市西峡县</v>
      </c>
      <c r="H1288" s="1" t="str">
        <f t="shared" si="640"/>
        <v>无</v>
      </c>
      <c r="I1288" s="1" t="str">
        <f>"201506-201906 河南科技大学 食品科学与工程 本科（全日制）
201906-202208华南理工大学 食品工程 硕士（全日制）
202208-202302武汉凯德维斯生物技术有限公司  研发员助理
202304-202502 武汉海希生物科技有限公司 研发员
202503至今  河南南阳待业"</f>
        <v>201506-201906 河南科技大学 食品科学与工程 本科（全日制）
201906-202208华南理工大学 食品工程 硕士（全日制）
202208-202302武汉凯德维斯生物技术有限公司  研发员助理
202304-202502 武汉海希生物科技有限公司 研发员
202503至今  河南南阳待业</v>
      </c>
    </row>
    <row r="1289" spans="1:9">
      <c r="A1289" s="1" t="str">
        <f>"411327200003230611"</f>
        <v>411327200003230611</v>
      </c>
      <c r="B1289" s="1" t="str">
        <f t="shared" si="639"/>
        <v>共青团员</v>
      </c>
      <c r="C1289" s="1" t="str">
        <f>"硕士研究生"</f>
        <v>硕士研究生</v>
      </c>
      <c r="D1289" s="1" t="str">
        <f>"20250630"</f>
        <v>20250630</v>
      </c>
      <c r="E1289" s="1" t="str">
        <f>"吉林化工大学"</f>
        <v>吉林化工大学</v>
      </c>
      <c r="F1289" s="1" t="str">
        <f>"电子信息"</f>
        <v>电子信息</v>
      </c>
      <c r="G1289" s="1" t="str">
        <f>"河南省南阳市内乡县马山口镇中山街26号"</f>
        <v>河南省南阳市内乡县马山口镇中山街26号</v>
      </c>
      <c r="H1289" s="1" t="str">
        <f t="shared" si="640"/>
        <v>无</v>
      </c>
      <c r="I1289" s="1" t="str">
        <f>"201809-202207 郑州升达经贸管理学院 信息工程学院 自动化 全日制
202209-202506 吉林化工大学 信息与控制工程学院 电子信息 全日制"</f>
        <v>201809-202207 郑州升达经贸管理学院 信息工程学院 自动化 全日制
202209-202506 吉林化工大学 信息与控制工程学院 电子信息 全日制</v>
      </c>
    </row>
    <row r="1290" spans="1:9">
      <c r="A1290" s="1" t="str">
        <f>"411303199907190548"</f>
        <v>411303199907190548</v>
      </c>
      <c r="B1290" s="1" t="str">
        <f t="shared" si="639"/>
        <v>共青团员</v>
      </c>
      <c r="C1290" s="1" t="str">
        <f t="shared" ref="C1290:C1292" si="641">"本科"</f>
        <v>本科</v>
      </c>
      <c r="D1290" s="1" t="str">
        <f>"20210701"</f>
        <v>20210701</v>
      </c>
      <c r="E1290" s="1" t="str">
        <f>"洛阳师范学院"</f>
        <v>洛阳师范学院</v>
      </c>
      <c r="F1290" s="1" t="str">
        <f>"电气工程及其自动化"</f>
        <v>电气工程及其自动化</v>
      </c>
      <c r="G1290" s="1" t="str">
        <f>"河南省南阳市卧龙区建设西路112号"</f>
        <v>河南省南阳市卧龙区建设西路112号</v>
      </c>
      <c r="H1290" s="1" t="str">
        <f t="shared" si="640"/>
        <v>无</v>
      </c>
      <c r="I1290" s="1" t="str">
        <f>"201709-202107 洛阳师范学院物理与电子信息学院电气工程及其自动化专业就读，是全日制学历。202107-至今在南阳市卧龙区待业"</f>
        <v>201709-202107 洛阳师范学院物理与电子信息学院电气工程及其自动化专业就读，是全日制学历。202107-至今在南阳市卧龙区待业</v>
      </c>
    </row>
    <row r="1291" ht="409.5" spans="1:9">
      <c r="A1291" s="1" t="str">
        <f>"411327200110183515"</f>
        <v>411327200110183515</v>
      </c>
      <c r="B1291" s="1" t="str">
        <f t="shared" ref="B1291:B1298" si="642">"群众"</f>
        <v>群众</v>
      </c>
      <c r="C1291" s="1" t="str">
        <f t="shared" si="641"/>
        <v>本科</v>
      </c>
      <c r="D1291" s="1" t="str">
        <f>"20250602"</f>
        <v>20250602</v>
      </c>
      <c r="E1291" s="1" t="str">
        <f>"周口师范学院"</f>
        <v>周口师范学院</v>
      </c>
      <c r="F1291" s="1" t="str">
        <f>"信息与计算科学"</f>
        <v>信息与计算科学</v>
      </c>
      <c r="G1291" s="1" t="str">
        <f>"河南省南阳市内乡县板场乡竹园村"</f>
        <v>河南省南阳市内乡县板场乡竹园村</v>
      </c>
      <c r="H1291" s="1" t="str">
        <f t="shared" si="640"/>
        <v>无</v>
      </c>
      <c r="I1291" s="3" t="s">
        <v>222</v>
      </c>
    </row>
    <row r="1292" spans="1:9">
      <c r="A1292" s="1" t="str">
        <f>"411327200101023720"</f>
        <v>411327200101023720</v>
      </c>
      <c r="B1292" s="1" t="str">
        <f>"中共党员"</f>
        <v>中共党员</v>
      </c>
      <c r="C1292" s="1" t="str">
        <f t="shared" si="641"/>
        <v>本科</v>
      </c>
      <c r="D1292" s="1" t="str">
        <f>"20220701"</f>
        <v>20220701</v>
      </c>
      <c r="E1292" s="1" t="str">
        <f>"广西科技大学鹿山学院"</f>
        <v>广西科技大学鹿山学院</v>
      </c>
      <c r="F1292" s="1" t="str">
        <f>"物流管理"</f>
        <v>物流管理</v>
      </c>
      <c r="G1292" s="1" t="str">
        <f>"河南省南阳市内乡县桃溪镇石碑营村"</f>
        <v>河南省南阳市内乡县桃溪镇石碑营村</v>
      </c>
      <c r="H1292" s="1" t="str">
        <f t="shared" si="640"/>
        <v>无</v>
      </c>
      <c r="I1292" s="1" t="str">
        <f>"201809—202207 广西科技大学鹿山学院经济管理系物流管理专业就读，是全日制学历
202207—202505 内乡复兴学校任职教师
202505—至今      内乡县桃溪镇待业"</f>
        <v>201809—202207 广西科技大学鹿山学院经济管理系物流管理专业就读，是全日制学历
202207—202505 内乡复兴学校任职教师
202505—至今      内乡县桃溪镇待业</v>
      </c>
    </row>
    <row r="1293" spans="1:9">
      <c r="A1293" s="1" t="str">
        <f>"411328199311011323"</f>
        <v>411328199311011323</v>
      </c>
      <c r="B1293" s="1" t="str">
        <f>"中共党员"</f>
        <v>中共党员</v>
      </c>
      <c r="C1293" s="1" t="str">
        <f>"硕士研究生"</f>
        <v>硕士研究生</v>
      </c>
      <c r="D1293" s="1" t="str">
        <f>"20210601"</f>
        <v>20210601</v>
      </c>
      <c r="E1293" s="1" t="str">
        <f>"广西艺术学院"</f>
        <v>广西艺术学院</v>
      </c>
      <c r="F1293" s="1" t="str">
        <f>"艺术设计"</f>
        <v>艺术设计</v>
      </c>
      <c r="G1293" s="1" t="str">
        <f>"河南省南阳市内乡县城关镇花园路"</f>
        <v>河南省南阳市内乡县城关镇花园路</v>
      </c>
      <c r="H1293" s="1" t="str">
        <f t="shared" si="640"/>
        <v>无</v>
      </c>
      <c r="I1293" s="1" t="str">
        <f>"2015年6月至2017年6月洛阳师范  全日制 本科
2018年6月至2021年6月 广西艺术学院 全日制 硕士
2021年11月至今 赤眉镇人民政府"</f>
        <v>2015年6月至2017年6月洛阳师范  全日制 本科
2018年6月至2021年6月 广西艺术学院 全日制 硕士
2021年11月至今 赤眉镇人民政府</v>
      </c>
    </row>
    <row r="1294" spans="1:9">
      <c r="A1294" s="1" t="str">
        <f>"411324200401230925"</f>
        <v>411324200401230925</v>
      </c>
      <c r="B1294" s="1" t="str">
        <f>"中共预备党员"</f>
        <v>中共预备党员</v>
      </c>
      <c r="C1294" s="1" t="str">
        <f t="shared" ref="C1294:C1297" si="643">"专科"</f>
        <v>专科</v>
      </c>
      <c r="D1294" s="1" t="str">
        <f>"2025.06"</f>
        <v>2025.06</v>
      </c>
      <c r="E1294" s="1" t="str">
        <f>"开封文化艺术职业学院"</f>
        <v>开封文化艺术职业学院</v>
      </c>
      <c r="F1294" s="1" t="str">
        <f>"小学语文教育"</f>
        <v>小学语文教育</v>
      </c>
      <c r="G1294" s="1" t="str">
        <f>"河南省南阳市镇平县柳泉铺乡范营村崇圣观庄第九组"</f>
        <v>河南省南阳市镇平县柳泉铺乡范营村崇圣观庄第九组</v>
      </c>
      <c r="H1294" s="1" t="str">
        <f>"小学语文教师资格证"</f>
        <v>小学语文教师资格证</v>
      </c>
      <c r="I1294" s="1" t="str">
        <f>"202209-202506在开封文化艺术职业学院初等教育学院小学语文教育专业就读"</f>
        <v>202209-202506在开封文化艺术职业学院初等教育学院小学语文教育专业就读</v>
      </c>
    </row>
    <row r="1295" spans="1:9">
      <c r="A1295" s="1" t="str">
        <f>"412301199612232016"</f>
        <v>412301199612232016</v>
      </c>
      <c r="B1295" s="1" t="str">
        <f t="shared" si="642"/>
        <v>群众</v>
      </c>
      <c r="C1295" s="1" t="str">
        <f t="shared" ref="C1295:C1307" si="644">"本科"</f>
        <v>本科</v>
      </c>
      <c r="D1295" s="1" t="str">
        <f>"20200701"</f>
        <v>20200701</v>
      </c>
      <c r="E1295" s="1" t="str">
        <f>"郑州工商学院"</f>
        <v>郑州工商学院</v>
      </c>
      <c r="F1295" s="1" t="str">
        <f>"人力资源管理"</f>
        <v>人力资源管理</v>
      </c>
      <c r="G1295" s="1" t="str">
        <f>"河南省商丘市中州路中州花园"</f>
        <v>河南省商丘市中州路中州花园</v>
      </c>
      <c r="H1295" s="1" t="str">
        <f>"人力资源管理师中级"</f>
        <v>人力资源管理师中级</v>
      </c>
      <c r="I1295" s="1" t="str">
        <f>"2018.7-2020.7	郑州工商学院	人力资源
2015.7-2018.7	郑州大学	旅游管理
2022.5-2025.5	商丘市沐阳商贸有限公司
2020.7-2022.3	商丘市美晶玻璃有限公司"</f>
        <v>2018.7-2020.7	郑州工商学院	人力资源
2015.7-2018.7	郑州大学	旅游管理
2022.5-2025.5	商丘市沐阳商贸有限公司
2020.7-2022.3	商丘市美晶玻璃有限公司</v>
      </c>
    </row>
    <row r="1296" spans="1:9">
      <c r="A1296" s="1" t="str">
        <f>"411330200004052544"</f>
        <v>411330200004052544</v>
      </c>
      <c r="B1296" s="1" t="str">
        <f t="shared" si="642"/>
        <v>群众</v>
      </c>
      <c r="C1296" s="1" t="str">
        <f t="shared" si="643"/>
        <v>专科</v>
      </c>
      <c r="D1296" s="1" t="str">
        <f>"20210607"</f>
        <v>20210607</v>
      </c>
      <c r="E1296" s="1" t="str">
        <f>"西安思源学院"</f>
        <v>西安思源学院</v>
      </c>
      <c r="F1296" s="1" t="str">
        <f>"金融管理"</f>
        <v>金融管理</v>
      </c>
      <c r="G1296" s="1" t="str">
        <f>"河南省内乡县城关镇"</f>
        <v>河南省内乡县城关镇</v>
      </c>
      <c r="H1296" s="1" t="str">
        <f t="shared" ref="H1296:H1300" si="645">"无"</f>
        <v>无</v>
      </c>
      <c r="I1296" s="1" t="str">
        <f>"201809—202106 于西安思源学校在校全日制就读金融管理专业 "</f>
        <v>201809—202106 于西安思源学校在校全日制就读金融管理专业 </v>
      </c>
    </row>
    <row r="1297" spans="1:9">
      <c r="A1297" s="1" t="str">
        <f>"410324199910150329"</f>
        <v>410324199910150329</v>
      </c>
      <c r="B1297" s="1" t="str">
        <f t="shared" si="642"/>
        <v>群众</v>
      </c>
      <c r="C1297" s="1" t="str">
        <f t="shared" si="643"/>
        <v>专科</v>
      </c>
      <c r="D1297" s="1" t="str">
        <f>"20200710"</f>
        <v>20200710</v>
      </c>
      <c r="E1297" s="1" t="str">
        <f>"洛阳师范学院"</f>
        <v>洛阳师范学院</v>
      </c>
      <c r="F1297" s="1" t="str">
        <f>"学前教育"</f>
        <v>学前教育</v>
      </c>
      <c r="G1297" s="1" t="str">
        <f>"洛阳市栾川县"</f>
        <v>洛阳市栾川县</v>
      </c>
      <c r="H1297" s="1" t="str">
        <f t="shared" si="645"/>
        <v>无</v>
      </c>
      <c r="I1297" s="1" t="str">
        <f>"201509-202007 洛阳师范学院就读 全日制学历"</f>
        <v>201509-202007 洛阳师范学院就读 全日制学历</v>
      </c>
    </row>
    <row r="1298" spans="1:9">
      <c r="A1298" s="1" t="str">
        <f>"411326200005152841"</f>
        <v>411326200005152841</v>
      </c>
      <c r="B1298" s="1" t="str">
        <f t="shared" si="642"/>
        <v>群众</v>
      </c>
      <c r="C1298" s="1" t="str">
        <f t="shared" si="644"/>
        <v>本科</v>
      </c>
      <c r="D1298" s="1" t="str">
        <f>"20220701"</f>
        <v>20220701</v>
      </c>
      <c r="E1298" s="1" t="str">
        <f>"商丘师范学院"</f>
        <v>商丘师范学院</v>
      </c>
      <c r="F1298" s="1" t="str">
        <f>"电子商务"</f>
        <v>电子商务</v>
      </c>
      <c r="G1298" s="1" t="str">
        <f>"河南省南阳市南召县皇路店镇"</f>
        <v>河南省南阳市南召县皇路店镇</v>
      </c>
      <c r="H1298" s="1" t="str">
        <f t="shared" si="645"/>
        <v>无</v>
      </c>
      <c r="I1298" s="1" t="str">
        <f>"201809-202207 商丘师范学院 信息技术学院 电子商务专业 就读 全日制"</f>
        <v>201809-202207 商丘师范学院 信息技术学院 电子商务专业 就读 全日制</v>
      </c>
    </row>
    <row r="1299" spans="1:9">
      <c r="A1299" s="1" t="str">
        <f>"41132720021127394X"</f>
        <v>41132720021127394X</v>
      </c>
      <c r="B1299" s="1" t="str">
        <f t="shared" ref="B1299:B1303" si="646">"共青团员"</f>
        <v>共青团员</v>
      </c>
      <c r="C1299" s="1" t="str">
        <f t="shared" si="644"/>
        <v>本科</v>
      </c>
      <c r="D1299" s="1" t="str">
        <f>"20240630"</f>
        <v>20240630</v>
      </c>
      <c r="E1299" s="1" t="str">
        <f>"中央财经大学"</f>
        <v>中央财经大学</v>
      </c>
      <c r="F1299" s="1" t="str">
        <f>"应用心理学"</f>
        <v>应用心理学</v>
      </c>
      <c r="G1299" s="1" t="str">
        <f>"河南省内乡县城关镇黄金广场对面衣服修补店"</f>
        <v>河南省内乡县城关镇黄金广场对面衣服修补店</v>
      </c>
      <c r="H1299" s="1" t="str">
        <f t="shared" si="645"/>
        <v>无</v>
      </c>
      <c r="I1299" s="1" t="str">
        <f>"20200916-20240630  中央财经大学-社会与心理学院-心理学系-应用心理学专业就读"</f>
        <v>20200916-20240630  中央财经大学-社会与心理学院-心理学系-应用心理学专业就读</v>
      </c>
    </row>
    <row r="1300" spans="1:9">
      <c r="A1300" s="1" t="str">
        <f>"411327199801260019"</f>
        <v>411327199801260019</v>
      </c>
      <c r="B1300" s="1" t="str">
        <f>"群众"</f>
        <v>群众</v>
      </c>
      <c r="C1300" s="1" t="str">
        <f t="shared" si="644"/>
        <v>本科</v>
      </c>
      <c r="D1300" s="1" t="str">
        <f>"2024-07-20"</f>
        <v>2024-07-20</v>
      </c>
      <c r="E1300" s="1" t="str">
        <f>"国家开放大学"</f>
        <v>国家开放大学</v>
      </c>
      <c r="F1300" s="1" t="str">
        <f>"法学"</f>
        <v>法学</v>
      </c>
      <c r="G1300" s="1" t="str">
        <f>"河南省内乡县城关镇大成西路112号"</f>
        <v>河南省内乡县城关镇大成西路112号</v>
      </c>
      <c r="H1300" s="1" t="str">
        <f t="shared" si="645"/>
        <v>无</v>
      </c>
      <c r="I1300" s="1" t="str">
        <f>"2016.9-2019.9 河南工程学院 国际教育学院  环境艺术设计专业 全日制专科
2019.10-2020.2 北京大学城市与环境学院 科研助理工作
2020.4-2022.4 牧原食品有限公司 南阳区域环保后勤部工作
2022.3-2024.7 国家开放大学 法学专业 非全日制本科
2022.5-2024.6 内乡县人民法院书记员
2024.7-至今 待业
"</f>
        <v>2016.9-2019.9 河南工程学院 国际教育学院  环境艺术设计专业 全日制专科
2019.10-2020.2 北京大学城市与环境学院 科研助理工作
2020.4-2022.4 牧原食品有限公司 南阳区域环保后勤部工作
2022.3-2024.7 国家开放大学 法学专业 非全日制本科
2022.5-2024.6 内乡县人民法院书记员
2024.7-至今 待业
</v>
      </c>
    </row>
    <row r="1301" spans="1:9">
      <c r="A1301" s="1" t="str">
        <f>"370522199509090011"</f>
        <v>370522199509090011</v>
      </c>
      <c r="B1301" s="1" t="str">
        <f>"中共党员"</f>
        <v>中共党员</v>
      </c>
      <c r="C1301" s="1" t="str">
        <f t="shared" si="644"/>
        <v>本科</v>
      </c>
      <c r="D1301" s="1" t="str">
        <f>"20180628"</f>
        <v>20180628</v>
      </c>
      <c r="E1301" s="1" t="str">
        <f>"山东理工大学"</f>
        <v>山东理工大学</v>
      </c>
      <c r="F1301" s="1" t="str">
        <f>"会计学"</f>
        <v>会计学</v>
      </c>
      <c r="G1301" s="1" t="str">
        <f>"山东省东营市利津县利津街道办事处黄家村137号"</f>
        <v>山东省东营市利津县利津街道办事处黄家村137号</v>
      </c>
      <c r="H1301" s="1" t="str">
        <f>"中级会计专业技术资格、法律职业资格"</f>
        <v>中级会计专业技术资格、法律职业资格</v>
      </c>
      <c r="I1301" s="1" t="str">
        <f>" 2014.09-2018.06山东理工大学管理学院会计学系就读，全日制学历； 2018.09-2021.03中汇会计师事务所（特殊普通合伙）济南分所就职，任助理经理； 2021.04-2021.09，山东济南待业；2021.04-2021.09待业 2021.10-2021.11天职国际会计师事务所（特殊普通合伙）山东分所就职，任助理经理； 2021.12-至今山东济南待业"</f>
        <v> 2014.09-2018.06山东理工大学管理学院会计学系就读，全日制学历； 2018.09-2021.03中汇会计师事务所（特殊普通合伙）济南分所就职，任助理经理； 2021.04-2021.09，山东济南待业；2021.04-2021.09待业 2021.10-2021.11天职国际会计师事务所（特殊普通合伙）山东分所就职，任助理经理； 2021.12-至今山东济南待业</v>
      </c>
    </row>
    <row r="1302" spans="1:9">
      <c r="A1302" s="1" t="str">
        <f>"411327200012010020"</f>
        <v>411327200012010020</v>
      </c>
      <c r="B1302" s="1" t="str">
        <f t="shared" si="646"/>
        <v>共青团员</v>
      </c>
      <c r="C1302" s="1" t="str">
        <f t="shared" si="644"/>
        <v>本科</v>
      </c>
      <c r="D1302" s="1" t="str">
        <f>"20220701"</f>
        <v>20220701</v>
      </c>
      <c r="E1302" s="1" t="str">
        <f>"郑州财经学院"</f>
        <v>郑州财经学院</v>
      </c>
      <c r="F1302" s="1" t="str">
        <f>"投资学"</f>
        <v>投资学</v>
      </c>
      <c r="G1302" s="1" t="str">
        <f>"河南省南阳市内乡县"</f>
        <v>河南省南阳市内乡县</v>
      </c>
      <c r="H1302" s="1" t="str">
        <f t="shared" ref="H1302:H1313" si="647">"无"</f>
        <v>无</v>
      </c>
      <c r="I1302" s="1" t="str">
        <f>"201809-202207 郑州财经学院互联网金融学院投资学专业就读
202207-202210 在南阳市内乡县城关镇待业
202211-202305 菊潭学校初中部历史学科教师
202305-202311 在南阳市内乡县城关镇待业"</f>
        <v>201809-202207 郑州财经学院互联网金融学院投资学专业就读
202207-202210 在南阳市内乡县城关镇待业
202211-202305 菊潭学校初中部历史学科教师
202305-202311 在南阳市内乡县城关镇待业</v>
      </c>
    </row>
    <row r="1303" spans="1:9">
      <c r="A1303" s="1" t="str">
        <f>"412822200004252632"</f>
        <v>412822200004252632</v>
      </c>
      <c r="B1303" s="1" t="str">
        <f t="shared" si="646"/>
        <v>共青团员</v>
      </c>
      <c r="C1303" s="1" t="str">
        <f t="shared" si="644"/>
        <v>本科</v>
      </c>
      <c r="D1303" s="1" t="str">
        <f>"20190701"</f>
        <v>20190701</v>
      </c>
      <c r="E1303" s="1" t="str">
        <f>"河南财政金融学院"</f>
        <v>河南财政金融学院</v>
      </c>
      <c r="F1303" s="1" t="str">
        <f>"智能科学与技术"</f>
        <v>智能科学与技术</v>
      </c>
      <c r="G1303" s="1" t="str">
        <f>"河南省驻马店市驿城区御苑城2406"</f>
        <v>河南省驻马店市驿城区御苑城2406</v>
      </c>
      <c r="H1303" s="1" t="str">
        <f t="shared" si="647"/>
        <v>无</v>
      </c>
      <c r="I1303" s="1" t="str">
        <f>"201909-202307 河南财政金融学院计算机与人工智能学院智能科学与技术专业全日制本科就读
202307-202403 待业
202403-202411 洛阳中铁隧道局就业
202411-至今 待业"</f>
        <v>201909-202307 河南财政金融学院计算机与人工智能学院智能科学与技术专业全日制本科就读
202307-202403 待业
202403-202411 洛阳中铁隧道局就业
202411-至今 待业</v>
      </c>
    </row>
    <row r="1304" spans="1:9">
      <c r="A1304" s="1" t="str">
        <f>"411303199806084826"</f>
        <v>411303199806084826</v>
      </c>
      <c r="B1304" s="1" t="str">
        <f>"群众"</f>
        <v>群众</v>
      </c>
      <c r="C1304" s="1" t="str">
        <f t="shared" si="644"/>
        <v>本科</v>
      </c>
      <c r="D1304" s="1" t="str">
        <f>"2023-07-01"</f>
        <v>2023-07-01</v>
      </c>
      <c r="E1304" s="1" t="str">
        <f>"南阳理工学院"</f>
        <v>南阳理工学院</v>
      </c>
      <c r="F1304" s="1" t="str">
        <f>"工程管理"</f>
        <v>工程管理</v>
      </c>
      <c r="G1304" s="1" t="str">
        <f>"南阳市卧龙区潦河镇小官庄村"</f>
        <v>南阳市卧龙区潦河镇小官庄村</v>
      </c>
      <c r="H1304" s="1" t="str">
        <f t="shared" si="647"/>
        <v>无</v>
      </c>
      <c r="I1304" s="1" t="str">
        <f>"201609-201907，在河南工业职业技术学院工程造价专业就读，202103-202307，南阳理工学院工程管理专业毕业，否全日制，201901-2021.12在南阳市宛城区人社局社会保险公共业务部担任办事员一职，202201-202302待业，202303-至今在南阳市宛城区林业局就业。"</f>
        <v>201609-201907，在河南工业职业技术学院工程造价专业就读，202103-202307，南阳理工学院工程管理专业毕业，否全日制，201901-2021.12在南阳市宛城区人社局社会保险公共业务部担任办事员一职，202201-202302待业，202303-至今在南阳市宛城区林业局就业。</v>
      </c>
    </row>
    <row r="1305" spans="1:9">
      <c r="A1305" s="1" t="str">
        <f>"411323200302260081"</f>
        <v>411323200302260081</v>
      </c>
      <c r="B1305" s="1" t="str">
        <f t="shared" ref="B1305:B1310" si="648">"中共党员"</f>
        <v>中共党员</v>
      </c>
      <c r="C1305" s="1" t="str">
        <f t="shared" si="644"/>
        <v>本科</v>
      </c>
      <c r="D1305" s="1" t="str">
        <f>"2024-06-18"</f>
        <v>2024-06-18</v>
      </c>
      <c r="E1305" s="1" t="str">
        <f>"河南农业大学"</f>
        <v>河南农业大学</v>
      </c>
      <c r="F1305" s="1" t="str">
        <f>"城乡规划（美丽乡村）"</f>
        <v>城乡规划（美丽乡村）</v>
      </c>
      <c r="G1305" s="1" t="str">
        <f>"河南省南阳市淅川县商圣街道狮子路社区"</f>
        <v>河南省南阳市淅川县商圣街道狮子路社区</v>
      </c>
      <c r="H1305" s="1" t="str">
        <f t="shared" si="647"/>
        <v>无</v>
      </c>
      <c r="I1305" s="1" t="str">
        <f>"2020 09-2024 06 河南农业大学城乡规划（美丽乡村）专业就读，全日制学历
2024 06至今待业"</f>
        <v>2020 09-2024 06 河南农业大学城乡规划（美丽乡村）专业就读，全日制学历
2024 06至今待业</v>
      </c>
    </row>
    <row r="1306" spans="1:9">
      <c r="A1306" s="1" t="str">
        <f>"41042219970922101X"</f>
        <v>41042219970922101X</v>
      </c>
      <c r="B1306" s="1" t="str">
        <f t="shared" ref="B1306:B1309" si="649">"共青团员"</f>
        <v>共青团员</v>
      </c>
      <c r="C1306" s="1" t="str">
        <f t="shared" si="644"/>
        <v>本科</v>
      </c>
      <c r="D1306" s="1" t="str">
        <f>"20230630"</f>
        <v>20230630</v>
      </c>
      <c r="E1306" s="1" t="str">
        <f>"河南科技学院"</f>
        <v>河南科技学院</v>
      </c>
      <c r="F1306" s="1" t="str">
        <f>"环境科学"</f>
        <v>环境科学</v>
      </c>
      <c r="G1306" s="1" t="str">
        <f>"河南省平顶山市叶县盐都街道东卫庄村"</f>
        <v>河南省平顶山市叶县盐都街道东卫庄村</v>
      </c>
      <c r="H1306" s="1" t="str">
        <f t="shared" si="647"/>
        <v>无</v>
      </c>
      <c r="I1306" s="1" t="str">
        <f>"201909-202306  河南科技学院  资源与环境学院  环境科学专业 就读 是全日制学历
202306-202411 双胞胎集团  环保员岗位
202411-202507 在河南省平顶山市待业"</f>
        <v>201909-202306  河南科技学院  资源与环境学院  环境科学专业 就读 是全日制学历
202306-202411 双胞胎集团  环保员岗位
202411-202507 在河南省平顶山市待业</v>
      </c>
    </row>
    <row r="1307" spans="1:9">
      <c r="A1307" s="1" t="str">
        <f>"41132720010502451X"</f>
        <v>41132720010502451X</v>
      </c>
      <c r="B1307" s="1" t="str">
        <f t="shared" si="649"/>
        <v>共青团员</v>
      </c>
      <c r="C1307" s="1" t="str">
        <f t="shared" si="644"/>
        <v>本科</v>
      </c>
      <c r="D1307" s="1" t="str">
        <f>"20250701"</f>
        <v>20250701</v>
      </c>
      <c r="E1307" s="1" t="str">
        <f>"郑州师范学院"</f>
        <v>郑州师范学院</v>
      </c>
      <c r="F1307" s="1" t="str">
        <f>"休闲体育"</f>
        <v>休闲体育</v>
      </c>
      <c r="G1307" s="1" t="str">
        <f>"河南省南阳市"</f>
        <v>河南省南阳市</v>
      </c>
      <c r="H1307" s="1" t="str">
        <f t="shared" si="647"/>
        <v>无</v>
      </c>
      <c r="I1307" s="1" t="str">
        <f>"202109-202507在郑州师范学院体育学院休闲体育专业就读，是全日制本科"</f>
        <v>202109-202507在郑州师范学院体育学院休闲体育专业就读，是全日制本科</v>
      </c>
    </row>
    <row r="1308" spans="1:9">
      <c r="A1308" s="1" t="str">
        <f>"50023620001220066X"</f>
        <v>50023620001220066X</v>
      </c>
      <c r="B1308" s="1" t="str">
        <f t="shared" si="648"/>
        <v>中共党员</v>
      </c>
      <c r="C1308" s="1" t="str">
        <f>"专科"</f>
        <v>专科</v>
      </c>
      <c r="D1308" s="1" t="str">
        <f>"20220701"</f>
        <v>20220701</v>
      </c>
      <c r="E1308" s="1" t="str">
        <f>"重庆传媒职业学院"</f>
        <v>重庆传媒职业学院</v>
      </c>
      <c r="F1308" s="1" t="str">
        <f>"应用英语"</f>
        <v>应用英语</v>
      </c>
      <c r="G1308" s="1" t="str">
        <f>"湖北省神农架林区松柏镇滨河小区"</f>
        <v>湖北省神农架林区松柏镇滨河小区</v>
      </c>
      <c r="H1308" s="1" t="str">
        <f t="shared" si="647"/>
        <v>无</v>
      </c>
      <c r="I1308" s="1" t="str">
        <f>"201909-202206 就读于重庆传媒职业学院应用英语专业 全日制
202209至今 就读国家开放大学汉语言文学(师范方向）专业 非全日制
202207-202211 在重庆市奉节县岩湾乡待业
202212-202407 在重庆市奉节县岩湾乡任职公益性岗位
202408至今 在湖北省神农架林区人社局任职三支一扶
"</f>
        <v>201909-202206 就读于重庆传媒职业学院应用英语专业 全日制
202209至今 就读国家开放大学汉语言文学(师范方向）专业 非全日制
202207-202211 在重庆市奉节县岩湾乡待业
202212-202407 在重庆市奉节县岩湾乡任职公益性岗位
202408至今 在湖北省神农架林区人社局任职三支一扶
</v>
      </c>
    </row>
    <row r="1309" spans="1:9">
      <c r="A1309" s="1" t="str">
        <f>"411327200202171538"</f>
        <v>411327200202171538</v>
      </c>
      <c r="B1309" s="1" t="str">
        <f t="shared" si="649"/>
        <v>共青团员</v>
      </c>
      <c r="C1309" s="1" t="str">
        <f t="shared" ref="C1309:C1314" si="650">"本科"</f>
        <v>本科</v>
      </c>
      <c r="D1309" s="1" t="str">
        <f>"20240715"</f>
        <v>20240715</v>
      </c>
      <c r="E1309" s="1" t="str">
        <f>"河南工学院"</f>
        <v>河南工学院</v>
      </c>
      <c r="F1309" s="1" t="str">
        <f>"金融数学"</f>
        <v>金融数学</v>
      </c>
      <c r="G1309" s="1" t="str">
        <f>"河南省南阳市内乡县"</f>
        <v>河南省南阳市内乡县</v>
      </c>
      <c r="H1309" s="1" t="str">
        <f t="shared" si="647"/>
        <v>无</v>
      </c>
      <c r="I1309" s="1" t="str">
        <f>"202009-202406 河南工学院 全日制金融数学专业 就读"</f>
        <v>202009-202406 河南工学院 全日制金融数学专业 就读</v>
      </c>
    </row>
    <row r="1310" spans="1:9">
      <c r="A1310" s="1" t="str">
        <f>"411327200305214916"</f>
        <v>411327200305214916</v>
      </c>
      <c r="B1310" s="1" t="str">
        <f t="shared" si="648"/>
        <v>中共党员</v>
      </c>
      <c r="C1310" s="1" t="str">
        <f t="shared" si="650"/>
        <v>本科</v>
      </c>
      <c r="D1310" s="1" t="str">
        <f>"20250620"</f>
        <v>20250620</v>
      </c>
      <c r="E1310" s="1" t="str">
        <f>"郑州航空工业管理学院"</f>
        <v>郑州航空工业管理学院</v>
      </c>
      <c r="F1310" s="1" t="str">
        <f>"贸易经济"</f>
        <v>贸易经济</v>
      </c>
      <c r="G1310" s="1" t="str">
        <f>"河南省内乡县灌涨镇罗庄路口"</f>
        <v>河南省内乡县灌涨镇罗庄路口</v>
      </c>
      <c r="H1310" s="1" t="str">
        <f t="shared" si="647"/>
        <v>无</v>
      </c>
      <c r="I1310" s="1" t="str">
        <f>"202109—20250620 郑州航空工业管理学院 就读 是全日制学历"</f>
        <v>202109—20250620 郑州航空工业管理学院 就读 是全日制学历</v>
      </c>
    </row>
    <row r="1311" spans="1:9">
      <c r="A1311" s="1" t="str">
        <f>"411327200406190036"</f>
        <v>411327200406190036</v>
      </c>
      <c r="B1311" s="1" t="str">
        <f t="shared" ref="B1311:B1315" si="651">"群众"</f>
        <v>群众</v>
      </c>
      <c r="C1311" s="1" t="str">
        <f>"专科"</f>
        <v>专科</v>
      </c>
      <c r="D1311" s="1" t="str">
        <f>"2026年6月13日"</f>
        <v>2026年6月13日</v>
      </c>
      <c r="E1311" s="1" t="str">
        <f>"三门峡职业技术学院"</f>
        <v>三门峡职业技术学院</v>
      </c>
      <c r="F1311" s="1" t="str">
        <f>"建筑室内设计"</f>
        <v>建筑室内设计</v>
      </c>
      <c r="G1311" s="1" t="str">
        <f>"河南省南阳市内乡县"</f>
        <v>河南省南阳市内乡县</v>
      </c>
      <c r="H1311" s="1" t="str">
        <f t="shared" si="647"/>
        <v>无</v>
      </c>
      <c r="I1311" s="1" t="str">
        <f>"202309-202606 三门峡职业技术学院建筑工程学院室内设计专业就读 全日制"</f>
        <v>202309-202606 三门峡职业技术学院建筑工程学院室内设计专业就读 全日制</v>
      </c>
    </row>
    <row r="1312" spans="1:9">
      <c r="A1312" s="1" t="str">
        <f>"410322199707081839"</f>
        <v>410322199707081839</v>
      </c>
      <c r="B1312" s="1" t="str">
        <f>"中共党员"</f>
        <v>中共党员</v>
      </c>
      <c r="C1312" s="1" t="str">
        <f t="shared" si="650"/>
        <v>本科</v>
      </c>
      <c r="D1312" s="1" t="str">
        <f>"20200701"</f>
        <v>20200701</v>
      </c>
      <c r="E1312" s="1" t="str">
        <f>"洛阳理工学院"</f>
        <v>洛阳理工学院</v>
      </c>
      <c r="F1312" s="1" t="str">
        <f>"土木工程"</f>
        <v>土木工程</v>
      </c>
      <c r="G1312" s="1" t="str">
        <f>"河南省洛阳市孟津区"</f>
        <v>河南省洛阳市孟津区</v>
      </c>
      <c r="H1312" s="1" t="str">
        <f t="shared" si="647"/>
        <v>无</v>
      </c>
      <c r="I1312" s="1" t="str">
        <f>"201609-2020-07在洛阳理工学院土木工程学院土木工程专业就读，全日制本科；2020-07-2025-07在中铁二十一局三公司拉日高速项目部任职"</f>
        <v>201609-2020-07在洛阳理工学院土木工程学院土木工程专业就读，全日制本科；2020-07-2025-07在中铁二十一局三公司拉日高速项目部任职</v>
      </c>
    </row>
    <row r="1313" spans="1:9">
      <c r="A1313" s="1" t="str">
        <f>"410221199411163841"</f>
        <v>410221199411163841</v>
      </c>
      <c r="B1313" s="1" t="str">
        <f t="shared" si="651"/>
        <v>群众</v>
      </c>
      <c r="C1313" s="1" t="str">
        <f t="shared" si="650"/>
        <v>本科</v>
      </c>
      <c r="D1313" s="1" t="str">
        <f>"20190607"</f>
        <v>20190607</v>
      </c>
      <c r="E1313" s="1" t="str">
        <f>"信阳师范学院"</f>
        <v>信阳师范学院</v>
      </c>
      <c r="F1313" s="1" t="str">
        <f>"国际经济与贸易"</f>
        <v>国际经济与贸易</v>
      </c>
      <c r="G1313" s="1" t="str">
        <f>"郑州市管城区商城花园"</f>
        <v>郑州市管城区商城花园</v>
      </c>
      <c r="H1313" s="1" t="str">
        <f t="shared" si="647"/>
        <v>无</v>
      </c>
      <c r="I1313" s="1" t="str">
        <f>"201509-201906 信阳师范学院  国际经济与贸易专业
201906-202208  网易有道学管师
202208-至今  待业"</f>
        <v>201509-201906 信阳师范学院  国际经济与贸易专业
201906-202208  网易有道学管师
202208-至今  待业</v>
      </c>
    </row>
    <row r="1314" spans="1:9">
      <c r="A1314" s="1" t="str">
        <f>"410421199803203049"</f>
        <v>410421199803203049</v>
      </c>
      <c r="B1314" s="1" t="str">
        <f t="shared" si="651"/>
        <v>群众</v>
      </c>
      <c r="C1314" s="1" t="str">
        <f t="shared" si="650"/>
        <v>本科</v>
      </c>
      <c r="D1314" s="1" t="str">
        <f>"20210630"</f>
        <v>20210630</v>
      </c>
      <c r="E1314" s="1" t="str">
        <f>"郑州工商学院"</f>
        <v>郑州工商学院</v>
      </c>
      <c r="F1314" s="1" t="str">
        <f>"会计学"</f>
        <v>会计学</v>
      </c>
      <c r="G1314" s="1" t="str">
        <f>"河南省平顶山市宝丰县煤炭局家属院"</f>
        <v>河南省平顶山市宝丰县煤炭局家属院</v>
      </c>
      <c r="H1314" s="1" t="str">
        <f>"初级会计证"</f>
        <v>初级会计证</v>
      </c>
      <c r="I1314" s="1" t="str">
        <f>"201709—202107 郑州工商学院
202108-202201 新希望六和股份有限公司
202204—至今平顶山市博翔碳素有限公司"</f>
        <v>201709—202107 郑州工商学院
202108-202201 新希望六和股份有限公司
202204—至今平顶山市博翔碳素有限公司</v>
      </c>
    </row>
    <row r="1315" spans="1:9">
      <c r="A1315" s="1" t="str">
        <f>"411327199608100013"</f>
        <v>411327199608100013</v>
      </c>
      <c r="B1315" s="1" t="str">
        <f t="shared" si="651"/>
        <v>群众</v>
      </c>
      <c r="C1315" s="1" t="str">
        <f>"专科"</f>
        <v>专科</v>
      </c>
      <c r="D1315" s="1" t="str">
        <f>"20170701"</f>
        <v>20170701</v>
      </c>
      <c r="E1315" s="1" t="str">
        <f>"河南应用技术职业学院"</f>
        <v>河南应用技术职业学院</v>
      </c>
      <c r="F1315" s="1" t="str">
        <f>"机电一体化技术"</f>
        <v>机电一体化技术</v>
      </c>
      <c r="G1315" s="1" t="str">
        <f>"内乡县城关镇学府公馆小区"</f>
        <v>内乡县城关镇学府公馆小区</v>
      </c>
      <c r="H1315" s="1" t="str">
        <f t="shared" ref="H1315:H1317" si="652">"无"</f>
        <v>无</v>
      </c>
      <c r="I1315" s="1" t="str">
        <f>"2014年9月—2017年7月在河南应用技术职业学院就读，为全日制学历。2017年8月至今在内乡县信访局工作。"</f>
        <v>2014年9月—2017年7月在河南应用技术职业学院就读，为全日制学历。2017年8月至今在内乡县信访局工作。</v>
      </c>
    </row>
    <row r="1316" spans="1:9">
      <c r="A1316" s="1" t="str">
        <f>"411381200212154246"</f>
        <v>411381200212154246</v>
      </c>
      <c r="B1316" s="1" t="str">
        <f t="shared" ref="B1316:B1320" si="653">"共青团员"</f>
        <v>共青团员</v>
      </c>
      <c r="C1316" s="1" t="str">
        <f t="shared" ref="C1316:C1320" si="654">"本科"</f>
        <v>本科</v>
      </c>
      <c r="D1316" s="1" t="str">
        <f>"20250620"</f>
        <v>20250620</v>
      </c>
      <c r="E1316" s="1" t="str">
        <f>"河南财经政法大学"</f>
        <v>河南财经政法大学</v>
      </c>
      <c r="F1316" s="1" t="str">
        <f>"汉语言文学"</f>
        <v>汉语言文学</v>
      </c>
      <c r="G1316" s="1" t="str">
        <f>"河南省南阳市内乡县湍东镇梨苑山庄南门附近"</f>
        <v>河南省南阳市内乡县湍东镇梨苑山庄南门附近</v>
      </c>
      <c r="H1316" s="1" t="str">
        <f t="shared" si="652"/>
        <v>无</v>
      </c>
      <c r="I1316" s="1" t="str">
        <f>"202109-202506 ，河南财经政法大学 文化传播学院 汉语言文学专业就读，是全日制学历；202507-至今，在河南省南阳市内乡县待业。"</f>
        <v>202109-202506 ，河南财经政法大学 文化传播学院 汉语言文学专业就读，是全日制学历；202507-至今，在河南省南阳市内乡县待业。</v>
      </c>
    </row>
    <row r="1317" spans="1:9">
      <c r="A1317" s="1" t="str">
        <f>"411303200008300040"</f>
        <v>411303200008300040</v>
      </c>
      <c r="B1317" s="1" t="str">
        <f t="shared" si="653"/>
        <v>共青团员</v>
      </c>
      <c r="C1317" s="1" t="str">
        <f>"硕士研究生"</f>
        <v>硕士研究生</v>
      </c>
      <c r="D1317" s="1" t="str">
        <f>"20240926"</f>
        <v>20240926</v>
      </c>
      <c r="E1317" s="1" t="str">
        <f>"新南威尔士大学"</f>
        <v>新南威尔士大学</v>
      </c>
      <c r="F1317" s="1" t="str">
        <f>"金融学"</f>
        <v>金融学</v>
      </c>
      <c r="G1317" s="1" t="str">
        <f>"河南省南阳市宛城区白河西路恒大御景湾"</f>
        <v>河南省南阳市宛城区白河西路恒大御景湾</v>
      </c>
      <c r="H1317" s="1" t="str">
        <f t="shared" si="652"/>
        <v>无</v>
      </c>
      <c r="I1317" s="1" t="str">
        <f>"201909-202303在惠灵顿维多利亚大学就读，商学院金融学专业学士，是全日制学历。202309-202409在新南威尔士大学就读，商学院金融学专业硕士，是全日制学历。"</f>
        <v>201909-202303在惠灵顿维多利亚大学就读，商学院金融学专业学士，是全日制学历。202309-202409在新南威尔士大学就读，商学院金融学专业硕士，是全日制学历。</v>
      </c>
    </row>
    <row r="1318" spans="1:9">
      <c r="A1318" s="1" t="str">
        <f>"411327199001301142"</f>
        <v>411327199001301142</v>
      </c>
      <c r="B1318" s="1" t="str">
        <f t="shared" ref="B1318:B1323" si="655">"群众"</f>
        <v>群众</v>
      </c>
      <c r="C1318" s="1" t="str">
        <f t="shared" si="654"/>
        <v>本科</v>
      </c>
      <c r="D1318" s="1" t="str">
        <f>"20130701"</f>
        <v>20130701</v>
      </c>
      <c r="E1318" s="1" t="str">
        <f>"郑州大学升达经贸管理学院"</f>
        <v>郑州大学升达经贸管理学院</v>
      </c>
      <c r="F1318" s="1" t="str">
        <f>"国际经济与贸易"</f>
        <v>国际经济与贸易</v>
      </c>
      <c r="G1318" s="1" t="str">
        <f>"河南省内乡县建业森林半岛"</f>
        <v>河南省内乡县建业森林半岛</v>
      </c>
      <c r="H1318" s="1" t="str">
        <f>"CET6"</f>
        <v>CET6</v>
      </c>
      <c r="I1318" s="1" t="str">
        <f>"200909-201307  郑州大学升达经贸管理学院 就读  全日制本科"</f>
        <v>200909-201307  郑州大学升达经贸管理学院 就读  全日制本科</v>
      </c>
    </row>
    <row r="1319" spans="1:9">
      <c r="A1319" s="1" t="str">
        <f>"412728200104102837"</f>
        <v>412728200104102837</v>
      </c>
      <c r="B1319" s="1" t="str">
        <f t="shared" si="653"/>
        <v>共青团员</v>
      </c>
      <c r="C1319" s="1" t="str">
        <f t="shared" si="654"/>
        <v>本科</v>
      </c>
      <c r="D1319" s="1" t="str">
        <f>"20240607"</f>
        <v>20240607</v>
      </c>
      <c r="E1319" s="1" t="str">
        <f>"郑州商学院"</f>
        <v>郑州商学院</v>
      </c>
      <c r="F1319" s="1" t="str">
        <f>"审计学"</f>
        <v>审计学</v>
      </c>
      <c r="G1319" s="1" t="str">
        <f>"河南省周口市沈丘县新安集镇单庄"</f>
        <v>河南省周口市沈丘县新安集镇单庄</v>
      </c>
      <c r="H1319" s="1" t="str">
        <f t="shared" ref="H1319:H1324" si="656">"无"</f>
        <v>无</v>
      </c>
      <c r="I1319" s="1" t="str">
        <f>"202009-202406 郑州商学院会计学院审计学就读 全日制学历
202406-202508 待业"</f>
        <v>202009-202406 郑州商学院会计学院审计学就读 全日制学历
202406-202508 待业</v>
      </c>
    </row>
    <row r="1320" spans="1:9">
      <c r="A1320" s="1" t="str">
        <f>"411324200109120024"</f>
        <v>411324200109120024</v>
      </c>
      <c r="B1320" s="1" t="str">
        <f t="shared" si="653"/>
        <v>共青团员</v>
      </c>
      <c r="C1320" s="1" t="str">
        <f t="shared" si="654"/>
        <v>本科</v>
      </c>
      <c r="D1320" s="1" t="str">
        <f>"20240701"</f>
        <v>20240701</v>
      </c>
      <c r="E1320" s="1" t="str">
        <f>"郑州商学院"</f>
        <v>郑州商学院</v>
      </c>
      <c r="F1320" s="1" t="str">
        <f>"视觉传达设计"</f>
        <v>视觉传达设计</v>
      </c>
      <c r="G1320" s="1" t="str">
        <f>"河南省南阳市镇平县涅阳路118号龙源新城"</f>
        <v>河南省南阳市镇平县涅阳路118号龙源新城</v>
      </c>
      <c r="H1320" s="1" t="str">
        <f t="shared" si="656"/>
        <v>无</v>
      </c>
      <c r="I1320" s="1" t="str">
        <f>"202009-202407 郑州商学院艺术学院视觉传达设计专业就读。是全日制学历。"</f>
        <v>202009-202407 郑州商学院艺术学院视觉传达设计专业就读。是全日制学历。</v>
      </c>
    </row>
    <row r="1321" spans="1:9">
      <c r="A1321" s="1" t="str">
        <f>"412702199912066521"</f>
        <v>412702199912066521</v>
      </c>
      <c r="B1321" s="1" t="str">
        <f>"中共党员"</f>
        <v>中共党员</v>
      </c>
      <c r="C1321" s="1" t="str">
        <f t="shared" ref="C1321:C1326" si="657">"专科"</f>
        <v>专科</v>
      </c>
      <c r="D1321" s="1" t="str">
        <f>"20210701"</f>
        <v>20210701</v>
      </c>
      <c r="E1321" s="1" t="str">
        <f>"黄河水利职业技术学院"</f>
        <v>黄河水利职业技术学院</v>
      </c>
      <c r="F1321" s="1" t="str">
        <f>"空中乘务"</f>
        <v>空中乘务</v>
      </c>
      <c r="G1321" s="1" t="str">
        <f>"河南省周口市项城市金帝世家"</f>
        <v>河南省周口市项城市金帝世家</v>
      </c>
      <c r="H1321" s="1" t="str">
        <f>"普通话二甲"</f>
        <v>普通话二甲</v>
      </c>
      <c r="I1321" s="1" t="str">
        <f>"201809-202107黄河水利职业技术学院 旅游学院 空中乘务专业 就读 全日制
202107-202307 西部计划 河南省周口市沈丘县团委 工作
202109-202507郑州大学 继续教育学院 法学专业 就读 非全日制
202308-202404 河南省周口市沈丘县待业
202405-至今 河南省周口市沈丘县执法大队"</f>
        <v>201809-202107黄河水利职业技术学院 旅游学院 空中乘务专业 就读 全日制
202107-202307 西部计划 河南省周口市沈丘县团委 工作
202109-202507郑州大学 继续教育学院 法学专业 就读 非全日制
202308-202404 河南省周口市沈丘县待业
202405-至今 河南省周口市沈丘县执法大队</v>
      </c>
    </row>
    <row r="1322" spans="1:9">
      <c r="A1322" s="1" t="str">
        <f>"411327200009201512"</f>
        <v>411327200009201512</v>
      </c>
      <c r="B1322" s="1" t="str">
        <f t="shared" si="655"/>
        <v>群众</v>
      </c>
      <c r="C1322" s="1" t="str">
        <f t="shared" si="657"/>
        <v>专科</v>
      </c>
      <c r="D1322" s="1" t="str">
        <f>"20210623"</f>
        <v>20210623</v>
      </c>
      <c r="E1322" s="1" t="str">
        <f>"郑州交通技师学院"</f>
        <v>郑州交通技师学院</v>
      </c>
      <c r="F1322" s="1" t="str">
        <f>"公路工程测量"</f>
        <v>公路工程测量</v>
      </c>
      <c r="G1322" s="1" t="str">
        <f>"内乡县林场小区"</f>
        <v>内乡县林场小区</v>
      </c>
      <c r="H1322" s="1" t="str">
        <f>"高级工"</f>
        <v>高级工</v>
      </c>
      <c r="I1322" s="1" t="str">
        <f>"2"</f>
        <v>2</v>
      </c>
    </row>
    <row r="1323" spans="1:9">
      <c r="A1323" s="1" t="str">
        <f>"412826199901092827"</f>
        <v>412826199901092827</v>
      </c>
      <c r="B1323" s="1" t="str">
        <f t="shared" si="655"/>
        <v>群众</v>
      </c>
      <c r="C1323" s="1" t="str">
        <f t="shared" ref="C1323:C1325" si="658">"本科"</f>
        <v>本科</v>
      </c>
      <c r="D1323" s="1" t="str">
        <f>"20230701"</f>
        <v>20230701</v>
      </c>
      <c r="E1323" s="1" t="str">
        <f>"新乡学院"</f>
        <v>新乡学院</v>
      </c>
      <c r="F1323" s="1" t="str">
        <f>"汉语言文学"</f>
        <v>汉语言文学</v>
      </c>
      <c r="G1323" s="1" t="str">
        <f>"1035538092@qq.com"</f>
        <v>1035538092@qq.com</v>
      </c>
      <c r="H1323" s="1" t="str">
        <f t="shared" si="656"/>
        <v>无</v>
      </c>
      <c r="I1323" s="1" t="str">
        <f>"20170901—20200701在江西泰豪动漫职业学院，影视动画专业就读，是全日制；20210301—20230701在新乡学院，汉语言文学专业就读，非全日制；20201215—20250729入职汝南县行政服务中心政府购岗，期间负责分担办公室工作，ppt的制作等。"</f>
        <v>20170901—20200701在江西泰豪动漫职业学院，影视动画专业就读，是全日制；20210301—20230701在新乡学院，汉语言文学专业就读，非全日制；20201215—20250729入职汝南县行政服务中心政府购岗，期间负责分担办公室工作，ppt的制作等。</v>
      </c>
    </row>
    <row r="1324" spans="1:9">
      <c r="A1324" s="1" t="str">
        <f>"411327200308240044"</f>
        <v>411327200308240044</v>
      </c>
      <c r="B1324" s="1" t="str">
        <f>"共青团员"</f>
        <v>共青团员</v>
      </c>
      <c r="C1324" s="1" t="str">
        <f t="shared" si="658"/>
        <v>本科</v>
      </c>
      <c r="D1324" s="1" t="str">
        <f>"20250618"</f>
        <v>20250618</v>
      </c>
      <c r="E1324" s="1" t="str">
        <f>"南京林业大学"</f>
        <v>南京林业大学</v>
      </c>
      <c r="F1324" s="1" t="str">
        <f>"信息与计算科学"</f>
        <v>信息与计算科学</v>
      </c>
      <c r="G1324" s="1" t="str">
        <f>"无"</f>
        <v>无</v>
      </c>
      <c r="H1324" s="1" t="str">
        <f t="shared" si="656"/>
        <v>无</v>
      </c>
      <c r="I1324" s="1" t="str">
        <f>"202109-202506南京林业大学理学院信息与计算科学就读，全日制学历"</f>
        <v>202109-202506南京林业大学理学院信息与计算科学就读，全日制学历</v>
      </c>
    </row>
    <row r="1325" spans="1:9">
      <c r="A1325" s="1" t="str">
        <f>"41132719940613061X"</f>
        <v>41132719940613061X</v>
      </c>
      <c r="B1325" s="1" t="str">
        <f>"群众"</f>
        <v>群众</v>
      </c>
      <c r="C1325" s="1" t="str">
        <f t="shared" si="658"/>
        <v>本科</v>
      </c>
      <c r="D1325" s="1" t="str">
        <f>"20170701"</f>
        <v>20170701</v>
      </c>
      <c r="E1325" s="1" t="str">
        <f>"郑州科技学院"</f>
        <v>郑州科技学院</v>
      </c>
      <c r="F1325" s="1" t="str">
        <f>"建筑环境与能源应用工程"</f>
        <v>建筑环境与能源应用工程</v>
      </c>
      <c r="G1325" s="1" t="str">
        <f>"河南省南阳市内乡县马山口镇茨元村4组"</f>
        <v>河南省南阳市内乡县马山口镇茨元村4组</v>
      </c>
      <c r="H1325" s="1" t="str">
        <f>"初级职称"</f>
        <v>初级职称</v>
      </c>
      <c r="I1325" s="1" t="str">
        <f>"201309-201707 郑州科技学院土木工程院系建筑环境与能源应用工程专业就读，全日制学历
201707-202412中创恒基建设工程有限公司职工
202501-至今河南省南阳市内乡县马山口镇茨元村待业"</f>
        <v>201309-201707 郑州科技学院土木工程院系建筑环境与能源应用工程专业就读，全日制学历
201707-202412中创恒基建设工程有限公司职工
202501-至今河南省南阳市内乡县马山口镇茨元村待业</v>
      </c>
    </row>
    <row r="1326" spans="1:9">
      <c r="A1326" s="1" t="str">
        <f>"411103200503070034"</f>
        <v>411103200503070034</v>
      </c>
      <c r="B1326" s="1" t="str">
        <f>"群众"</f>
        <v>群众</v>
      </c>
      <c r="C1326" s="1" t="str">
        <f t="shared" si="657"/>
        <v>专科</v>
      </c>
      <c r="D1326" s="1" t="str">
        <f>"20250610"</f>
        <v>20250610</v>
      </c>
      <c r="E1326" s="1" t="str">
        <f>"山东英才学院"</f>
        <v>山东英才学院</v>
      </c>
      <c r="F1326" s="1" t="str">
        <f>"大数据技术"</f>
        <v>大数据技术</v>
      </c>
      <c r="G1326" s="1" t="str">
        <f>"河南省漯河市郾城区黄河路中段390号院二单元6楼"</f>
        <v>河南省漯河市郾城区黄河路中段390号院二单元6楼</v>
      </c>
      <c r="H1326" s="1" t="str">
        <f t="shared" ref="H1326:H1334" si="659">"无"</f>
        <v>无</v>
      </c>
      <c r="I1326" s="1" t="str">
        <f>"202209-202506 山东英才学院工学院大数据技术专业就读  全日制专科"</f>
        <v>202209-202506 山东英才学院工学院大数据技术专业就读  全日制专科</v>
      </c>
    </row>
    <row r="1327" spans="1:9">
      <c r="A1327" s="1" t="str">
        <f>"412828199905205115"</f>
        <v>412828199905205115</v>
      </c>
      <c r="B1327" s="1" t="str">
        <f t="shared" ref="B1327:B1331" si="660">"共青团员"</f>
        <v>共青团员</v>
      </c>
      <c r="C1327" s="1" t="str">
        <f t="shared" ref="C1327:C1331" si="661">"本科"</f>
        <v>本科</v>
      </c>
      <c r="D1327" s="1" t="str">
        <f>"2024-06-30"</f>
        <v>2024-06-30</v>
      </c>
      <c r="E1327" s="1" t="str">
        <f>"郑州轻工业大学"</f>
        <v>郑州轻工业大学</v>
      </c>
      <c r="F1327" s="1" t="str">
        <f>"市场营销"</f>
        <v>市场营销</v>
      </c>
      <c r="G1327" s="1" t="str">
        <f>"驻马店市新蔡县如意花园"</f>
        <v>驻马店市新蔡县如意花园</v>
      </c>
      <c r="H1327" s="1" t="str">
        <f t="shared" si="659"/>
        <v>无</v>
      </c>
      <c r="I1327" s="1" t="str">
        <f>"201709-201806 郑州科技学院 就读
201809-202009 联勤保障部队 服役
202009-202206 郑州科技学院 就读
202209-202406 郑州轻工业大学 就读
202406-至今 待业"</f>
        <v>201709-201806 郑州科技学院 就读
201809-202009 联勤保障部队 服役
202009-202206 郑州科技学院 就读
202209-202406 郑州轻工业大学 就读
202406-至今 待业</v>
      </c>
    </row>
    <row r="1328" spans="1:9">
      <c r="A1328" s="1" t="str">
        <f>"411326199508072418"</f>
        <v>411326199508072418</v>
      </c>
      <c r="B1328" s="1" t="str">
        <f>"中共党员"</f>
        <v>中共党员</v>
      </c>
      <c r="C1328" s="1" t="str">
        <f>"硕士研究生"</f>
        <v>硕士研究生</v>
      </c>
      <c r="D1328" s="1" t="str">
        <f>"20230614"</f>
        <v>20230614</v>
      </c>
      <c r="E1328" s="1" t="str">
        <f>"青海民族大学"</f>
        <v>青海民族大学</v>
      </c>
      <c r="F1328" s="1" t="str">
        <f>"中国少数民族经济"</f>
        <v>中国少数民族经济</v>
      </c>
      <c r="G1328" s="1" t="str">
        <f>"13271353715"</f>
        <v>13271353715</v>
      </c>
      <c r="H1328" s="1" t="str">
        <f t="shared" si="659"/>
        <v>无</v>
      </c>
      <c r="I1328" s="1" t="str">
        <f>"2013.09-2016.06 河南工业职业技术学院   经济贸易学院 会计电算化专业学生 （全日制大专）
2016.09-2018.06 安阳工学院 商学院 国际经济与贸易专业学生 （全日制专升本）
2018.07-2019.01 待业
2019.02-2020.08 南阳张衡中等职业学校 专职教师
2020.09-2023.06 青海民族大学 经济与管理学院 中国少数民族经济专业学生（全日制硕士研究生）
2023.07至今    南阳市宛城区宛南枫桥高级中学 政治教师"</f>
        <v>2013.09-2016.06 河南工业职业技术学院   经济贸易学院 会计电算化专业学生 （全日制大专）
2016.09-2018.06 安阳工学院 商学院 国际经济与贸易专业学生 （全日制专升本）
2018.07-2019.01 待业
2019.02-2020.08 南阳张衡中等职业学校 专职教师
2020.09-2023.06 青海民族大学 经济与管理学院 中国少数民族经济专业学生（全日制硕士研究生）
2023.07至今    南阳市宛城区宛南枫桥高级中学 政治教师</v>
      </c>
    </row>
    <row r="1329" spans="1:9">
      <c r="A1329" s="1" t="str">
        <f>"410726200007030013"</f>
        <v>410726200007030013</v>
      </c>
      <c r="B1329" s="1" t="str">
        <f>"中共党员"</f>
        <v>中共党员</v>
      </c>
      <c r="C1329" s="1" t="str">
        <f t="shared" si="661"/>
        <v>本科</v>
      </c>
      <c r="D1329" s="1" t="str">
        <f>"20230701"</f>
        <v>20230701</v>
      </c>
      <c r="E1329" s="1" t="str">
        <f>"郑州航空工业管理学院"</f>
        <v>郑州航空工业管理学院</v>
      </c>
      <c r="F1329" s="1" t="str">
        <f>"飞行器质量与可靠性"</f>
        <v>飞行器质量与可靠性</v>
      </c>
      <c r="G1329" s="1" t="str">
        <f>"新乡市延津县"</f>
        <v>新乡市延津县</v>
      </c>
      <c r="H1329" s="1" t="str">
        <f t="shared" si="659"/>
        <v>无</v>
      </c>
      <c r="I1329" s="1" t="str">
        <f>"201909-202307 郑州航空工业管理学院航空发动机学院飞行器质量与可靠性就读，全日制"</f>
        <v>201909-202307 郑州航空工业管理学院航空发动机学院飞行器质量与可靠性就读，全日制</v>
      </c>
    </row>
    <row r="1330" spans="1:9">
      <c r="A1330" s="1" t="str">
        <f>"410711199811282529"</f>
        <v>410711199811282529</v>
      </c>
      <c r="B1330" s="1" t="str">
        <f t="shared" si="660"/>
        <v>共青团员</v>
      </c>
      <c r="C1330" s="1" t="str">
        <f t="shared" si="661"/>
        <v>本科</v>
      </c>
      <c r="D1330" s="1" t="str">
        <f>"20220117"</f>
        <v>20220117</v>
      </c>
      <c r="E1330" s="1" t="str">
        <f>"河南城建学院"</f>
        <v>河南城建学院</v>
      </c>
      <c r="F1330" s="1" t="str">
        <f>"数学与应用数学"</f>
        <v>数学与应用数学</v>
      </c>
      <c r="G1330" s="1" t="str">
        <f>"河南省新乡市卫滨区馨华佳苑"</f>
        <v>河南省新乡市卫滨区馨华佳苑</v>
      </c>
      <c r="H1330" s="1" t="str">
        <f t="shared" si="659"/>
        <v>无</v>
      </c>
      <c r="I1330" s="1" t="str">
        <f>"201609--202201 河南城建学院  全日制本科  数理学院 数学与应用数学专业 就读
202201--至今 河南省新乡市待业"</f>
        <v>201609--202201 河南城建学院  全日制本科  数理学院 数学与应用数学专业 就读
202201--至今 河南省新乡市待业</v>
      </c>
    </row>
    <row r="1331" spans="1:9">
      <c r="A1331" s="1" t="str">
        <f>"410822200008275055"</f>
        <v>410822200008275055</v>
      </c>
      <c r="B1331" s="1" t="str">
        <f t="shared" si="660"/>
        <v>共青团员</v>
      </c>
      <c r="C1331" s="1" t="str">
        <f t="shared" si="661"/>
        <v>本科</v>
      </c>
      <c r="D1331" s="1" t="str">
        <f>"20230701"</f>
        <v>20230701</v>
      </c>
      <c r="E1331" s="1" t="str">
        <f>"郑州工商学院"</f>
        <v>郑州工商学院</v>
      </c>
      <c r="F1331" s="1" t="str">
        <f>"市场营销"</f>
        <v>市场营销</v>
      </c>
      <c r="G1331" s="1" t="str">
        <f>"河南省焦作市博爱县清华园小区"</f>
        <v>河南省焦作市博爱县清华园小区</v>
      </c>
      <c r="H1331" s="1" t="str">
        <f t="shared" si="659"/>
        <v>无</v>
      </c>
      <c r="I1331" s="1" t="str">
        <f>"201809-202107 郑州工程技术学院 经济与贸易学院 市场营销专业 就读 全日制学历。
202109-202307 郑州工商学院 商学院 市场营销专业 就读 全日制学历。
202307-202411 河南省焦作市博爱县待业
202411-202503 河南幸运咖餐饮管理有限公司 就业
202503-至今 河南省焦作市博爱县 待业"</f>
        <v>201809-202107 郑州工程技术学院 经济与贸易学院 市场营销专业 就读 全日制学历。
202109-202307 郑州工商学院 商学院 市场营销专业 就读 全日制学历。
202307-202411 河南省焦作市博爱县待业
202411-202503 河南幸运咖餐饮管理有限公司 就业
202503-至今 河南省焦作市博爱县 待业</v>
      </c>
    </row>
    <row r="1332" spans="1:9">
      <c r="A1332" s="1" t="str">
        <f>"411327200410013112"</f>
        <v>411327200410013112</v>
      </c>
      <c r="B1332" s="1" t="str">
        <f t="shared" ref="B1332:B1335" si="662">"群众"</f>
        <v>群众</v>
      </c>
      <c r="C1332" s="1" t="str">
        <f>"专科"</f>
        <v>专科</v>
      </c>
      <c r="D1332" s="1" t="str">
        <f>"20250615"</f>
        <v>20250615</v>
      </c>
      <c r="E1332" s="1" t="str">
        <f>"南阳农业职业学院"</f>
        <v>南阳农业职业学院</v>
      </c>
      <c r="F1332" s="1" t="str">
        <f>"畜牧兽医"</f>
        <v>畜牧兽医</v>
      </c>
      <c r="G1332" s="1" t="str">
        <f>"河南省南阳市内乡县"</f>
        <v>河南省南阳市内乡县</v>
      </c>
      <c r="H1332" s="1" t="str">
        <f t="shared" si="659"/>
        <v>无</v>
      </c>
      <c r="I1332" s="1" t="str">
        <f>"202209-202506南阳农业职业学院牧医工程学院畜牧兽医专业就读，是全日制"</f>
        <v>202209-202506南阳农业职业学院牧医工程学院畜牧兽医专业就读，是全日制</v>
      </c>
    </row>
    <row r="1333" spans="1:9">
      <c r="A1333" s="1" t="str">
        <f>"411325200305112028"</f>
        <v>411325200305112028</v>
      </c>
      <c r="B1333" s="1" t="str">
        <f t="shared" ref="B1333:B1340" si="663">"共青团员"</f>
        <v>共青团员</v>
      </c>
      <c r="C1333" s="1" t="str">
        <f t="shared" ref="C1333:C1336" si="664">"本科"</f>
        <v>本科</v>
      </c>
      <c r="D1333" s="1" t="str">
        <f>"20250628"</f>
        <v>20250628</v>
      </c>
      <c r="E1333" s="1" t="str">
        <f>"河南财经政法大学"</f>
        <v>河南财经政法大学</v>
      </c>
      <c r="F1333" s="1" t="str">
        <f>"广播电视学"</f>
        <v>广播电视学</v>
      </c>
      <c r="G1333" s="1" t="str">
        <f>"河南省南阳市内乡县师岗镇"</f>
        <v>河南省南阳市内乡县师岗镇</v>
      </c>
      <c r="H1333" s="1" t="str">
        <f t="shared" si="659"/>
        <v>无</v>
      </c>
      <c r="I1333" s="1" t="str">
        <f>"202109-202506 河南财经政法大学在读"</f>
        <v>202109-202506 河南财经政法大学在读</v>
      </c>
    </row>
    <row r="1334" spans="1:9">
      <c r="A1334" s="1" t="str">
        <f>"411327199406271156"</f>
        <v>411327199406271156</v>
      </c>
      <c r="B1334" s="1" t="str">
        <f t="shared" si="662"/>
        <v>群众</v>
      </c>
      <c r="C1334" s="1" t="str">
        <f t="shared" si="664"/>
        <v>本科</v>
      </c>
      <c r="D1334" s="1" t="str">
        <f>"20170601"</f>
        <v>20170601</v>
      </c>
      <c r="E1334" s="1" t="str">
        <f>"郑州成功财经学院"</f>
        <v>郑州成功财经学院</v>
      </c>
      <c r="F1334" s="1" t="str">
        <f>"工商管理（ERP方向）"</f>
        <v>工商管理（ERP方向）</v>
      </c>
      <c r="G1334" s="1" t="str">
        <f>"河南省内乡县赤眉镇邵家岭村上洼57号"</f>
        <v>河南省内乡县赤眉镇邵家岭村上洼57号</v>
      </c>
      <c r="H1334" s="1" t="str">
        <f t="shared" si="659"/>
        <v>无</v>
      </c>
      <c r="I1334" s="1" t="str">
        <f>"201309-201706郑州成功财经学院
201707-201801北京新亚中物业服务有限公司
201802-202102郑州合驭德商贸服务有限公司
202103-202108上海掌门科技有限公司
202109-202507郑州数喆数据科技有限公司"</f>
        <v>201309-201706郑州成功财经学院
201707-201801北京新亚中物业服务有限公司
201802-202102郑州合驭德商贸服务有限公司
202103-202108上海掌门科技有限公司
202109-202507郑州数喆数据科技有限公司</v>
      </c>
    </row>
    <row r="1335" spans="1:9">
      <c r="A1335" s="1" t="str">
        <f>"411503200310105343"</f>
        <v>411503200310105343</v>
      </c>
      <c r="B1335" s="1" t="str">
        <f t="shared" si="662"/>
        <v>群众</v>
      </c>
      <c r="C1335" s="1" t="str">
        <f t="shared" si="664"/>
        <v>本科</v>
      </c>
      <c r="D1335" s="1" t="str">
        <f>"20250613"</f>
        <v>20250613</v>
      </c>
      <c r="E1335" s="1" t="str">
        <f>"山西财经大学"</f>
        <v>山西财经大学</v>
      </c>
      <c r="F1335" s="1" t="str">
        <f>"会计学"</f>
        <v>会计学</v>
      </c>
      <c r="G1335" s="1" t="str">
        <f>"河南省信阳市平桥区欧洲故事65号楼"</f>
        <v>河南省信阳市平桥区欧洲故事65号楼</v>
      </c>
      <c r="H1335" s="1" t="str">
        <f>"初级会计专业技术资格"</f>
        <v>初级会计专业技术资格</v>
      </c>
      <c r="I1335" s="1" t="str">
        <f>"202109-202506 山西财经大学会计学院会计学 就读 全日制学历"</f>
        <v>202109-202506 山西财经大学会计学院会计学 就读 全日制学历</v>
      </c>
    </row>
    <row r="1336" spans="1:9">
      <c r="A1336" s="1" t="str">
        <f>"411327200107283523"</f>
        <v>411327200107283523</v>
      </c>
      <c r="B1336" s="1" t="str">
        <f t="shared" si="663"/>
        <v>共青团员</v>
      </c>
      <c r="C1336" s="1" t="str">
        <f t="shared" si="664"/>
        <v>本科</v>
      </c>
      <c r="D1336" s="1" t="str">
        <f>"20230630"</f>
        <v>20230630</v>
      </c>
      <c r="E1336" s="1" t="str">
        <f>"郑州轻工业大学"</f>
        <v>郑州轻工业大学</v>
      </c>
      <c r="F1336" s="1" t="str">
        <f>"会计学"</f>
        <v>会计学</v>
      </c>
      <c r="G1336" s="1" t="str">
        <f>"河南省南阳市内乡县"</f>
        <v>河南省南阳市内乡县</v>
      </c>
      <c r="H1336" s="1" t="str">
        <f>"初级会计"</f>
        <v>初级会计</v>
      </c>
      <c r="I1336" s="1" t="str">
        <f>"201909-202306  郑州轻工业大学经济与管理学院会计学专业就读  全日制学历
202306-至今       待业
"</f>
        <v>201909-202306  郑州轻工业大学经济与管理学院会计学专业就读  全日制学历
202306-至今       待业
</v>
      </c>
    </row>
    <row r="1337" spans="1:9">
      <c r="A1337" s="1" t="str">
        <f>"411327200311234921"</f>
        <v>411327200311234921</v>
      </c>
      <c r="B1337" s="1" t="str">
        <f>"群众"</f>
        <v>群众</v>
      </c>
      <c r="C1337" s="1" t="str">
        <f>"专科"</f>
        <v>专科</v>
      </c>
      <c r="D1337" s="1" t="str">
        <f t="shared" ref="D1337:D1340" si="665">"20250701"</f>
        <v>20250701</v>
      </c>
      <c r="E1337" s="1" t="str">
        <f>"濮阳医学高等专科学校"</f>
        <v>濮阳医学高等专科学校</v>
      </c>
      <c r="F1337" s="1" t="str">
        <f>"护理"</f>
        <v>护理</v>
      </c>
      <c r="G1337" s="1" t="str">
        <f>"河南省南阳市内乡县城关镇北关新华书店对面"</f>
        <v>河南省南阳市内乡县城关镇北关新华书店对面</v>
      </c>
      <c r="H1337" s="1" t="str">
        <f>"护士资格证"</f>
        <v>护士资格证</v>
      </c>
      <c r="I1337" s="1" t="str">
        <f>"202209-202507在濮阳医学高等专科学校护理学院护理专业就读，是全日制学历"</f>
        <v>202209-202507在濮阳医学高等专科学校护理学院护理专业就读，是全日制学历</v>
      </c>
    </row>
    <row r="1338" spans="1:9">
      <c r="A1338" s="1" t="str">
        <f>"41162419990218055X"</f>
        <v>41162419990218055X</v>
      </c>
      <c r="B1338" s="1" t="str">
        <f t="shared" si="663"/>
        <v>共青团员</v>
      </c>
      <c r="C1338" s="1" t="str">
        <f>"硕士研究生"</f>
        <v>硕士研究生</v>
      </c>
      <c r="D1338" s="1" t="str">
        <f>"20230630"</f>
        <v>20230630</v>
      </c>
      <c r="E1338" s="1" t="str">
        <f>"郑州大学"</f>
        <v>郑州大学</v>
      </c>
      <c r="F1338" s="1" t="str">
        <f>"材料与化工"</f>
        <v>材料与化工</v>
      </c>
      <c r="G1338" s="1" t="str">
        <f>"河南省周口市沈丘县北关丘溪街"</f>
        <v>河南省周口市沈丘县北关丘溪街</v>
      </c>
      <c r="H1338" s="1" t="str">
        <f t="shared" ref="H1338:H1342" si="666">"无"</f>
        <v>无</v>
      </c>
      <c r="I1338" s="1" t="str">
        <f>"201309-201606 沈丘一高 就读 理科
201609-202006 河南科技大学材料科学与工程学院材料成型及控制工程专业 就读 全日制学历
202009-202306 郑州大学河南先进技术研究院材料与化工专业 就读 全日制学历
 202307-202507沧州大化股份有限公司研发中心工作 职位研发工程师 
202507-至今郑州市高新区待业"</f>
        <v>201309-201606 沈丘一高 就读 理科
201609-202006 河南科技大学材料科学与工程学院材料成型及控制工程专业 就读 全日制学历
202009-202306 郑州大学河南先进技术研究院材料与化工专业 就读 全日制学历
 202307-202507沧州大化股份有限公司研发中心工作 职位研发工程师 
202507-至今郑州市高新区待业</v>
      </c>
    </row>
    <row r="1339" spans="1:9">
      <c r="A1339" s="1" t="str">
        <f>"411327200209121138"</f>
        <v>411327200209121138</v>
      </c>
      <c r="B1339" s="1" t="str">
        <f t="shared" si="663"/>
        <v>共青团员</v>
      </c>
      <c r="C1339" s="1" t="str">
        <f t="shared" ref="C1339:C1346" si="667">"本科"</f>
        <v>本科</v>
      </c>
      <c r="D1339" s="1" t="str">
        <f t="shared" si="665"/>
        <v>20250701</v>
      </c>
      <c r="E1339" s="1" t="str">
        <f>"河南师范大学"</f>
        <v>河南师范大学</v>
      </c>
      <c r="F1339" s="1" t="str">
        <f>"计算机科学与技术"</f>
        <v>计算机科学与技术</v>
      </c>
      <c r="G1339" s="1" t="str">
        <f>"河南省南阳市内乡县赤眉镇朱陈村龙头组"</f>
        <v>河南省南阳市内乡县赤眉镇朱陈村龙头组</v>
      </c>
      <c r="H1339" s="1" t="str">
        <f t="shared" si="666"/>
        <v>无</v>
      </c>
      <c r="I1339" s="1" t="str">
        <f>"202109-202507 河南师范大学就读软件学院计算机科学与技术专业，全日制学历"</f>
        <v>202109-202507 河南师范大学就读软件学院计算机科学与技术专业，全日制学历</v>
      </c>
    </row>
    <row r="1340" spans="1:9">
      <c r="A1340" s="1" t="str">
        <f>"411327200302120017"</f>
        <v>411327200302120017</v>
      </c>
      <c r="B1340" s="1" t="str">
        <f t="shared" si="663"/>
        <v>共青团员</v>
      </c>
      <c r="C1340" s="1" t="str">
        <f t="shared" si="667"/>
        <v>本科</v>
      </c>
      <c r="D1340" s="1" t="str">
        <f t="shared" si="665"/>
        <v>20250701</v>
      </c>
      <c r="E1340" s="1" t="str">
        <f>"安阳工学院"</f>
        <v>安阳工学院</v>
      </c>
      <c r="F1340" s="1" t="str">
        <f>"电气工程及其自动化"</f>
        <v>电气工程及其自动化</v>
      </c>
      <c r="G1340" s="1" t="str">
        <f>"内乡县湍东镇"</f>
        <v>内乡县湍东镇</v>
      </c>
      <c r="H1340" s="1" t="str">
        <f t="shared" si="666"/>
        <v>无</v>
      </c>
      <c r="I1340" s="1" t="str">
        <f>"202109-202507 安阳工学院 电子信息与无人机学院 电气工程及其自动化专业就读 是全日制本科"</f>
        <v>202109-202507 安阳工学院 电子信息与无人机学院 电气工程及其自动化专业就读 是全日制本科</v>
      </c>
    </row>
    <row r="1341" spans="1:9">
      <c r="A1341" s="1" t="str">
        <f>"411326200007273321"</f>
        <v>411326200007273321</v>
      </c>
      <c r="B1341" s="1" t="str">
        <f t="shared" ref="B1341:B1344" si="668">"群众"</f>
        <v>群众</v>
      </c>
      <c r="C1341" s="1" t="str">
        <f>"硕士研究生"</f>
        <v>硕士研究生</v>
      </c>
      <c r="D1341" s="1" t="str">
        <f>"20250605"</f>
        <v>20250605</v>
      </c>
      <c r="E1341" s="1" t="str">
        <f>"河南工业大学"</f>
        <v>河南工业大学</v>
      </c>
      <c r="F1341" s="1" t="str">
        <f>"食品加工与安全"</f>
        <v>食品加工与安全</v>
      </c>
      <c r="G1341" s="1" t="str">
        <f>"河南省南阳市南召县石门乡大冲村各花庄西组"</f>
        <v>河南省南阳市南召县石门乡大冲村各花庄西组</v>
      </c>
      <c r="H1341" s="1" t="str">
        <f t="shared" si="666"/>
        <v>无</v>
      </c>
      <c r="I1341" s="1" t="str">
        <f>"201709-202006 河南牧业经济学院 食品与生物工程学院（酒业学院） 食品检测技术专业 全日制
202009-202206 郑州科技学院 食品科学与工程学院 食品科学与工程专业 全日制
202209-202506 河南工业大学 生物工程学院 食品加工与安全专业 全日制"</f>
        <v>201709-202006 河南牧业经济学院 食品与生物工程学院（酒业学院） 食品检测技术专业 全日制
202009-202206 郑州科技学院 食品科学与工程学院 食品科学与工程专业 全日制
202209-202506 河南工业大学 生物工程学院 食品加工与安全专业 全日制</v>
      </c>
    </row>
    <row r="1342" spans="1:9">
      <c r="A1342" s="1" t="str">
        <f>"411325200303300041"</f>
        <v>411325200303300041</v>
      </c>
      <c r="B1342" s="1" t="str">
        <f>"共青团员"</f>
        <v>共青团员</v>
      </c>
      <c r="C1342" s="1" t="str">
        <f t="shared" si="667"/>
        <v>本科</v>
      </c>
      <c r="D1342" s="1" t="str">
        <f>"20250606"</f>
        <v>20250606</v>
      </c>
      <c r="E1342" s="1" t="str">
        <f>"河南大学"</f>
        <v>河南大学</v>
      </c>
      <c r="F1342" s="1" t="str">
        <f>"工商管理"</f>
        <v>工商管理</v>
      </c>
      <c r="G1342" s="1" t="str">
        <f>"河南省南阳市内乡县左岸皇朝小区"</f>
        <v>河南省南阳市内乡县左岸皇朝小区</v>
      </c>
      <c r="H1342" s="1" t="str">
        <f t="shared" si="666"/>
        <v>无</v>
      </c>
      <c r="I1342" s="1" t="str">
        <f>"202109-202506 河南大学商学院工商管理专业就读 是全日制学历
202506-202507 在河南省南阳市内乡县家中备考"</f>
        <v>202109-202506 河南大学商学院工商管理专业就读 是全日制学历
202506-202507 在河南省南阳市内乡县家中备考</v>
      </c>
    </row>
    <row r="1343" spans="1:9">
      <c r="A1343" s="1" t="str">
        <f>"411327200301182929"</f>
        <v>411327200301182929</v>
      </c>
      <c r="B1343" s="1" t="str">
        <f t="shared" si="668"/>
        <v>群众</v>
      </c>
      <c r="C1343" s="1" t="str">
        <f t="shared" si="667"/>
        <v>本科</v>
      </c>
      <c r="D1343" s="1" t="str">
        <f>"20250607"</f>
        <v>20250607</v>
      </c>
      <c r="E1343" s="1" t="str">
        <f>"商丘学院"</f>
        <v>商丘学院</v>
      </c>
      <c r="F1343" s="1" t="str">
        <f>"财务管理"</f>
        <v>财务管理</v>
      </c>
      <c r="G1343" s="1" t="str">
        <f>"内乡县城关镇邮政小区"</f>
        <v>内乡县城关镇邮政小区</v>
      </c>
      <c r="H1343" s="1" t="str">
        <f>"初级会计职称资格证书"</f>
        <v>初级会计职称资格证书</v>
      </c>
      <c r="I1343" s="1" t="str">
        <f>"202009~202306 河南财政金融学院 会计专业    全日制学历
202309~202506 商丘学院         财务管理专业   全日制学历"</f>
        <v>202009~202306 河南财政金融学院 会计专业    全日制学历
202309~202506 商丘学院         财务管理专业   全日制学历</v>
      </c>
    </row>
    <row r="1344" spans="1:9">
      <c r="A1344" s="1" t="str">
        <f>"411327199709201518"</f>
        <v>411327199709201518</v>
      </c>
      <c r="B1344" s="1" t="str">
        <f t="shared" si="668"/>
        <v>群众</v>
      </c>
      <c r="C1344" s="1" t="str">
        <f t="shared" si="667"/>
        <v>本科</v>
      </c>
      <c r="D1344" s="1" t="str">
        <f>"20200701"</f>
        <v>20200701</v>
      </c>
      <c r="E1344" s="1" t="str">
        <f>"南阳师范学院"</f>
        <v>南阳师范学院</v>
      </c>
      <c r="F1344" s="1" t="str">
        <f>"英语"</f>
        <v>英语</v>
      </c>
      <c r="G1344" s="1" t="str">
        <f>"河南省南阳市内乡县湍东镇屈庄村斜地组1号"</f>
        <v>河南省南阳市内乡县湍东镇屈庄村斜地组1号</v>
      </c>
      <c r="H1344" s="1" t="str">
        <f t="shared" ref="H1344:H1346" si="669">"无"</f>
        <v>无</v>
      </c>
      <c r="I1344" s="1" t="str">
        <f>"201609-202007 南阳师范学院外国语学院英语专业就读 全日制
202009-至今      灌涨高级中学任教"</f>
        <v>201609-202007 南阳师范学院外国语学院英语专业就读 全日制
202009-至今      灌涨高级中学任教</v>
      </c>
    </row>
    <row r="1345" spans="1:9">
      <c r="A1345" s="1" t="str">
        <f>"413026200105047817"</f>
        <v>413026200105047817</v>
      </c>
      <c r="B1345" s="1" t="str">
        <f>"共青团员"</f>
        <v>共青团员</v>
      </c>
      <c r="C1345" s="1" t="str">
        <f t="shared" si="667"/>
        <v>本科</v>
      </c>
      <c r="D1345" s="1" t="str">
        <f>"20220616"</f>
        <v>20220616</v>
      </c>
      <c r="E1345" s="1" t="str">
        <f>"广州大学华软软件学院"</f>
        <v>广州大学华软软件学院</v>
      </c>
      <c r="F1345" s="1" t="str">
        <f>"软件工程"</f>
        <v>软件工程</v>
      </c>
      <c r="G1345" s="1" t="str">
        <f>"河南省信阳市固始县信合世纪城桂花苑A13-2201"</f>
        <v>河南省信阳市固始县信合世纪城桂花苑A13-2201</v>
      </c>
      <c r="H1345" s="1" t="str">
        <f t="shared" si="669"/>
        <v>无</v>
      </c>
      <c r="I1345" s="1" t="str">
        <f>"201809-202206 广州华软软件学院 软件工程系软件工程专业就读，全日制学历
202206至今，待业"</f>
        <v>201809-202206 广州华软软件学院 软件工程系软件工程专业就读，全日制学历
202206至今，待业</v>
      </c>
    </row>
    <row r="1346" spans="1:9">
      <c r="A1346" s="1" t="str">
        <f>"411330200009014520"</f>
        <v>411330200009014520</v>
      </c>
      <c r="B1346" s="1" t="str">
        <f t="shared" ref="B1346:B1349" si="670">"群众"</f>
        <v>群众</v>
      </c>
      <c r="C1346" s="1" t="str">
        <f t="shared" si="667"/>
        <v>本科</v>
      </c>
      <c r="D1346" s="1" t="str">
        <f>"20230701"</f>
        <v>20230701</v>
      </c>
      <c r="E1346" s="1" t="str">
        <f>"河南中医药大学"</f>
        <v>河南中医药大学</v>
      </c>
      <c r="F1346" s="1" t="str">
        <f>"应用心理学"</f>
        <v>应用心理学</v>
      </c>
      <c r="G1346" s="1" t="str">
        <f>"河南省南阳市西峡县米坪镇"</f>
        <v>河南省南阳市西峡县米坪镇</v>
      </c>
      <c r="H1346" s="1" t="str">
        <f t="shared" si="669"/>
        <v>无</v>
      </c>
      <c r="I1346" s="1" t="str">
        <f>"201909-202307河南中医药大学就读
202307-至今待业"</f>
        <v>201909-202307河南中医药大学就读
202307-至今待业</v>
      </c>
    </row>
    <row r="1347" spans="1:9">
      <c r="A1347" s="1" t="str">
        <f>"411323200408272611"</f>
        <v>411323200408272611</v>
      </c>
      <c r="B1347" s="1" t="str">
        <f t="shared" si="670"/>
        <v>群众</v>
      </c>
      <c r="C1347" s="1" t="str">
        <f>"专科"</f>
        <v>专科</v>
      </c>
      <c r="D1347" s="1" t="str">
        <f>"2025-07-01"</f>
        <v>2025-07-01</v>
      </c>
      <c r="E1347" s="1" t="str">
        <f>"安阳职业技术学院"</f>
        <v>安阳职业技术学院</v>
      </c>
      <c r="F1347" s="1" t="str">
        <f>"应用电子技术"</f>
        <v>应用电子技术</v>
      </c>
      <c r="G1347" s="1" t="str">
        <f>"淅川县金河镇金河村上李组49号"</f>
        <v>淅川县金河镇金河村上李组49号</v>
      </c>
      <c r="H1347" s="1" t="str">
        <f>"三级电工证"</f>
        <v>三级电工证</v>
      </c>
      <c r="I1347" s="1" t="str">
        <f>"2022.9.1——2025.7.1在安阳职业技术学院机电工程学院应用电子技术专业就读"</f>
        <v>2022.9.1——2025.7.1在安阳职业技术学院机电工程学院应用电子技术专业就读</v>
      </c>
    </row>
    <row r="1348" spans="1:9">
      <c r="A1348" s="1" t="str">
        <f>"411327200102283735"</f>
        <v>411327200102283735</v>
      </c>
      <c r="B1348" s="1" t="str">
        <f t="shared" si="670"/>
        <v>群众</v>
      </c>
      <c r="C1348" s="1" t="str">
        <f>"专科"</f>
        <v>专科</v>
      </c>
      <c r="D1348" s="1" t="str">
        <f>"2022年7月1日"</f>
        <v>2022年7月1日</v>
      </c>
      <c r="E1348" s="1" t="str">
        <f>"河南推拿职业学院"</f>
        <v>河南推拿职业学院</v>
      </c>
      <c r="F1348" s="1" t="str">
        <f>"针灸推拿"</f>
        <v>针灸推拿</v>
      </c>
      <c r="G1348" s="1" t="str">
        <f>"河南省南阳市内乡县湍东镇五里堡村茨园组"</f>
        <v>河南省南阳市内乡县湍东镇五里堡村茨园组</v>
      </c>
      <c r="H1348" s="1" t="str">
        <f t="shared" ref="H1348:H1358" si="671">"无"</f>
        <v>无</v>
      </c>
      <c r="I1348" s="1" t="str">
        <f>"201909-202207在河南推拿职业学院针灸推拿系就读，全日制专科"</f>
        <v>201909-202207在河南推拿职业学院针灸推拿系就读，全日制专科</v>
      </c>
    </row>
    <row r="1349" spans="1:9">
      <c r="A1349" s="1" t="str">
        <f>"411327199506114510"</f>
        <v>411327199506114510</v>
      </c>
      <c r="B1349" s="1" t="str">
        <f t="shared" si="670"/>
        <v>群众</v>
      </c>
      <c r="C1349" s="1" t="str">
        <f t="shared" ref="C1349:C1355" si="672">"本科"</f>
        <v>本科</v>
      </c>
      <c r="D1349" s="1" t="str">
        <f>"2019-07-01"</f>
        <v>2019-07-01</v>
      </c>
      <c r="E1349" s="1" t="str">
        <f>"河南科技大学"</f>
        <v>河南科技大学</v>
      </c>
      <c r="F1349" s="1" t="str">
        <f>"土木工程"</f>
        <v>土木工程</v>
      </c>
      <c r="G1349" s="1" t="str">
        <f>"河南省南阳市内乡县赵店乡"</f>
        <v>河南省南阳市内乡县赵店乡</v>
      </c>
      <c r="H1349" s="1" t="str">
        <f t="shared" si="671"/>
        <v>无</v>
      </c>
      <c r="I1349" s="1" t="str">
        <f>"2015.09-2019.07 河南科技大学，土木工程，全日制。
2019.07-2024.06 中建三局第二建设工程有限责任公司"</f>
        <v>2015.09-2019.07 河南科技大学，土木工程，全日制。
2019.07-2024.06 中建三局第二建设工程有限责任公司</v>
      </c>
    </row>
    <row r="1350" spans="1:9">
      <c r="A1350" s="1" t="str">
        <f>"412824200003035524"</f>
        <v>412824200003035524</v>
      </c>
      <c r="B1350" s="1" t="str">
        <f>"中共预备党员"</f>
        <v>中共预备党员</v>
      </c>
      <c r="C1350" s="1" t="str">
        <f t="shared" si="672"/>
        <v>本科</v>
      </c>
      <c r="D1350" s="1" t="str">
        <f>"20220701"</f>
        <v>20220701</v>
      </c>
      <c r="E1350" s="1" t="str">
        <f>"新乡医学院三全学院"</f>
        <v>新乡医学院三全学院</v>
      </c>
      <c r="F1350" s="1" t="str">
        <f>"药学"</f>
        <v>药学</v>
      </c>
      <c r="G1350" s="1" t="str">
        <f>"河南省驻马店市西平县清华苑小区"</f>
        <v>河南省驻马店市西平县清华苑小区</v>
      </c>
      <c r="H1350" s="1" t="str">
        <f t="shared" si="671"/>
        <v>无</v>
      </c>
      <c r="I1350" s="1" t="str">
        <f>"201809-202207 新乡医学院三全学院精诚书院药学专业 就读 全日制学历
202207-至今  在家待业"</f>
        <v>201809-202207 新乡医学院三全学院精诚书院药学专业 就读 全日制学历
202207-至今  在家待业</v>
      </c>
    </row>
    <row r="1351" spans="1:9">
      <c r="A1351" s="1" t="str">
        <f>"411327200010094929"</f>
        <v>411327200010094929</v>
      </c>
      <c r="B1351" s="1" t="str">
        <f t="shared" ref="B1351:B1354" si="673">"共青团员"</f>
        <v>共青团员</v>
      </c>
      <c r="C1351" s="1" t="str">
        <f t="shared" si="672"/>
        <v>本科</v>
      </c>
      <c r="D1351" s="1" t="str">
        <f>"20220701"</f>
        <v>20220701</v>
      </c>
      <c r="E1351" s="1" t="str">
        <f>"郑州升达经贸管理学院"</f>
        <v>郑州升达经贸管理学院</v>
      </c>
      <c r="F1351" s="1" t="str">
        <f>"汉语言文学"</f>
        <v>汉语言文学</v>
      </c>
      <c r="G1351" s="1" t="str">
        <f>"河南省南阳市内乡县湍东镇龙源村李后组"</f>
        <v>河南省南阳市内乡县湍东镇龙源村李后组</v>
      </c>
      <c r="H1351" s="1" t="str">
        <f t="shared" si="671"/>
        <v>无</v>
      </c>
      <c r="I1351" s="1" t="str">
        <f>"201809-202207郑州升达经贸管理学院文法学院汉语言文学专业全日制本科学历
202201-202309内乡菊潭学校
202309-202508内乡县湍东镇待业"</f>
        <v>201809-202207郑州升达经贸管理学院文法学院汉语言文学专业全日制本科学历
202201-202309内乡菊潭学校
202309-202508内乡县湍东镇待业</v>
      </c>
    </row>
    <row r="1352" spans="1:9">
      <c r="A1352" s="1" t="str">
        <f>"411327200102080014"</f>
        <v>411327200102080014</v>
      </c>
      <c r="B1352" s="1" t="str">
        <f t="shared" si="673"/>
        <v>共青团员</v>
      </c>
      <c r="C1352" s="1" t="str">
        <f t="shared" si="672"/>
        <v>本科</v>
      </c>
      <c r="D1352" s="1" t="str">
        <f>"20240614"</f>
        <v>20240614</v>
      </c>
      <c r="E1352" s="1" t="str">
        <f>"信阳农林学院"</f>
        <v>信阳农林学院</v>
      </c>
      <c r="F1352" s="1" t="str">
        <f>"视觉传达设计"</f>
        <v>视觉传达设计</v>
      </c>
      <c r="G1352" s="1" t="str">
        <f>"河南省南阳市内乡县城关镇大成路16号"</f>
        <v>河南省南阳市内乡县城关镇大成路16号</v>
      </c>
      <c r="H1352" s="1" t="str">
        <f t="shared" si="671"/>
        <v>无</v>
      </c>
      <c r="I1352" s="1" t="str">
        <f>"202009-202406 在信阳农林学院风景园林艺术学院视觉传达设计专业 就读 全日制本科学历
202406-至今 待业"</f>
        <v>202009-202406 在信阳农林学院风景园林艺术学院视觉传达设计专业 就读 全日制本科学历
202406-至今 待业</v>
      </c>
    </row>
    <row r="1353" spans="1:9">
      <c r="A1353" s="1" t="str">
        <f>"411330200004081513"</f>
        <v>411330200004081513</v>
      </c>
      <c r="B1353" s="1" t="str">
        <f t="shared" si="673"/>
        <v>共青团员</v>
      </c>
      <c r="C1353" s="1" t="str">
        <f t="shared" si="672"/>
        <v>本科</v>
      </c>
      <c r="D1353" s="1" t="str">
        <f>"20220607"</f>
        <v>20220607</v>
      </c>
      <c r="E1353" s="1" t="str">
        <f>"周口师范学院"</f>
        <v>周口师范学院</v>
      </c>
      <c r="F1353" s="1" t="str">
        <f>"应用化学"</f>
        <v>应用化学</v>
      </c>
      <c r="G1353" s="1" t="str">
        <f>"河南省南阳市内乡县"</f>
        <v>河南省南阳市内乡县</v>
      </c>
      <c r="H1353" s="1" t="str">
        <f t="shared" si="671"/>
        <v>无</v>
      </c>
      <c r="I1353" s="1" t="str">
        <f>"201809-202206  周口师范学院应用化学专业就读，是全日制学历"</f>
        <v>201809-202206  周口师范学院应用化学专业就读，是全日制学历</v>
      </c>
    </row>
    <row r="1354" spans="1:9">
      <c r="A1354" s="1" t="str">
        <f>"411330200002161536"</f>
        <v>411330200002161536</v>
      </c>
      <c r="B1354" s="1" t="str">
        <f t="shared" si="673"/>
        <v>共青团员</v>
      </c>
      <c r="C1354" s="1" t="str">
        <f t="shared" si="672"/>
        <v>本科</v>
      </c>
      <c r="D1354" s="1" t="str">
        <f>"20230701"</f>
        <v>20230701</v>
      </c>
      <c r="E1354" s="1" t="str">
        <f>"安阳工学院"</f>
        <v>安阳工学院</v>
      </c>
      <c r="F1354" s="1" t="str">
        <f>"动画"</f>
        <v>动画</v>
      </c>
      <c r="G1354" s="1" t="str">
        <f>"河南省南阳市西峡县白羽小区"</f>
        <v>河南省南阳市西峡县白羽小区</v>
      </c>
      <c r="H1354" s="1" t="str">
        <f t="shared" si="671"/>
        <v>无</v>
      </c>
      <c r="I1354" s="1" t="str">
        <f>"201909-202307 安阳工学院艺术设计学院动画专业 就读 全日制学历；
202307至今待业"</f>
        <v>201909-202307 安阳工学院艺术设计学院动画专业 就读 全日制学历；
202307至今待业</v>
      </c>
    </row>
    <row r="1355" spans="1:9">
      <c r="A1355" s="1" t="str">
        <f>"411327200206060018"</f>
        <v>411327200206060018</v>
      </c>
      <c r="B1355" s="1" t="str">
        <f t="shared" ref="B1355:B1359" si="674">"群众"</f>
        <v>群众</v>
      </c>
      <c r="C1355" s="1" t="str">
        <f t="shared" si="672"/>
        <v>本科</v>
      </c>
      <c r="D1355" s="1" t="str">
        <f>"2024-05-07"</f>
        <v>2024-05-07</v>
      </c>
      <c r="E1355" s="1" t="str">
        <f>"河南财经政法大学"</f>
        <v>河南财经政法大学</v>
      </c>
      <c r="F1355" s="1" t="str">
        <f>"金融学（CFA方向）"</f>
        <v>金融学（CFA方向）</v>
      </c>
      <c r="G1355" s="1" t="str">
        <f>"河南省内乡县东风村"</f>
        <v>河南省内乡县东风村</v>
      </c>
      <c r="H1355" s="1" t="str">
        <f t="shared" si="671"/>
        <v>无</v>
      </c>
      <c r="I1355" s="1" t="str">
        <f>"202009-202406 河南财经政法大学金融学院 就读 是全日制本科 202406-至今在家待业"</f>
        <v>202009-202406 河南财经政法大学金融学院 就读 是全日制本科 202406-至今在家待业</v>
      </c>
    </row>
    <row r="1356" spans="1:9">
      <c r="A1356" s="1" t="str">
        <f>"411321200406280068"</f>
        <v>411321200406280068</v>
      </c>
      <c r="B1356" s="1" t="str">
        <f t="shared" ref="B1356:B1360" si="675">"共青团员"</f>
        <v>共青团员</v>
      </c>
      <c r="C1356" s="1" t="str">
        <f>"专科"</f>
        <v>专科</v>
      </c>
      <c r="D1356" s="1" t="str">
        <f>"20250615"</f>
        <v>20250615</v>
      </c>
      <c r="E1356" s="1" t="str">
        <f>"许昌陶瓷职业学院"</f>
        <v>许昌陶瓷职业学院</v>
      </c>
      <c r="F1356" s="1" t="str">
        <f>"园林技术"</f>
        <v>园林技术</v>
      </c>
      <c r="G1356" s="1" t="str">
        <f>"河南省南阳市桐柏县城关镇西油库加油站对面"</f>
        <v>河南省南阳市桐柏县城关镇西油库加油站对面</v>
      </c>
      <c r="H1356" s="1" t="str">
        <f t="shared" si="671"/>
        <v>无</v>
      </c>
      <c r="I1356" s="1" t="str">
        <f>"202209-202506 许昌陶瓷职业学院 建筑与陶瓷设计学院 园林技术专业 就读 全日制学历"</f>
        <v>202209-202506 许昌陶瓷职业学院 建筑与陶瓷设计学院 园林技术专业 就读 全日制学历</v>
      </c>
    </row>
    <row r="1357" spans="1:9">
      <c r="A1357" s="1" t="str">
        <f>"410482200112182355"</f>
        <v>410482200112182355</v>
      </c>
      <c r="B1357" s="1" t="str">
        <f t="shared" si="675"/>
        <v>共青团员</v>
      </c>
      <c r="C1357" s="1" t="str">
        <f t="shared" ref="C1357:C1359" si="676">"本科"</f>
        <v>本科</v>
      </c>
      <c r="D1357" s="1" t="str">
        <f>"20230610"</f>
        <v>20230610</v>
      </c>
      <c r="E1357" s="1" t="str">
        <f>"河南科技学院"</f>
        <v>河南科技学院</v>
      </c>
      <c r="F1357" s="1" t="str">
        <f>"环境科学"</f>
        <v>环境科学</v>
      </c>
      <c r="G1357" s="1" t="str">
        <f>"河南省洛阳市汝阳县城关镇书院街武装部"</f>
        <v>河南省洛阳市汝阳县城关镇书院街武装部</v>
      </c>
      <c r="H1357" s="1" t="str">
        <f t="shared" si="671"/>
        <v>无</v>
      </c>
      <c r="I1357" s="1" t="str">
        <f>"201909——202306 河南科技学院环境科学专业 就读 全日制
202307——202312 广州天赐高新材料有限公司 ESH以及工艺工程师
202401——至今 河南省洛阳市汝阳县 待业"</f>
        <v>201909——202306 河南科技学院环境科学专业 就读 全日制
202307——202312 广州天赐高新材料有限公司 ESH以及工艺工程师
202401——至今 河南省洛阳市汝阳县 待业</v>
      </c>
    </row>
    <row r="1358" spans="1:9">
      <c r="A1358" s="1" t="str">
        <f>"41132719961015001X"</f>
        <v>41132719961015001X</v>
      </c>
      <c r="B1358" s="1" t="str">
        <f t="shared" si="674"/>
        <v>群众</v>
      </c>
      <c r="C1358" s="1" t="str">
        <f t="shared" si="676"/>
        <v>本科</v>
      </c>
      <c r="D1358" s="1" t="str">
        <f>"20220710"</f>
        <v>20220710</v>
      </c>
      <c r="E1358" s="1" t="str">
        <f>"郑州航空工业管理学院"</f>
        <v>郑州航空工业管理学院</v>
      </c>
      <c r="F1358" s="1" t="str">
        <f>"物流管理"</f>
        <v>物流管理</v>
      </c>
      <c r="G1358" s="1" t="str">
        <f>"河南省南阳市内乡县城关镇菊园小区"</f>
        <v>河南省南阳市内乡县城关镇菊园小区</v>
      </c>
      <c r="H1358" s="1" t="str">
        <f t="shared" si="671"/>
        <v>无</v>
      </c>
      <c r="I1358" s="1" t="str">
        <f>"201709-202007在河南牧业经济学院汽车营销与服务专业就读专科是全日制学历
202009-202207在郑州航空工业管理学院物流管理专业就读本科是全日制学历
202207-202210在内乡县待业
202210-202304在南阳市内乡县人社局
202304-202410在南阳市内乡县信访局
202410-至今在内乡县待业"</f>
        <v>201709-202007在河南牧业经济学院汽车营销与服务专业就读专科是全日制学历
202009-202207在郑州航空工业管理学院物流管理专业就读本科是全日制学历
202207-202210在内乡县待业
202210-202304在南阳市内乡县人社局
202304-202410在南阳市内乡县信访局
202410-至今在内乡县待业</v>
      </c>
    </row>
    <row r="1359" spans="1:9">
      <c r="A1359" s="1" t="str">
        <f>"411330199805100520"</f>
        <v>411330199805100520</v>
      </c>
      <c r="B1359" s="1" t="str">
        <f t="shared" si="674"/>
        <v>群众</v>
      </c>
      <c r="C1359" s="1" t="str">
        <f t="shared" si="676"/>
        <v>本科</v>
      </c>
      <c r="D1359" s="1" t="str">
        <f>"20210701"</f>
        <v>20210701</v>
      </c>
      <c r="E1359" s="1" t="str">
        <f>"郑州财经学院"</f>
        <v>郑州财经学院</v>
      </c>
      <c r="F1359" s="1" t="str">
        <f>"财务管理"</f>
        <v>财务管理</v>
      </c>
      <c r="G1359" s="1" t="str">
        <f>"河南省南阳市西峡县田关镇"</f>
        <v>河南省南阳市西峡县田关镇</v>
      </c>
      <c r="H1359" s="1" t="str">
        <f>"初级会计证，教师资格证"</f>
        <v>初级会计证，教师资格证</v>
      </c>
      <c r="I1359" s="1" t="str">
        <f>"2017.09-2021.07郑州财经学院，会计学院，财务管理，全日制本科就读
2021.09-至今内乡县灌涨镇社区中心小学"</f>
        <v>2017.09-2021.07郑州财经学院，会计学院，财务管理，全日制本科就读
2021.09-至今内乡县灌涨镇社区中心小学</v>
      </c>
    </row>
    <row r="1360" spans="1:9">
      <c r="A1360" s="1" t="str">
        <f>"410725200301021250"</f>
        <v>410725200301021250</v>
      </c>
      <c r="B1360" s="1" t="str">
        <f t="shared" si="675"/>
        <v>共青团员</v>
      </c>
      <c r="C1360" s="1" t="str">
        <f>"专科"</f>
        <v>专科</v>
      </c>
      <c r="D1360" s="1" t="str">
        <f>"20250701"</f>
        <v>20250701</v>
      </c>
      <c r="E1360" s="1" t="str">
        <f>"河南物流职业学院"</f>
        <v>河南物流职业学院</v>
      </c>
      <c r="F1360" s="1" t="str">
        <f>"无人机应用技术"</f>
        <v>无人机应用技术</v>
      </c>
      <c r="G1360" s="1" t="str">
        <f>"河南省新乡市原阳县官厂镇曹厂村153号"</f>
        <v>河南省新乡市原阳县官厂镇曹厂村153号</v>
      </c>
      <c r="H1360" s="1" t="str">
        <f>"CAAC视距内驾驶员，无人机装调检修工五级"</f>
        <v>CAAC视距内驾驶员，无人机装调检修工五级</v>
      </c>
      <c r="I1360" s="1" t="str">
        <f>"202209-202507河南物流职业学院，其二级学院艺术与学前教育学院无人机应用技术就读，为全日制学历。"</f>
        <v>202209-202507河南物流职业学院，其二级学院艺术与学前教育学院无人机应用技术就读，为全日制学历。</v>
      </c>
    </row>
    <row r="1361" ht="94.5" spans="1:9">
      <c r="A1361" s="1" t="str">
        <f>"411327199612120017"</f>
        <v>411327199612120017</v>
      </c>
      <c r="B1361" s="1" t="str">
        <f t="shared" ref="B1361:B1366" si="677">"群众"</f>
        <v>群众</v>
      </c>
      <c r="C1361" s="1" t="str">
        <f t="shared" ref="C1361:C1371" si="678">"本科"</f>
        <v>本科</v>
      </c>
      <c r="D1361" s="1" t="str">
        <f>"20180724"</f>
        <v>20180724</v>
      </c>
      <c r="E1361" s="1" t="str">
        <f>"沈阳农业大学"</f>
        <v>沈阳农业大学</v>
      </c>
      <c r="F1361" s="1" t="str">
        <f>"计算机科学与技术"</f>
        <v>计算机科学与技术</v>
      </c>
      <c r="G1361" s="1" t="str">
        <f>"河南省内乡县赵店乡聂岗村别西"</f>
        <v>河南省内乡县赵店乡聂岗村别西</v>
      </c>
      <c r="H1361" s="1" t="str">
        <f t="shared" ref="H1361:H1363" si="679">"无"</f>
        <v>无</v>
      </c>
      <c r="I1361" s="3" t="s">
        <v>223</v>
      </c>
    </row>
    <row r="1362" spans="1:9">
      <c r="A1362" s="1" t="str">
        <f>"411327200210290326"</f>
        <v>411327200210290326</v>
      </c>
      <c r="B1362" s="1" t="str">
        <f t="shared" si="677"/>
        <v>群众</v>
      </c>
      <c r="C1362" s="1" t="str">
        <f>"专科"</f>
        <v>专科</v>
      </c>
      <c r="D1362" s="1" t="str">
        <f>"2023年6月30日"</f>
        <v>2023年6月30日</v>
      </c>
      <c r="E1362" s="1" t="str">
        <f>"平顶山职业技术学院"</f>
        <v>平顶山职业技术学院</v>
      </c>
      <c r="F1362" s="1" t="str">
        <f>"旅游与酒店管理"</f>
        <v>旅游与酒店管理</v>
      </c>
      <c r="G1362" s="1" t="str">
        <f>"河南省内乡县大桥乡磙子岗村"</f>
        <v>河南省内乡县大桥乡磙子岗村</v>
      </c>
      <c r="H1362" s="1" t="str">
        <f t="shared" si="679"/>
        <v>无</v>
      </c>
      <c r="I1362" s="1" t="str">
        <f>"202009-202306平顶山职业技术学院旅游与酒店管理院系酒店管理专业"</f>
        <v>202009-202306平顶山职业技术学院旅游与酒店管理院系酒店管理专业</v>
      </c>
    </row>
    <row r="1363" spans="1:9">
      <c r="A1363" s="1" t="str">
        <f>"411327200006220048"</f>
        <v>411327200006220048</v>
      </c>
      <c r="B1363" s="1" t="str">
        <f>"共青团员"</f>
        <v>共青团员</v>
      </c>
      <c r="C1363" s="1" t="str">
        <f t="shared" si="678"/>
        <v>本科</v>
      </c>
      <c r="D1363" s="1" t="str">
        <f>"20220630"</f>
        <v>20220630</v>
      </c>
      <c r="E1363" s="1" t="str">
        <f>"华北理工大学冀唐学院"</f>
        <v>华北理工大学冀唐学院</v>
      </c>
      <c r="F1363" s="1" t="str">
        <f>"法学"</f>
        <v>法学</v>
      </c>
      <c r="G1363" s="1" t="str">
        <f>"内乡县清心路126号"</f>
        <v>内乡县清心路126号</v>
      </c>
      <c r="H1363" s="1" t="str">
        <f t="shared" si="679"/>
        <v>无</v>
      </c>
      <c r="I1363" s="1" t="str">
        <f>"2018年9月-2022年6月，华北理工大学冀唐学院 就读 法学专业  学生 全日制；
2023年11月-2024年1月，内乡县乡村振兴局 职工；
2024年2月至今，内乡县投资控股有限责任公司 职工。"</f>
        <v>2018年9月-2022年6月，华北理工大学冀唐学院 就读 法学专业  学生 全日制；
2023年11月-2024年1月，内乡县乡村振兴局 职工；
2024年2月至今，内乡县投资控股有限责任公司 职工。</v>
      </c>
    </row>
    <row r="1364" spans="1:9">
      <c r="A1364" s="1" t="str">
        <f>"411381199502276721"</f>
        <v>411381199502276721</v>
      </c>
      <c r="B1364" s="1" t="str">
        <f t="shared" si="677"/>
        <v>群众</v>
      </c>
      <c r="C1364" s="1" t="str">
        <f t="shared" si="678"/>
        <v>本科</v>
      </c>
      <c r="D1364" s="1" t="str">
        <f>"2022.07"</f>
        <v>2022.07</v>
      </c>
      <c r="E1364" s="1" t="str">
        <f>"南阳师范学院"</f>
        <v>南阳师范学院</v>
      </c>
      <c r="F1364" s="1" t="str">
        <f>"教育学"</f>
        <v>教育学</v>
      </c>
      <c r="G1364" s="1" t="str">
        <f>"南阳市卧龙区桃园新村"</f>
        <v>南阳市卧龙区桃园新村</v>
      </c>
      <c r="H1364" s="1" t="str">
        <f>"市政中级职称"</f>
        <v>市政中级职称</v>
      </c>
      <c r="I1364" s="1" t="str">
        <f>"①2020年9月~2022年7月于南阳师范学院，从属于教育系，并取得学位证书；②2013年9月~2016年7月于河南牧业经济管理学院就读，从属物流管理专业；③2016年7月~2022年8月工作于河南大明建设工程管理有限公司，从事招标工作；④2022年8月至今，工作于河南广智德信工程咨询管理有限公司。"</f>
        <v>①2020年9月~2022年7月于南阳师范学院，从属于教育系，并取得学位证书；②2013年9月~2016年7月于河南牧业经济管理学院就读，从属物流管理专业；③2016年7月~2022年8月工作于河南大明建设工程管理有限公司，从事招标工作；④2022年8月至今，工作于河南广智德信工程咨询管理有限公司。</v>
      </c>
    </row>
    <row r="1365" spans="1:9">
      <c r="A1365" s="1" t="str">
        <f>"410581199412016096"</f>
        <v>410581199412016096</v>
      </c>
      <c r="B1365" s="1" t="str">
        <f t="shared" si="677"/>
        <v>群众</v>
      </c>
      <c r="C1365" s="1" t="str">
        <f t="shared" si="678"/>
        <v>本科</v>
      </c>
      <c r="D1365" s="1" t="str">
        <f>"20200701"</f>
        <v>20200701</v>
      </c>
      <c r="E1365" s="1" t="str">
        <f>"河南工程学院"</f>
        <v>河南工程学院</v>
      </c>
      <c r="F1365" s="1" t="str">
        <f>"电气工程及其自动化"</f>
        <v>电气工程及其自动化</v>
      </c>
      <c r="G1365" s="1" t="str">
        <f>"河南省郑州市荥阳市贾峪镇水利站"</f>
        <v>河南省郑州市荥阳市贾峪镇水利站</v>
      </c>
      <c r="H1365" s="1" t="str">
        <f t="shared" ref="H1365:H1367" si="680">"无"</f>
        <v>无</v>
      </c>
      <c r="I1365" s="1" t="str">
        <f>"201509-201806河南科技学院-工学-专科-电气自动化技术专业-全制日普通高等教育
201809-202006河南工程学院-工学-本科-电气工程及其自动化专业-全日制普通高等教育
202007-202105无无
202106-202405江苏润和股份有限公司-模拟版图工程师
202406-202507无无"</f>
        <v>201509-201806河南科技学院-工学-专科-电气自动化技术专业-全制日普通高等教育
201809-202006河南工程学院-工学-本科-电气工程及其自动化专业-全日制普通高等教育
202007-202105无无
202106-202405江苏润和股份有限公司-模拟版图工程师
202406-202507无无</v>
      </c>
    </row>
    <row r="1366" spans="1:9">
      <c r="A1366" s="1" t="str">
        <f>"411324199809115810"</f>
        <v>411324199809115810</v>
      </c>
      <c r="B1366" s="1" t="str">
        <f t="shared" si="677"/>
        <v>群众</v>
      </c>
      <c r="C1366" s="1" t="str">
        <f t="shared" si="678"/>
        <v>本科</v>
      </c>
      <c r="D1366" s="1" t="str">
        <f>"20220701"</f>
        <v>20220701</v>
      </c>
      <c r="E1366" s="1" t="str">
        <f>"洛阳师范学院"</f>
        <v>洛阳师范学院</v>
      </c>
      <c r="F1366" s="1" t="str">
        <f>"电气工程及其自动化"</f>
        <v>电气工程及其自动化</v>
      </c>
      <c r="G1366" s="1" t="str">
        <f>"河南省南阳市镇平县遮山镇"</f>
        <v>河南省南阳市镇平县遮山镇</v>
      </c>
      <c r="H1366" s="1" t="str">
        <f t="shared" si="680"/>
        <v>无</v>
      </c>
      <c r="I1366" s="1" t="str">
        <f>"201809-202207就读于洛阳师范学院物理与电子信息学院电气工程及其自动化专业就读
202207-至今 南阳市民进学校从事教育教学工作"</f>
        <v>201809-202207就读于洛阳师范学院物理与电子信息学院电气工程及其自动化专业就读
202207-至今 南阳市民进学校从事教育教学工作</v>
      </c>
    </row>
    <row r="1367" spans="1:9">
      <c r="A1367" s="1" t="str">
        <f>"411324199505275815"</f>
        <v>411324199505275815</v>
      </c>
      <c r="B1367" s="1" t="str">
        <f>"中共预备党员"</f>
        <v>中共预备党员</v>
      </c>
      <c r="C1367" s="1" t="str">
        <f t="shared" si="678"/>
        <v>本科</v>
      </c>
      <c r="D1367" s="1" t="str">
        <f>"202207"</f>
        <v>202207</v>
      </c>
      <c r="E1367" s="1" t="str">
        <f>"南阳理工学院"</f>
        <v>南阳理工学院</v>
      </c>
      <c r="F1367" s="1" t="str">
        <f>"电子计算机与技术"</f>
        <v>电子计算机与技术</v>
      </c>
      <c r="G1367" s="1" t="str">
        <f>"河南省南阳市镇平县西关阳光锦绣家园"</f>
        <v>河南省南阳市镇平县西关阳光锦绣家园</v>
      </c>
      <c r="H1367" s="1" t="str">
        <f t="shared" si="680"/>
        <v>无</v>
      </c>
      <c r="I1367" s="1" t="str">
        <f>"202003-202207南阳理工学院（函授）"</f>
        <v>202003-202207南阳理工学院（函授）</v>
      </c>
    </row>
    <row r="1368" spans="1:9">
      <c r="A1368" s="1" t="str">
        <f>"411327199510293718"</f>
        <v>411327199510293718</v>
      </c>
      <c r="B1368" s="1" t="str">
        <f t="shared" ref="B1368:B1373" si="681">"群众"</f>
        <v>群众</v>
      </c>
      <c r="C1368" s="1" t="str">
        <f t="shared" si="678"/>
        <v>本科</v>
      </c>
      <c r="D1368" s="1" t="str">
        <f>"2018.07"</f>
        <v>2018.07</v>
      </c>
      <c r="E1368" s="1" t="str">
        <f>"河南财经政法大学"</f>
        <v>河南财经政法大学</v>
      </c>
      <c r="F1368" s="1" t="str">
        <f>"会计学"</f>
        <v>会计学</v>
      </c>
      <c r="G1368" s="1" t="str">
        <f>"河南省南阳市西峡县莲花街道白羽路26号西峡县财政局"</f>
        <v>河南省南阳市西峡县莲花街道白羽路26号西峡县财政局</v>
      </c>
      <c r="H1368" s="1" t="str">
        <f>"会计初级资格证"</f>
        <v>会计初级资格证</v>
      </c>
      <c r="I1368" s="1" t="str">
        <f>"201409-201807 河南财经政法大学会计学院会计学专业就读 全日制
201807-201910  在内乡县待业
201910-202201  固始县中医院就业
202202-至今      西峡县财政局就业"</f>
        <v>201409-201807 河南财经政法大学会计学院会计学专业就读 全日制
201807-201910  在内乡县待业
201910-202201  固始县中医院就业
202202-至今      西峡县财政局就业</v>
      </c>
    </row>
    <row r="1369" spans="1:9">
      <c r="A1369" s="1" t="str">
        <f>"411330199906065728"</f>
        <v>411330199906065728</v>
      </c>
      <c r="B1369" s="1" t="str">
        <f t="shared" si="681"/>
        <v>群众</v>
      </c>
      <c r="C1369" s="1" t="str">
        <f t="shared" si="678"/>
        <v>本科</v>
      </c>
      <c r="D1369" s="1" t="str">
        <f>"20210701"</f>
        <v>20210701</v>
      </c>
      <c r="E1369" s="1" t="str">
        <f>"中原工学院"</f>
        <v>中原工学院</v>
      </c>
      <c r="F1369" s="1" t="str">
        <f>"社会工作"</f>
        <v>社会工作</v>
      </c>
      <c r="G1369" s="1" t="str">
        <f>"河南省南阳市西峡县太平镇鱼库村阳坡根"</f>
        <v>河南省南阳市西峡县太平镇鱼库村阳坡根</v>
      </c>
      <c r="H1369" s="1" t="str">
        <f t="shared" ref="H1369:H1371" si="682">"无"</f>
        <v>无</v>
      </c>
      <c r="I1369" s="1" t="str">
        <f>"201709-202107 中原工学院法学院社会工作专业就读
202107-202209 想念食品股份有限公司 职员
202210-202307 待业
202308-202312 河南省果然风情果业股份有限公司 职员"</f>
        <v>201709-202107 中原工学院法学院社会工作专业就读
202107-202209 想念食品股份有限公司 职员
202210-202307 待业
202308-202312 河南省果然风情果业股份有限公司 职员</v>
      </c>
    </row>
    <row r="1370" spans="1:9">
      <c r="A1370" s="1" t="str">
        <f>"411528200106124923"</f>
        <v>411528200106124923</v>
      </c>
      <c r="B1370" s="1" t="str">
        <f>"共青团员"</f>
        <v>共青团员</v>
      </c>
      <c r="C1370" s="1" t="str">
        <f t="shared" si="678"/>
        <v>本科</v>
      </c>
      <c r="D1370" s="1" t="str">
        <f>"20230701"</f>
        <v>20230701</v>
      </c>
      <c r="E1370" s="1" t="str">
        <f>"洛阳师范学院"</f>
        <v>洛阳师范学院</v>
      </c>
      <c r="F1370" s="1" t="str">
        <f>"旅游管理"</f>
        <v>旅游管理</v>
      </c>
      <c r="G1370" s="1" t="str">
        <f>"河南省信阳市息县陈棚乡"</f>
        <v>河南省信阳市息县陈棚乡</v>
      </c>
      <c r="H1370" s="1" t="str">
        <f t="shared" si="682"/>
        <v>无</v>
      </c>
      <c r="I1370" s="1" t="str">
        <f>"201909-202307 洛阳师范学院就读旅游管理专业 全日制"</f>
        <v>201909-202307 洛阳师范学院就读旅游管理专业 全日制</v>
      </c>
    </row>
    <row r="1371" spans="1:9">
      <c r="A1371" s="1" t="str">
        <f>"411327200111123717"</f>
        <v>411327200111123717</v>
      </c>
      <c r="B1371" s="1" t="str">
        <f t="shared" si="681"/>
        <v>群众</v>
      </c>
      <c r="C1371" s="1" t="str">
        <f t="shared" si="678"/>
        <v>本科</v>
      </c>
      <c r="D1371" s="1" t="str">
        <f>"2024-06-20"</f>
        <v>2024-06-20</v>
      </c>
      <c r="E1371" s="1" t="str">
        <f>"黄河科技学院"</f>
        <v>黄河科技学院</v>
      </c>
      <c r="F1371" s="1" t="str">
        <f>"测控技术与仪器"</f>
        <v>测控技术与仪器</v>
      </c>
      <c r="G1371" s="1" t="str">
        <f>"河南省南阳市内乡县罗岗新村新房子"</f>
        <v>河南省南阳市内乡县罗岗新村新房子</v>
      </c>
      <c r="H1371" s="1" t="str">
        <f t="shared" si="682"/>
        <v>无</v>
      </c>
      <c r="I1371" s="1" t="str">
        <f>"202009-202406就读于黄河科技学院工学部测控技术与仪器专业，202407-202411在家待业，202412-202502任职于湖州三行轴承有限公司担任现场工程师，202503-202507辞职回家备考事业编"</f>
        <v>202009-202406就读于黄河科技学院工学部测控技术与仪器专业，202407-202411在家待业，202412-202502任职于湖州三行轴承有限公司担任现场工程师，202503-202507辞职回家备考事业编</v>
      </c>
    </row>
    <row r="1372" spans="1:9">
      <c r="A1372" s="1" t="str">
        <f>"411302200410130207"</f>
        <v>411302200410130207</v>
      </c>
      <c r="B1372" s="1" t="str">
        <f t="shared" si="681"/>
        <v>群众</v>
      </c>
      <c r="C1372" s="1" t="str">
        <f>"专科"</f>
        <v>专科</v>
      </c>
      <c r="D1372" s="1" t="str">
        <f>"2025-06-30"</f>
        <v>2025-06-30</v>
      </c>
      <c r="E1372" s="1" t="str">
        <f>"河南工业职业技术学院"</f>
        <v>河南工业职业技术学院</v>
      </c>
      <c r="F1372" s="1" t="str">
        <f>"计算机网络技术（两年制）"</f>
        <v>计算机网络技术（两年制）</v>
      </c>
      <c r="G1372" s="1" t="str">
        <f>"河南省南阳市卧龙区南都.秋实苑"</f>
        <v>河南省南阳市卧龙区南都.秋实苑</v>
      </c>
      <c r="H1372" s="1" t="str">
        <f>"计算机程序设计员（三级/高级工）"</f>
        <v>计算机程序设计员（三级/高级工）</v>
      </c>
      <c r="I1372" s="1" t="str">
        <f>"202309-202506 河南工业职业技术学院  就读 。就读专业是计算机网络技术，是全日制；中间无间断。"</f>
        <v>202309-202506 河南工业职业技术学院  就读 。就读专业是计算机网络技术，是全日制；中间无间断。</v>
      </c>
    </row>
    <row r="1373" spans="1:9">
      <c r="A1373" s="1" t="str">
        <f>"411323200004100012"</f>
        <v>411323200004100012</v>
      </c>
      <c r="B1373" s="1" t="str">
        <f t="shared" si="681"/>
        <v>群众</v>
      </c>
      <c r="C1373" s="1" t="str">
        <f t="shared" ref="C1373:C1379" si="683">"本科"</f>
        <v>本科</v>
      </c>
      <c r="D1373" s="1" t="str">
        <f t="shared" ref="D1373:D1377" si="684">"20250701"</f>
        <v>20250701</v>
      </c>
      <c r="E1373" s="1" t="str">
        <f>"河南工业大学"</f>
        <v>河南工业大学</v>
      </c>
      <c r="F1373" s="1" t="str">
        <f>"人工智能"</f>
        <v>人工智能</v>
      </c>
      <c r="G1373" s="1" t="str">
        <f>"河南省南阳市淅川县城关镇"</f>
        <v>河南省南阳市淅川县城关镇</v>
      </c>
      <c r="H1373" s="1" t="str">
        <f t="shared" ref="H1373:H1375" si="685">"无"</f>
        <v>无</v>
      </c>
      <c r="I1373" s="1" t="str">
        <f>"202109-202306 安阳师范学院彰德书院计算机应用技术专业 专科
202309-202507 河南工业大学明德书院人工智能专业 全日制本科"</f>
        <v>202109-202306 安阳师范学院彰德书院计算机应用技术专业 专科
202309-202507 河南工业大学明德书院人工智能专业 全日制本科</v>
      </c>
    </row>
    <row r="1374" spans="1:9">
      <c r="A1374" s="1" t="str">
        <f>"411327200202190034"</f>
        <v>411327200202190034</v>
      </c>
      <c r="B1374" s="1" t="str">
        <f t="shared" ref="B1374:B1378" si="686">"共青团员"</f>
        <v>共青团员</v>
      </c>
      <c r="C1374" s="1" t="str">
        <f t="shared" si="683"/>
        <v>本科</v>
      </c>
      <c r="D1374" s="1" t="str">
        <f>"20250616"</f>
        <v>20250616</v>
      </c>
      <c r="E1374" s="1" t="str">
        <f>"河南城建学院"</f>
        <v>河南城建学院</v>
      </c>
      <c r="F1374" s="1" t="str">
        <f>"视觉传达设计"</f>
        <v>视觉传达设计</v>
      </c>
      <c r="G1374" s="1" t="str">
        <f>"河南省南阳市内乡县左岸皇朝"</f>
        <v>河南省南阳市内乡县左岸皇朝</v>
      </c>
      <c r="H1374" s="1" t="str">
        <f t="shared" si="685"/>
        <v>无</v>
      </c>
      <c r="I1374" s="1" t="str">
        <f>"202009-202306 河南轻工职业学院 全日制专科 传媒系 数字媒体艺术设计（数字影视）专业 就读
202309-202506 河南城建学院 全日制本科 艺术设计学院 视觉传达设计专业 就读"</f>
        <v>202009-202306 河南轻工职业学院 全日制专科 传媒系 数字媒体艺术设计（数字影视）专业 就读
202309-202506 河南城建学院 全日制本科 艺术设计学院 视觉传达设计专业 就读</v>
      </c>
    </row>
    <row r="1375" spans="1:9">
      <c r="A1375" s="1" t="str">
        <f>"411327199607061147"</f>
        <v>411327199607061147</v>
      </c>
      <c r="B1375" s="1" t="str">
        <f t="shared" ref="B1375:B1379" si="687">"群众"</f>
        <v>群众</v>
      </c>
      <c r="C1375" s="1" t="str">
        <f t="shared" si="683"/>
        <v>本科</v>
      </c>
      <c r="D1375" s="1" t="str">
        <f t="shared" si="684"/>
        <v>20250701</v>
      </c>
      <c r="E1375" s="1" t="str">
        <f>"商丘学院"</f>
        <v>商丘学院</v>
      </c>
      <c r="F1375" s="1" t="str">
        <f>"小学教育"</f>
        <v>小学教育</v>
      </c>
      <c r="G1375" s="1" t="str">
        <f>"河南省南阳市内乡县湍东镇屈庄村王庄组"</f>
        <v>河南省南阳市内乡县湍东镇屈庄村王庄组</v>
      </c>
      <c r="H1375" s="1" t="str">
        <f t="shared" si="685"/>
        <v>无</v>
      </c>
      <c r="I1375" s="1" t="str">
        <f>"201409-201707 河南漯河职业技术学院 服装设计 全日制
201705-201804 郑州惠济区超市
201908-201910 蛋糕店销售
202103-202304 南阳欧盛销售
202304-202507 商丘学院 小学教育 函授"</f>
        <v>201409-201707 河南漯河职业技术学院 服装设计 全日制
201705-201804 郑州惠济区超市
201908-201910 蛋糕店销售
202103-202304 南阳欧盛销售
202304-202507 商丘学院 小学教育 函授</v>
      </c>
    </row>
    <row r="1376" spans="1:9">
      <c r="A1376" s="1" t="str">
        <f>"411323200407186340"</f>
        <v>411323200407186340</v>
      </c>
      <c r="B1376" s="1" t="str">
        <f t="shared" si="687"/>
        <v>群众</v>
      </c>
      <c r="C1376" s="1" t="str">
        <f t="shared" si="683"/>
        <v>本科</v>
      </c>
      <c r="D1376" s="1" t="str">
        <f>"2025-06-30"</f>
        <v>2025-06-30</v>
      </c>
      <c r="E1376" s="1" t="str">
        <f>"河南牧业经济学院"</f>
        <v>河南牧业经济学院</v>
      </c>
      <c r="F1376" s="1" t="str">
        <f>"审计学"</f>
        <v>审计学</v>
      </c>
      <c r="G1376" s="1" t="str">
        <f>"河南省南阳市淅川县厚坡镇后街"</f>
        <v>河南省南阳市淅川县厚坡镇后街</v>
      </c>
      <c r="H1376" s="1" t="str">
        <f>"初级会计证"</f>
        <v>初级会计证</v>
      </c>
      <c r="I1376" s="1" t="str">
        <f>"202109-202506 河南牧业经济学院金融与会计学院审计学专业  就读 是全日制学历"</f>
        <v>202109-202506 河南牧业经济学院金融与会计学院审计学专业  就读 是全日制学历</v>
      </c>
    </row>
    <row r="1377" spans="1:9">
      <c r="A1377" s="1" t="str">
        <f>"411327200109233781"</f>
        <v>411327200109233781</v>
      </c>
      <c r="B1377" s="1" t="str">
        <f t="shared" si="686"/>
        <v>共青团员</v>
      </c>
      <c r="C1377" s="1" t="str">
        <f t="shared" si="683"/>
        <v>本科</v>
      </c>
      <c r="D1377" s="1" t="str">
        <f t="shared" si="684"/>
        <v>20250701</v>
      </c>
      <c r="E1377" s="1" t="str">
        <f>"郑州工程技术学院"</f>
        <v>郑州工程技术学院</v>
      </c>
      <c r="F1377" s="1" t="str">
        <f>"物流工程"</f>
        <v>物流工程</v>
      </c>
      <c r="G1377" s="1" t="str">
        <f>"河南南阳"</f>
        <v>河南南阳</v>
      </c>
      <c r="H1377" s="1" t="str">
        <f>"供应链管理师三级"</f>
        <v>供应链管理师三级</v>
      </c>
      <c r="I1377" s="1" t="str">
        <f>"20230901-20250701位于郑州工程技术学院商学院物流工程专业就读的全日制本科。"</f>
        <v>20230901-20250701位于郑州工程技术学院商学院物流工程专业就读的全日制本科。</v>
      </c>
    </row>
    <row r="1378" spans="1:9">
      <c r="A1378" s="1" t="str">
        <f>"411327200007231144"</f>
        <v>411327200007231144</v>
      </c>
      <c r="B1378" s="1" t="str">
        <f t="shared" si="686"/>
        <v>共青团员</v>
      </c>
      <c r="C1378" s="1" t="str">
        <f t="shared" si="683"/>
        <v>本科</v>
      </c>
      <c r="D1378" s="1" t="str">
        <f>"2024.07.01"</f>
        <v>2024.07.01</v>
      </c>
      <c r="E1378" s="1" t="str">
        <f>"郑州商学院"</f>
        <v>郑州商学院</v>
      </c>
      <c r="F1378" s="1" t="str">
        <f>"环境设计"</f>
        <v>环境设计</v>
      </c>
      <c r="G1378" s="1" t="str">
        <f>"河南省南阳市内乡县赤眉镇"</f>
        <v>河南省南阳市内乡县赤眉镇</v>
      </c>
      <c r="H1378" s="1" t="str">
        <f>"室内装饰设计师三级"</f>
        <v>室内装饰设计师三级</v>
      </c>
      <c r="I1378" s="1" t="str">
        <f>"2019.9--2022.7  郑州财经学院   艺术学院就读建筑室内设计专业，全日制学历
2022.9--2024.7   郑州商学院      艺术学院就读环境设计专业，全日制学历"</f>
        <v>2019.9--2022.7  郑州财经学院   艺术学院就读建筑室内设计专业，全日制学历
2022.9--2024.7   郑州商学院      艺术学院就读环境设计专业，全日制学历</v>
      </c>
    </row>
    <row r="1379" spans="1:9">
      <c r="A1379" s="1" t="str">
        <f>"41132419980520551X"</f>
        <v>41132419980520551X</v>
      </c>
      <c r="B1379" s="1" t="str">
        <f t="shared" si="687"/>
        <v>群众</v>
      </c>
      <c r="C1379" s="1" t="str">
        <f t="shared" si="683"/>
        <v>本科</v>
      </c>
      <c r="D1379" s="1" t="str">
        <f>"20220615"</f>
        <v>20220615</v>
      </c>
      <c r="E1379" s="1" t="str">
        <f>"周口师范学院"</f>
        <v>周口师范学院</v>
      </c>
      <c r="F1379" s="1" t="str">
        <f>"视觉传达设计"</f>
        <v>视觉传达设计</v>
      </c>
      <c r="G1379" s="1" t="str">
        <f>"河南省南阳市镇平县御景华城"</f>
        <v>河南省南阳市镇平县御景华城</v>
      </c>
      <c r="H1379" s="1" t="str">
        <f t="shared" ref="H1379:H1384" si="688">"无"</f>
        <v>无</v>
      </c>
      <c r="I1379" s="1" t="str">
        <f>"014-2018：就读于镇平县第二高级中学，后转至雪枫中学就读一年。
2018-2022：就读于周口师范学校。
2012-2023：在南阳工艺美术学校担任设计教师。
2023-2025：无"</f>
        <v>014-2018：就读于镇平县第二高级中学，后转至雪枫中学就读一年。
2018-2022：就读于周口师范学校。
2012-2023：在南阳工艺美术学校担任设计教师。
2023-2025：无</v>
      </c>
    </row>
    <row r="1380" spans="1:9">
      <c r="A1380" s="1" t="str">
        <f>"411325200510300060"</f>
        <v>411325200510300060</v>
      </c>
      <c r="B1380" s="1" t="str">
        <f t="shared" ref="B1380:B1382" si="689">"共青团员"</f>
        <v>共青团员</v>
      </c>
      <c r="C1380" s="1" t="str">
        <f>"专科"</f>
        <v>专科</v>
      </c>
      <c r="D1380" s="1" t="str">
        <f>"20250701"</f>
        <v>20250701</v>
      </c>
      <c r="E1380" s="1" t="str">
        <f>"驻马店幼儿师范高等专科学校"</f>
        <v>驻马店幼儿师范高等专科学校</v>
      </c>
      <c r="F1380" s="1" t="str">
        <f>"学前教育"</f>
        <v>学前教育</v>
      </c>
      <c r="G1380" s="1" t="str">
        <f>"内乡县南关"</f>
        <v>内乡县南关</v>
      </c>
      <c r="H1380" s="1" t="str">
        <f t="shared" si="688"/>
        <v>无</v>
      </c>
      <c r="I1380" s="1" t="str">
        <f>"202309-202507驻马店幼儿师范高等专科学校就读学前教育专业 是全日制学历"</f>
        <v>202309-202507驻马店幼儿师范高等专科学校就读学前教育专业 是全日制学历</v>
      </c>
    </row>
    <row r="1381" spans="1:9">
      <c r="A1381" s="1" t="str">
        <f>"411327199611054564"</f>
        <v>411327199611054564</v>
      </c>
      <c r="B1381" s="1" t="str">
        <f t="shared" si="689"/>
        <v>共青团员</v>
      </c>
      <c r="C1381" s="1" t="str">
        <f t="shared" ref="C1381:C1389" si="690">"本科"</f>
        <v>本科</v>
      </c>
      <c r="D1381" s="1" t="str">
        <f>"20190607"</f>
        <v>20190607</v>
      </c>
      <c r="E1381" s="1" t="str">
        <f>"河南科技学院"</f>
        <v>河南科技学院</v>
      </c>
      <c r="F1381" s="1" t="str">
        <f>"制药工程"</f>
        <v>制药工程</v>
      </c>
      <c r="G1381" s="1" t="str">
        <f>"河南省内乡县赵店乡岗堤村侯营"</f>
        <v>河南省内乡县赵店乡岗堤村侯营</v>
      </c>
      <c r="H1381" s="1" t="str">
        <f t="shared" si="688"/>
        <v>无</v>
      </c>
      <c r="I1381" s="1" t="str">
        <f>"201509-201906河南科技学院化学化工学院制药工程就读，全日制；201906-202108南阳市学有成教育任教师；202109-至今南阳市宛城区书院高中教学"</f>
        <v>201509-201906河南科技学院化学化工学院制药工程就读，全日制；201906-202108南阳市学有成教育任教师；202109-至今南阳市宛城区书院高中教学</v>
      </c>
    </row>
    <row r="1382" spans="1:9">
      <c r="A1382" s="1" t="str">
        <f>"411303200004166745"</f>
        <v>411303200004166745</v>
      </c>
      <c r="B1382" s="1" t="str">
        <f t="shared" si="689"/>
        <v>共青团员</v>
      </c>
      <c r="C1382" s="1" t="str">
        <f t="shared" si="690"/>
        <v>本科</v>
      </c>
      <c r="D1382" s="1" t="str">
        <f>"202307"</f>
        <v>202307</v>
      </c>
      <c r="E1382" s="1" t="str">
        <f>"南阳师范学院"</f>
        <v>南阳师范学院</v>
      </c>
      <c r="F1382" s="1" t="str">
        <f>"工商管理"</f>
        <v>工商管理</v>
      </c>
      <c r="G1382" s="1" t="str">
        <f>"河南省南阳市卧龙区车站北路78号"</f>
        <v>河南省南阳市卧龙区车站北路78号</v>
      </c>
      <c r="H1382" s="1" t="str">
        <f t="shared" si="688"/>
        <v>无</v>
      </c>
      <c r="I1382" s="1" t="str">
        <f>"2015.9-2018.6 南阳市第八高级中学就读
2018.9-2021.6 河南工业贸易职业学院电子商务专业学习
2021.9-2023.6 南阳师范学院工商管理专业学习
2323.7-2025.6 河南药业科技公司工作
2025.6-至今 待业"</f>
        <v>2015.9-2018.6 南阳市第八高级中学就读
2018.9-2021.6 河南工业贸易职业学院电子商务专业学习
2021.9-2023.6 南阳师范学院工商管理专业学习
2323.7-2025.6 河南药业科技公司工作
2025.6-至今 待业</v>
      </c>
    </row>
    <row r="1383" spans="1:9">
      <c r="A1383" s="1" t="str">
        <f>"411325200210120076"</f>
        <v>411325200210120076</v>
      </c>
      <c r="B1383" s="1" t="str">
        <f t="shared" ref="B1383:B1387" si="691">"群众"</f>
        <v>群众</v>
      </c>
      <c r="C1383" s="1" t="str">
        <f>"专科"</f>
        <v>专科</v>
      </c>
      <c r="D1383" s="1" t="str">
        <f>"20240701"</f>
        <v>20240701</v>
      </c>
      <c r="E1383" s="1" t="str">
        <f>"河南交通职业技术学院"</f>
        <v>河南交通职业技术学院</v>
      </c>
      <c r="F1383" s="1" t="str">
        <f>"计算机网络专业"</f>
        <v>计算机网络专业</v>
      </c>
      <c r="G1383" s="1" t="str">
        <f>"河南省南阳市内乡县城关镇师苑小区"</f>
        <v>河南省南阳市内乡县城关镇师苑小区</v>
      </c>
      <c r="H1383" s="1" t="str">
        <f t="shared" si="688"/>
        <v>无</v>
      </c>
      <c r="I1383" s="1" t="str">
        <f>"202109-202407 河南交通职业技术学院 计算机网络专业就读 全日制专科学历"</f>
        <v>202109-202407 河南交通职业技术学院 计算机网络专业就读 全日制专科学历</v>
      </c>
    </row>
    <row r="1384" spans="1:9">
      <c r="A1384" s="1" t="str">
        <f>"41132320011124058X"</f>
        <v>41132320011124058X</v>
      </c>
      <c r="B1384" s="1" t="str">
        <f t="shared" ref="B1384:B1389" si="692">"共青团员"</f>
        <v>共青团员</v>
      </c>
      <c r="C1384" s="1" t="str">
        <f t="shared" si="690"/>
        <v>本科</v>
      </c>
      <c r="D1384" s="1" t="str">
        <f>"20240701"</f>
        <v>20240701</v>
      </c>
      <c r="E1384" s="1" t="str">
        <f>"新乡学院"</f>
        <v>新乡学院</v>
      </c>
      <c r="F1384" s="1" t="str">
        <f>"信息与计算科学"</f>
        <v>信息与计算科学</v>
      </c>
      <c r="G1384" s="1" t="str">
        <f>"河南省南阳市"</f>
        <v>河南省南阳市</v>
      </c>
      <c r="H1384" s="1" t="str">
        <f t="shared" si="688"/>
        <v>无</v>
      </c>
      <c r="I1384" s="1" t="str">
        <f>"202009-202407 新乡学院学校信息与计算科学专业就读；
202408-202412 待业；
202412-202507 嘉和众拓科技有限公司工作
"</f>
        <v>202009-202407 新乡学院学校信息与计算科学专业就读；
202408-202412 待业；
202412-202507 嘉和众拓科技有限公司工作
</v>
      </c>
    </row>
    <row r="1385" spans="1:9">
      <c r="A1385" s="1" t="str">
        <f>"411324199612160941"</f>
        <v>411324199612160941</v>
      </c>
      <c r="B1385" s="1" t="str">
        <f t="shared" si="691"/>
        <v>群众</v>
      </c>
      <c r="C1385" s="1" t="str">
        <f t="shared" si="690"/>
        <v>本科</v>
      </c>
      <c r="D1385" s="1" t="str">
        <f>"20190620"</f>
        <v>20190620</v>
      </c>
      <c r="E1385" s="1" t="str">
        <f>"广西中医药大学赛恩斯新医药学院"</f>
        <v>广西中医药大学赛恩斯新医药学院</v>
      </c>
      <c r="F1385" s="1" t="str">
        <f>"医学影像技术"</f>
        <v>医学影像技术</v>
      </c>
      <c r="G1385" s="1" t="str">
        <f>"河南省南阳市卧龙区七里园乡京宛大道张楼新区"</f>
        <v>河南省南阳市卧龙区七里园乡京宛大道张楼新区</v>
      </c>
      <c r="H1385" s="1" t="str">
        <f>"放射医学技术 初级   放射医学技术 中级"</f>
        <v>放射医学技术 初级   放射医学技术 中级</v>
      </c>
      <c r="I1385" s="1" t="str">
        <f>"201509-201906广西中医药大学赛恩斯新医药学院医学影像技术专业学习201907-202002在家待业
202003-202008南阳尖峰眼科医院 特检室技师
202009-至今，南阳市第二人民医院"</f>
        <v>201509-201906广西中医药大学赛恩斯新医药学院医学影像技术专业学习201907-202002在家待业
202003-202008南阳尖峰眼科医院 特检室技师
202009-至今，南阳市第二人民医院</v>
      </c>
    </row>
    <row r="1386" spans="1:9">
      <c r="A1386" s="1" t="str">
        <f>"411324199605160054"</f>
        <v>411324199605160054</v>
      </c>
      <c r="B1386" s="1" t="str">
        <f>"中共党员"</f>
        <v>中共党员</v>
      </c>
      <c r="C1386" s="1" t="str">
        <f t="shared" si="690"/>
        <v>本科</v>
      </c>
      <c r="D1386" s="1" t="str">
        <f>"20200706"</f>
        <v>20200706</v>
      </c>
      <c r="E1386" s="1" t="str">
        <f>"西安欧亚学院"</f>
        <v>西安欧亚学院</v>
      </c>
      <c r="F1386" s="1" t="str">
        <f>"电子商务"</f>
        <v>电子商务</v>
      </c>
      <c r="G1386" s="1" t="str">
        <f>"河南省南阳市镇平县喻家庄69号"</f>
        <v>河南省南阳市镇平县喻家庄69号</v>
      </c>
      <c r="H1386" s="1" t="str">
        <f t="shared" ref="H1386:H1389" si="693">"无"</f>
        <v>无</v>
      </c>
      <c r="I1386" s="1" t="str">
        <f>"201509-201807 西安欧亚学院 电子商务专业 全日制专科就读
201809-202007 西安欧亚学院 电子商务专业 全日制本科就读"</f>
        <v>201509-201807 西安欧亚学院 电子商务专业 全日制专科就读
201809-202007 西安欧亚学院 电子商务专业 全日制本科就读</v>
      </c>
    </row>
    <row r="1387" spans="1:9">
      <c r="A1387" s="1" t="str">
        <f>"411322199506130316"</f>
        <v>411322199506130316</v>
      </c>
      <c r="B1387" s="1" t="str">
        <f t="shared" si="691"/>
        <v>群众</v>
      </c>
      <c r="C1387" s="1" t="str">
        <f t="shared" si="690"/>
        <v>本科</v>
      </c>
      <c r="D1387" s="1" t="str">
        <f>"20160630"</f>
        <v>20160630</v>
      </c>
      <c r="E1387" s="1" t="str">
        <f>"河南理工大学"</f>
        <v>河南理工大学</v>
      </c>
      <c r="F1387" s="1" t="str">
        <f>"安全工程"</f>
        <v>安全工程</v>
      </c>
      <c r="G1387" s="1" t="str">
        <f>"河南省方城县城关镇"</f>
        <v>河南省方城县城关镇</v>
      </c>
      <c r="H1387" s="1" t="str">
        <f t="shared" si="693"/>
        <v>无</v>
      </c>
      <c r="I1387" s="1" t="str">
        <f>"2009.9.9 - 2012.6.6  高中  方城县第一高级中学
2012.9.1 - 2015.7.1  大学  河南理工大学
2017.7 - 2018.3 北京易贝恩科技有限公司
2018.8 - 2021.5 深圳一度科技有限公司"</f>
        <v>2009.9.9 - 2012.6.6  高中  方城县第一高级中学
2012.9.1 - 2015.7.1  大学  河南理工大学
2017.7 - 2018.3 北京易贝恩科技有限公司
2018.8 - 2021.5 深圳一度科技有限公司</v>
      </c>
    </row>
    <row r="1388" spans="1:9">
      <c r="A1388" s="1" t="str">
        <f>"410184200102274412"</f>
        <v>410184200102274412</v>
      </c>
      <c r="B1388" s="1" t="str">
        <f t="shared" si="692"/>
        <v>共青团员</v>
      </c>
      <c r="C1388" s="1" t="str">
        <f t="shared" si="690"/>
        <v>本科</v>
      </c>
      <c r="D1388" s="1" t="str">
        <f>"20230612"</f>
        <v>20230612</v>
      </c>
      <c r="E1388" s="1" t="str">
        <f>"新乡医学院"</f>
        <v>新乡医学院</v>
      </c>
      <c r="F1388" s="1" t="str">
        <f>"公共事业管理"</f>
        <v>公共事业管理</v>
      </c>
      <c r="G1388" s="1" t="str">
        <f>"河南省郑州市航空港区新港办事处泰安新城"</f>
        <v>河南省郑州市航空港区新港办事处泰安新城</v>
      </c>
      <c r="H1388" s="1" t="str">
        <f t="shared" si="693"/>
        <v>无</v>
      </c>
      <c r="I1388" s="1" t="str">
        <f>"201909-202306，在新乡医学院管理学院公共事业管理专业就读，全日制学历；202306-202507，在家待业"</f>
        <v>201909-202306，在新乡医学院管理学院公共事业管理专业就读，全日制学历；202306-202507，在家待业</v>
      </c>
    </row>
    <row r="1389" spans="1:9">
      <c r="A1389" s="1" t="str">
        <f>"411327200402154521"</f>
        <v>411327200402154521</v>
      </c>
      <c r="B1389" s="1" t="str">
        <f t="shared" si="692"/>
        <v>共青团员</v>
      </c>
      <c r="C1389" s="1" t="str">
        <f t="shared" si="690"/>
        <v>本科</v>
      </c>
      <c r="D1389" s="1" t="str">
        <f>"20250701"</f>
        <v>20250701</v>
      </c>
      <c r="E1389" s="1" t="str">
        <f>"郑州商学院"</f>
        <v>郑州商学院</v>
      </c>
      <c r="F1389" s="1" t="str">
        <f>"环境设计"</f>
        <v>环境设计</v>
      </c>
      <c r="G1389" s="1" t="str">
        <f>"河南省南阳市内乡县六棵松三期"</f>
        <v>河南省南阳市内乡县六棵松三期</v>
      </c>
      <c r="H1389" s="1" t="str">
        <f t="shared" si="693"/>
        <v>无</v>
      </c>
      <c r="I1389" s="1" t="str">
        <f>"202109-202507在郑州商学院艺术学院环境设计专业就读，全日制学历。"</f>
        <v>202109-202507在郑州商学院艺术学院环境设计专业就读，全日制学历。</v>
      </c>
    </row>
    <row r="1390" spans="1:9">
      <c r="A1390" s="1" t="str">
        <f>"411327199205070315"</f>
        <v>411327199205070315</v>
      </c>
      <c r="B1390" s="1" t="str">
        <f>"中共党员"</f>
        <v>中共党员</v>
      </c>
      <c r="C1390" s="1" t="str">
        <f>"专科"</f>
        <v>专科</v>
      </c>
      <c r="D1390" s="1" t="str">
        <f>"2015-07-01"</f>
        <v>2015-07-01</v>
      </c>
      <c r="E1390" s="1" t="str">
        <f>"商丘学院"</f>
        <v>商丘学院</v>
      </c>
      <c r="F1390" s="1" t="str">
        <f>"建筑工程技术"</f>
        <v>建筑工程技术</v>
      </c>
      <c r="G1390" s="1" t="str">
        <f>"河南省南阳市内乡县大桥乡大周村"</f>
        <v>河南省南阳市内乡县大桥乡大周村</v>
      </c>
      <c r="H1390" s="1" t="str">
        <f>"仓储管理高级，信息通信网络机务员高级"</f>
        <v>仓储管理高级，信息通信网络机务员高级</v>
      </c>
      <c r="I1390" s="1" t="str">
        <f>"201209-201507   商丘学院  土木工程学院建筑工程技术 是全日制大专
201509-202409    服兵役
202409-至今        待就业"</f>
        <v>201209-201507   商丘学院  土木工程学院建筑工程技术 是全日制大专
201509-202409    服兵役
202409-至今        待就业</v>
      </c>
    </row>
    <row r="1391" spans="1:9">
      <c r="A1391" s="1" t="str">
        <f>"412828199805050099"</f>
        <v>412828199805050099</v>
      </c>
      <c r="B1391" s="1" t="str">
        <f t="shared" ref="B1391:B1395" si="694">"群众"</f>
        <v>群众</v>
      </c>
      <c r="C1391" s="1" t="str">
        <f t="shared" ref="C1391:C1394" si="695">"本科"</f>
        <v>本科</v>
      </c>
      <c r="D1391" s="1" t="str">
        <f>"20220630"</f>
        <v>20220630</v>
      </c>
      <c r="E1391" s="1" t="str">
        <f>"三亚学院"</f>
        <v>三亚学院</v>
      </c>
      <c r="F1391" s="1" t="str">
        <f>"人力资源管理"</f>
        <v>人力资源管理</v>
      </c>
      <c r="G1391" s="1" t="str">
        <f>"河南省驻马店市新蔡县"</f>
        <v>河南省驻马店市新蔡县</v>
      </c>
      <c r="H1391" s="1" t="str">
        <f t="shared" ref="H1391:H1406" si="696">"无"</f>
        <v>无</v>
      </c>
      <c r="I1391" s="1" t="str">
        <f>"201709-202006 海口经济学院金融管理专业 全日制专科
202009-202206 三亚学院人力资源管理专业 全日制本科   
202207至今在驻马店市新蔡县待业"</f>
        <v>201709-202006 海口经济学院金融管理专业 全日制专科
202009-202206 三亚学院人力资源管理专业 全日制本科   
202207至今在驻马店市新蔡县待业</v>
      </c>
    </row>
    <row r="1392" spans="1:9">
      <c r="A1392" s="1" t="str">
        <f>"411381200006203545"</f>
        <v>411381200006203545</v>
      </c>
      <c r="B1392" s="1" t="str">
        <f t="shared" ref="B1392:B1399" si="697">"共青团员"</f>
        <v>共青团员</v>
      </c>
      <c r="C1392" s="1" t="str">
        <f t="shared" si="695"/>
        <v>本科</v>
      </c>
      <c r="D1392" s="1" t="str">
        <f>"20250701"</f>
        <v>20250701</v>
      </c>
      <c r="E1392" s="1" t="str">
        <f>"河南师范大学"</f>
        <v>河南师范大学</v>
      </c>
      <c r="F1392" s="1" t="str">
        <f>"汉语言文学专业"</f>
        <v>汉语言文学专业</v>
      </c>
      <c r="G1392" s="1" t="str">
        <f>"河南省南阳市内乡县城关镇南湖湾小区"</f>
        <v>河南省南阳市内乡县城关镇南湖湾小区</v>
      </c>
      <c r="H1392" s="1" t="str">
        <f>"高中语文教师资格证"</f>
        <v>高中语文教师资格证</v>
      </c>
      <c r="I1392" s="1" t="str">
        <f>"202110—202507 河南师范大学 文学院 汉语言文学专业 全日制
202008—202106西峡县第一高级中学 
201708—202007邓州市第一高级中学"</f>
        <v>202110—202507 河南师范大学 文学院 汉语言文学专业 全日制
202008—202106西峡县第一高级中学 
201708—202007邓州市第一高级中学</v>
      </c>
    </row>
    <row r="1393" spans="1:9">
      <c r="A1393" s="1" t="str">
        <f>"411327200208173323"</f>
        <v>411327200208173323</v>
      </c>
      <c r="B1393" s="1" t="str">
        <f t="shared" si="697"/>
        <v>共青团员</v>
      </c>
      <c r="C1393" s="1" t="str">
        <f t="shared" si="695"/>
        <v>本科</v>
      </c>
      <c r="D1393" s="1" t="str">
        <f>"20240620"</f>
        <v>20240620</v>
      </c>
      <c r="E1393" s="1" t="str">
        <f>"郑州航空工业管理学院"</f>
        <v>郑州航空工业管理学院</v>
      </c>
      <c r="F1393" s="1" t="str">
        <f>"翻译"</f>
        <v>翻译</v>
      </c>
      <c r="G1393" s="1" t="str">
        <f>"河南省内乡县七里坪乡后坪村"</f>
        <v>河南省内乡县七里坪乡后坪村</v>
      </c>
      <c r="H1393" s="1" t="str">
        <f t="shared" si="696"/>
        <v>无</v>
      </c>
      <c r="I1393" s="1" t="str">
        <f>"202009-202406 郑州航空工业管理学院外国语学院翻译专业就读 权是指学历
202409-202507 内乡中等职业学校代课教师"</f>
        <v>202009-202406 郑州航空工业管理学院外国语学院翻译专业就读 权是指学历
202409-202507 内乡中等职业学校代课教师</v>
      </c>
    </row>
    <row r="1394" spans="1:9">
      <c r="A1394" s="1" t="str">
        <f>"411323200109076311"</f>
        <v>411323200109076311</v>
      </c>
      <c r="B1394" s="1" t="str">
        <f t="shared" si="694"/>
        <v>群众</v>
      </c>
      <c r="C1394" s="1" t="str">
        <f t="shared" si="695"/>
        <v>本科</v>
      </c>
      <c r="D1394" s="1" t="str">
        <f>"2022-07-01"</f>
        <v>2022-07-01</v>
      </c>
      <c r="E1394" s="1" t="str">
        <f>"河南农业大学"</f>
        <v>河南农业大学</v>
      </c>
      <c r="F1394" s="1" t="str">
        <f>"环境科学"</f>
        <v>环境科学</v>
      </c>
      <c r="G1394" s="1" t="str">
        <f>"河南省淅川县厚坡镇后街村"</f>
        <v>河南省淅川县厚坡镇后街村</v>
      </c>
      <c r="H1394" s="1" t="str">
        <f t="shared" si="696"/>
        <v>无</v>
      </c>
      <c r="I1394" s="1" t="str">
        <f>"2018年9月-2022年7月河南农业大学（环境科学专业）学习全日制
2022年7月-至今 在家待业"</f>
        <v>2018年9月-2022年7月河南农业大学（环境科学专业）学习全日制
2022年7月-至今 在家待业</v>
      </c>
    </row>
    <row r="1395" spans="1:9">
      <c r="A1395" s="1" t="str">
        <f>"410324200209090626"</f>
        <v>410324200209090626</v>
      </c>
      <c r="B1395" s="1" t="str">
        <f t="shared" si="694"/>
        <v>群众</v>
      </c>
      <c r="C1395" s="1" t="str">
        <f>"专科"</f>
        <v>专科</v>
      </c>
      <c r="D1395" s="1" t="str">
        <f t="shared" ref="D1395:D1400" si="698">"20230701"</f>
        <v>20230701</v>
      </c>
      <c r="E1395" s="1" t="str">
        <f>"许昌职业技术学院"</f>
        <v>许昌职业技术学院</v>
      </c>
      <c r="F1395" s="1" t="str">
        <f>"小学教育（师范）"</f>
        <v>小学教育（师范）</v>
      </c>
      <c r="G1395" s="1" t="str">
        <f>"河南省洛阳市栾川县庙子镇"</f>
        <v>河南省洛阳市栾川县庙子镇</v>
      </c>
      <c r="H1395" s="1" t="str">
        <f t="shared" si="696"/>
        <v>无</v>
      </c>
      <c r="I1395" s="1" t="str">
        <f>"202009-202307 许昌职业技术学院就读 人文学院小学教育(师范）专业 全日制学历
"</f>
        <v>202009-202307 许昌职业技术学院就读 人文学院小学教育(师范）专业 全日制学历
</v>
      </c>
    </row>
    <row r="1396" spans="1:9">
      <c r="A1396" s="1" t="str">
        <f>"411324199910102838"</f>
        <v>411324199910102838</v>
      </c>
      <c r="B1396" s="1" t="str">
        <f t="shared" si="697"/>
        <v>共青团员</v>
      </c>
      <c r="C1396" s="1" t="str">
        <f t="shared" ref="C1396:C1398" si="699">"本科"</f>
        <v>本科</v>
      </c>
      <c r="D1396" s="1" t="str">
        <f t="shared" si="698"/>
        <v>20230701</v>
      </c>
      <c r="E1396" s="1" t="str">
        <f>"南阳理工学院"</f>
        <v>南阳理工学院</v>
      </c>
      <c r="F1396" s="1" t="str">
        <f>"电气工程及其自动化"</f>
        <v>电气工程及其自动化</v>
      </c>
      <c r="G1396" s="1" t="str">
        <f>"河南省南阳市镇平县建设大道尧庄路口"</f>
        <v>河南省南阳市镇平县建设大道尧庄路口</v>
      </c>
      <c r="H1396" s="1" t="str">
        <f t="shared" si="696"/>
        <v>无</v>
      </c>
      <c r="I1396" s="1" t="str">
        <f>"201909-202307 南阳理工学院智能制造学院电气工程及其自动化专业就读，是全日制学历
202307-至今待业"</f>
        <v>201909-202307 南阳理工学院智能制造学院电气工程及其自动化专业就读，是全日制学历
202307-至今待业</v>
      </c>
    </row>
    <row r="1397" spans="1:9">
      <c r="A1397" s="1" t="str">
        <f>"411327200001242029"</f>
        <v>411327200001242029</v>
      </c>
      <c r="B1397" s="1" t="str">
        <f t="shared" si="697"/>
        <v>共青团员</v>
      </c>
      <c r="C1397" s="1" t="str">
        <f t="shared" si="699"/>
        <v>本科</v>
      </c>
      <c r="D1397" s="1" t="str">
        <f>"20230630"</f>
        <v>20230630</v>
      </c>
      <c r="E1397" s="1" t="str">
        <f>"汉江师范学院"</f>
        <v>汉江师范学院</v>
      </c>
      <c r="F1397" s="1" t="str">
        <f>"小学教育"</f>
        <v>小学教育</v>
      </c>
      <c r="G1397" s="1" t="str">
        <f>"湖北省十堰市茅箭区武当路街道泰安巷16栋"</f>
        <v>湖北省十堰市茅箭区武当路街道泰安巷16栋</v>
      </c>
      <c r="H1397" s="1" t="str">
        <f t="shared" si="696"/>
        <v>无</v>
      </c>
      <c r="I1397" s="1" t="str">
        <f>"201809-202106 在汉江师范学院小学教育专业就读，全日制专科学历；
202109-202306 在汉江师范学院小学教育专业就读，全日制本科学历；
202309至今在东风52小学代课。"</f>
        <v>201809-202106 在汉江师范学院小学教育专业就读，全日制专科学历；
202109-202306 在汉江师范学院小学教育专业就读，全日制本科学历；
202309至今在东风52小学代课。</v>
      </c>
    </row>
    <row r="1398" spans="1:9">
      <c r="A1398" s="1" t="str">
        <f>"411327199805103520"</f>
        <v>411327199805103520</v>
      </c>
      <c r="B1398" s="1" t="str">
        <f t="shared" si="697"/>
        <v>共青团员</v>
      </c>
      <c r="C1398" s="1" t="str">
        <f t="shared" si="699"/>
        <v>本科</v>
      </c>
      <c r="D1398" s="1" t="str">
        <f>"20200701"</f>
        <v>20200701</v>
      </c>
      <c r="E1398" s="1" t="str">
        <f>"黄淮学院"</f>
        <v>黄淮学院</v>
      </c>
      <c r="F1398" s="1" t="str">
        <f>"劳动与社会保障"</f>
        <v>劳动与社会保障</v>
      </c>
      <c r="G1398" s="1" t="str">
        <f>"河南省南阳市内乡县"</f>
        <v>河南省南阳市内乡县</v>
      </c>
      <c r="H1398" s="1" t="str">
        <f t="shared" si="696"/>
        <v>无</v>
      </c>
      <c r="I1398" s="1" t="str">
        <f>"201609-202007  黄淮学院  经济与管理学院 劳动与社会保障专业就读，全日制本科"</f>
        <v>201609-202007  黄淮学院  经济与管理学院 劳动与社会保障专业就读，全日制本科</v>
      </c>
    </row>
    <row r="1399" spans="1:9">
      <c r="A1399" s="1" t="str">
        <f>"411327200002222556"</f>
        <v>411327200002222556</v>
      </c>
      <c r="B1399" s="1" t="str">
        <f t="shared" si="697"/>
        <v>共青团员</v>
      </c>
      <c r="C1399" s="1" t="str">
        <f>"专科"</f>
        <v>专科</v>
      </c>
      <c r="D1399" s="1" t="str">
        <f>"2021年7月1日"</f>
        <v>2021年7月1日</v>
      </c>
      <c r="E1399" s="1" t="str">
        <f>"商丘学院应用科技学院"</f>
        <v>商丘学院应用科技学院</v>
      </c>
      <c r="F1399" s="1" t="str">
        <f>"学前教育"</f>
        <v>学前教育</v>
      </c>
      <c r="G1399" s="1" t="str">
        <f>"河南省南阳市内乡县王店镇周营村"</f>
        <v>河南省南阳市内乡县王店镇周营村</v>
      </c>
      <c r="H1399" s="1" t="str">
        <f t="shared" si="696"/>
        <v>无</v>
      </c>
      <c r="I1399" s="1" t="str">
        <f>"2018年9月1日-2021年7月1日商丘学院应用科技学院艺术与教育系学前教育师范专业就读，全日制。"</f>
        <v>2018年9月1日-2021年7月1日商丘学院应用科技学院艺术与教育系学前教育师范专业就读，全日制。</v>
      </c>
    </row>
    <row r="1400" spans="1:9">
      <c r="A1400" s="1" t="str">
        <f>"412701199907304023"</f>
        <v>412701199907304023</v>
      </c>
      <c r="B1400" s="1" t="str">
        <f>"中共党员"</f>
        <v>中共党员</v>
      </c>
      <c r="C1400" s="1" t="str">
        <f t="shared" ref="C1400:C1411" si="700">"本科"</f>
        <v>本科</v>
      </c>
      <c r="D1400" s="1" t="str">
        <f t="shared" si="698"/>
        <v>20230701</v>
      </c>
      <c r="E1400" s="1" t="str">
        <f>"郑州经贸学院"</f>
        <v>郑州经贸学院</v>
      </c>
      <c r="F1400" s="1" t="str">
        <f>"物流管理"</f>
        <v>物流管理</v>
      </c>
      <c r="G1400" s="1" t="str">
        <f>"河南省周口市川汇区七一路街道工农路尚都伟业小区"</f>
        <v>河南省周口市川汇区七一路街道工农路尚都伟业小区</v>
      </c>
      <c r="H1400" s="1" t="str">
        <f t="shared" si="696"/>
        <v>无</v>
      </c>
      <c r="I1400" s="1" t="str">
        <f>"201809-202107 新乡学院 会计专业 全日制专科
202109-202307 郑州经贸学院 物流管理 全日制本科
"</f>
        <v>201809-202107 新乡学院 会计专业 全日制专科
202109-202307 郑州经贸学院 物流管理 全日制本科
</v>
      </c>
    </row>
    <row r="1401" spans="1:9">
      <c r="A1401" s="1" t="str">
        <f>"411303199307086755"</f>
        <v>411303199307086755</v>
      </c>
      <c r="B1401" s="1" t="str">
        <f t="shared" ref="B1401:B1405" si="701">"群众"</f>
        <v>群众</v>
      </c>
      <c r="C1401" s="1" t="str">
        <f>"专科"</f>
        <v>专科</v>
      </c>
      <c r="D1401" s="1" t="str">
        <f>"20160701"</f>
        <v>20160701</v>
      </c>
      <c r="E1401" s="1" t="str">
        <f>"河南机电职业学院"</f>
        <v>河南机电职业学院</v>
      </c>
      <c r="F1401" s="1" t="str">
        <f>"汽车检测与维修技术"</f>
        <v>汽车检测与维修技术</v>
      </c>
      <c r="G1401" s="1" t="str">
        <f>"南阳市仲景路两相路口东北角幸福枫景六号楼二单元1604"</f>
        <v>南阳市仲景路两相路口东北角幸福枫景六号楼二单元1604</v>
      </c>
      <c r="H1401" s="1" t="str">
        <f t="shared" si="696"/>
        <v>无</v>
      </c>
      <c r="I1401" s="1" t="str">
        <f>"2013-2016就读于河南机电职业技术学院
2016-2023就职于南阳盛泰美商贸有限公司
2023至今家中学习"</f>
        <v>2013-2016就读于河南机电职业技术学院
2016-2023就职于南阳盛泰美商贸有限公司
2023至今家中学习</v>
      </c>
    </row>
    <row r="1402" spans="1:9">
      <c r="A1402" s="1" t="str">
        <f>"411327199702024512"</f>
        <v>411327199702024512</v>
      </c>
      <c r="B1402" s="1" t="str">
        <f t="shared" si="701"/>
        <v>群众</v>
      </c>
      <c r="C1402" s="1" t="str">
        <f t="shared" si="700"/>
        <v>本科</v>
      </c>
      <c r="D1402" s="1" t="str">
        <f>"20240701"</f>
        <v>20240701</v>
      </c>
      <c r="E1402" s="1" t="str">
        <f>"南阳师范学院"</f>
        <v>南阳师范学院</v>
      </c>
      <c r="F1402" s="1" t="str">
        <f>"教育学"</f>
        <v>教育学</v>
      </c>
      <c r="G1402" s="1" t="str">
        <f>"河南省内乡县赵店乡"</f>
        <v>河南省内乡县赵店乡</v>
      </c>
      <c r="H1402" s="1" t="str">
        <f t="shared" si="696"/>
        <v>无</v>
      </c>
      <c r="I1402" s="1" t="str">
        <f>"202203-202407南阳师范学院  教育学 函数
201807-202203在家待业
201309-201807南阳师范学院 语文教育  是全日制"</f>
        <v>202203-202407南阳师范学院  教育学 函数
201807-202203在家待业
201309-201807南阳师范学院 语文教育  是全日制</v>
      </c>
    </row>
    <row r="1403" spans="1:9">
      <c r="A1403" s="1" t="str">
        <f>"411324199905250019"</f>
        <v>411324199905250019</v>
      </c>
      <c r="B1403" s="1" t="str">
        <f>"中共党员"</f>
        <v>中共党员</v>
      </c>
      <c r="C1403" s="1" t="str">
        <f t="shared" si="700"/>
        <v>本科</v>
      </c>
      <c r="D1403" s="1" t="str">
        <f>"20220701"</f>
        <v>20220701</v>
      </c>
      <c r="E1403" s="1" t="str">
        <f>"中原工学院"</f>
        <v>中原工学院</v>
      </c>
      <c r="F1403" s="1" t="str">
        <f>"能源与动力工程"</f>
        <v>能源与动力工程</v>
      </c>
      <c r="G1403" s="1" t="str">
        <f>"河南省南阳市镇平县祈福家园"</f>
        <v>河南省南阳市镇平县祈福家园</v>
      </c>
      <c r="H1403" s="1" t="str">
        <f t="shared" si="696"/>
        <v>无</v>
      </c>
      <c r="I1403" s="1" t="str">
        <f>"201809-202207 中原工学院 能源与环境学院能源与动力工程专业就读 全日制
202207-至今  待业"</f>
        <v>201809-202207 中原工学院 能源与环境学院能源与动力工程专业就读 全日制
202207-至今  待业</v>
      </c>
    </row>
    <row r="1404" spans="1:9">
      <c r="A1404" s="1" t="str">
        <f>"411481200008114824"</f>
        <v>411481200008114824</v>
      </c>
      <c r="B1404" s="1" t="str">
        <f t="shared" si="701"/>
        <v>群众</v>
      </c>
      <c r="C1404" s="1" t="str">
        <f t="shared" si="700"/>
        <v>本科</v>
      </c>
      <c r="D1404" s="1" t="str">
        <f>"20230701"</f>
        <v>20230701</v>
      </c>
      <c r="E1404" s="1" t="str">
        <f>"郑州升达经贸管理学院"</f>
        <v>郑州升达经贸管理学院</v>
      </c>
      <c r="F1404" s="1" t="str">
        <f>"数据科学与大数据技术"</f>
        <v>数据科学与大数据技术</v>
      </c>
      <c r="G1404" s="1" t="str">
        <f>"河南省商丘市永城市新城区三中散居片"</f>
        <v>河南省商丘市永城市新城区三中散居片</v>
      </c>
      <c r="H1404" s="1" t="str">
        <f t="shared" si="696"/>
        <v>无</v>
      </c>
      <c r="I1404" s="1" t="str">
        <f>"201906-202307郑州升达经贸管理学院数据科学与大数据技术就读全日制学历
202307-至今河南省商丘市永城市待业"</f>
        <v>201906-202307郑州升达经贸管理学院数据科学与大数据技术就读全日制学历
202307-至今河南省商丘市永城市待业</v>
      </c>
    </row>
    <row r="1405" spans="1:9">
      <c r="A1405" s="1" t="str">
        <f>"411327200309130015"</f>
        <v>411327200309130015</v>
      </c>
      <c r="B1405" s="1" t="str">
        <f t="shared" si="701"/>
        <v>群众</v>
      </c>
      <c r="C1405" s="1" t="str">
        <f t="shared" si="700"/>
        <v>本科</v>
      </c>
      <c r="D1405" s="1" t="str">
        <f>"20250608"</f>
        <v>20250608</v>
      </c>
      <c r="E1405" s="1" t="str">
        <f>"郑州轻工业大学"</f>
        <v>郑州轻工业大学</v>
      </c>
      <c r="F1405" s="1" t="str">
        <f>"食品科学与工程"</f>
        <v>食品科学与工程</v>
      </c>
      <c r="G1405" s="1" t="str">
        <f>"河南省南阳市内乡县县衙居委会老水厂组"</f>
        <v>河南省南阳市内乡县县衙居委会老水厂组</v>
      </c>
      <c r="H1405" s="1" t="str">
        <f t="shared" si="696"/>
        <v>无</v>
      </c>
      <c r="I1405" s="1" t="str">
        <f>"202109-202506郑州轻工业大学食品与生物工程学院食品科学与工程专业就读，为全日制"</f>
        <v>202109-202506郑州轻工业大学食品与生物工程学院食品科学与工程专业就读，为全日制</v>
      </c>
    </row>
    <row r="1406" spans="1:9">
      <c r="A1406" s="1" t="str">
        <f>"410403200110315542"</f>
        <v>410403200110315542</v>
      </c>
      <c r="B1406" s="1" t="str">
        <f t="shared" ref="B1406:B1411" si="702">"共青团员"</f>
        <v>共青团员</v>
      </c>
      <c r="C1406" s="1" t="str">
        <f t="shared" si="700"/>
        <v>本科</v>
      </c>
      <c r="D1406" s="1" t="str">
        <f>"20250601"</f>
        <v>20250601</v>
      </c>
      <c r="E1406" s="1" t="str">
        <f>"河南农业大学"</f>
        <v>河南农业大学</v>
      </c>
      <c r="F1406" s="1" t="str">
        <f>"环境科学"</f>
        <v>环境科学</v>
      </c>
      <c r="G1406" s="1" t="str">
        <f>"平顶山市老汽车站对面国大药房十三店"</f>
        <v>平顶山市老汽车站对面国大药房十三店</v>
      </c>
      <c r="H1406" s="1" t="str">
        <f t="shared" si="696"/>
        <v>无</v>
      </c>
      <c r="I1406" s="1" t="str">
        <f>"202109-202506 就读于河南农业大学环境科学专业，全日制普通高等教育
202009-202106 就读于平顶山市叶县高级中学（复读）
201709-202006 就读于平顶山市第一高级中学
201409-201706 就读于平顶山市第六中学
200809-201406 就读于平顶山市新华路小学"</f>
        <v>202109-202506 就读于河南农业大学环境科学专业，全日制普通高等教育
202009-202106 就读于平顶山市叶县高级中学（复读）
201709-202006 就读于平顶山市第一高级中学
201409-201706 就读于平顶山市第六中学
200809-201406 就读于平顶山市新华路小学</v>
      </c>
    </row>
    <row r="1407" spans="1:9">
      <c r="A1407" s="1" t="str">
        <f>"411327200204250010"</f>
        <v>411327200204250010</v>
      </c>
      <c r="B1407" s="1" t="str">
        <f t="shared" ref="B1407:B1410" si="703">"群众"</f>
        <v>群众</v>
      </c>
      <c r="C1407" s="1" t="str">
        <f t="shared" si="700"/>
        <v>本科</v>
      </c>
      <c r="D1407" s="1" t="str">
        <f>"20250614"</f>
        <v>20250614</v>
      </c>
      <c r="E1407" s="1" t="str">
        <f>"信阳农林学院"</f>
        <v>信阳农林学院</v>
      </c>
      <c r="F1407" s="1" t="str">
        <f>"茶学"</f>
        <v>茶学</v>
      </c>
      <c r="G1407" s="1" t="str">
        <f>"河南省内乡县集贸市场"</f>
        <v>河南省内乡县集贸市场</v>
      </c>
      <c r="H1407" s="1" t="str">
        <f>"高级园林绿化工 高级评茶员"</f>
        <v>高级园林绿化工 高级评茶员</v>
      </c>
      <c r="I1407" s="1" t="str">
        <f>"2020.09-2023.06河南科技学院高等职业技术学院生命科学技术系园林技术全日制专科
2023.09-2025.06信阳农林学院茶学院茶学全日制本科"</f>
        <v>2020.09-2023.06河南科技学院高等职业技术学院生命科学技术系园林技术全日制专科
2023.09-2025.06信阳农林学院茶学院茶学全日制本科</v>
      </c>
    </row>
    <row r="1408" spans="1:9">
      <c r="A1408" s="1" t="str">
        <f>"411082199001047824"</f>
        <v>411082199001047824</v>
      </c>
      <c r="B1408" s="1" t="str">
        <f t="shared" si="703"/>
        <v>群众</v>
      </c>
      <c r="C1408" s="1" t="str">
        <f t="shared" si="700"/>
        <v>本科</v>
      </c>
      <c r="D1408" s="1" t="str">
        <f>"2015-07-01"</f>
        <v>2015-07-01</v>
      </c>
      <c r="E1408" s="1" t="str">
        <f>"郑州航空工业管理学院"</f>
        <v>郑州航空工业管理学院</v>
      </c>
      <c r="F1408" s="1" t="str">
        <f>"法学"</f>
        <v>法学</v>
      </c>
      <c r="G1408" s="1" t="str">
        <f>"河南省南阳市镇平县杏山大道水岸星城"</f>
        <v>河南省南阳市镇平县杏山大道水岸星城</v>
      </c>
      <c r="H1408" s="1" t="str">
        <f t="shared" ref="H1408:H1411" si="704">"无"</f>
        <v>无</v>
      </c>
      <c r="I1408" s="1" t="str">
        <f>"2010.9 至 2013.6    河南检察职业学院 就读，法学系法律事务专业，全日制专科
2013.6 至 2015.7    郑州航空工业管理学院 就读，法学系法学专业  全日制本科
"</f>
        <v>2010.9 至 2013.6    河南检察职业学院 就读，法学系法律事务专业，全日制专科
2013.6 至 2015.7    郑州航空工业管理学院 就读，法学系法学专业  全日制本科
</v>
      </c>
    </row>
    <row r="1409" spans="1:9">
      <c r="A1409" s="1" t="str">
        <f>"411324200306162450"</f>
        <v>411324200306162450</v>
      </c>
      <c r="B1409" s="1" t="str">
        <f t="shared" si="702"/>
        <v>共青团员</v>
      </c>
      <c r="C1409" s="1" t="str">
        <f t="shared" si="700"/>
        <v>本科</v>
      </c>
      <c r="D1409" s="1" t="str">
        <f>"20250701"</f>
        <v>20250701</v>
      </c>
      <c r="E1409" s="1" t="str">
        <f>"沈阳建筑大学"</f>
        <v>沈阳建筑大学</v>
      </c>
      <c r="F1409" s="1" t="str">
        <f>"环境工程"</f>
        <v>环境工程</v>
      </c>
      <c r="G1409" s="1" t="str">
        <f>"河南省南阳市镇平县凤翅山村江家176号"</f>
        <v>河南省南阳市镇平县凤翅山村江家176号</v>
      </c>
      <c r="H1409" s="1" t="str">
        <f t="shared" si="704"/>
        <v>无</v>
      </c>
      <c r="I1409" s="1" t="str">
        <f>"202109-202507在沈阳建筑大学市政与环境工程学院环境工程专业就读，是全日制学历"</f>
        <v>202109-202507在沈阳建筑大学市政与环境工程学院环境工程专业就读，是全日制学历</v>
      </c>
    </row>
    <row r="1410" spans="1:9">
      <c r="A1410" s="1" t="str">
        <f>"411330199509254023"</f>
        <v>411330199509254023</v>
      </c>
      <c r="B1410" s="1" t="str">
        <f t="shared" si="703"/>
        <v>群众</v>
      </c>
      <c r="C1410" s="1" t="str">
        <f t="shared" si="700"/>
        <v>本科</v>
      </c>
      <c r="D1410" s="1" t="str">
        <f>"2019-07-01"</f>
        <v>2019-07-01</v>
      </c>
      <c r="E1410" s="1" t="str">
        <f>"中原工学院信息商务学院"</f>
        <v>中原工学院信息商务学院</v>
      </c>
      <c r="F1410" s="1" t="str">
        <f>"服装设计与工程"</f>
        <v>服装设计与工程</v>
      </c>
      <c r="G1410" s="1" t="str">
        <f>"河南省内乡县湍东镇福星家园"</f>
        <v>河南省内乡县湍东镇福星家园</v>
      </c>
      <c r="H1410" s="1" t="str">
        <f t="shared" si="704"/>
        <v>无</v>
      </c>
      <c r="I1410" s="1" t="str">
        <f>"201509-201907 中原工学院信息商务学院服装设计与工程专业就读，全日制学历
201908-202006 待业
202007-202308 东方永德软件（北京）有限公司
202309至今待业"</f>
        <v>201509-201907 中原工学院信息商务学院服装设计与工程专业就读，全日制学历
201908-202006 待业
202007-202308 东方永德软件（北京）有限公司
202309至今待业</v>
      </c>
    </row>
    <row r="1411" spans="1:9">
      <c r="A1411" s="1" t="str">
        <f>"411303200004142110"</f>
        <v>411303200004142110</v>
      </c>
      <c r="B1411" s="1" t="str">
        <f t="shared" si="702"/>
        <v>共青团员</v>
      </c>
      <c r="C1411" s="1" t="str">
        <f t="shared" si="700"/>
        <v>本科</v>
      </c>
      <c r="D1411" s="1" t="str">
        <f>"2024-06-30"</f>
        <v>2024-06-30</v>
      </c>
      <c r="E1411" s="1" t="str">
        <f>"湖北文理学院理工学院"</f>
        <v>湖北文理学院理工学院</v>
      </c>
      <c r="F1411" s="1" t="str">
        <f>"计算机科学与技术"</f>
        <v>计算机科学与技术</v>
      </c>
      <c r="G1411" s="1" t="str">
        <f>"河南省南阳市宛城区汉冶街道老庄社区杨寨"</f>
        <v>河南省南阳市宛城区汉冶街道老庄社区杨寨</v>
      </c>
      <c r="H1411" s="1" t="str">
        <f t="shared" si="704"/>
        <v>无</v>
      </c>
      <c r="I1411" s="1" t="str">
        <f>"202209-202406 湖北文理学院理工学院 电子科学与信息工程学院 计算机科学与技术专业 全日制本科"</f>
        <v>202209-202406 湖北文理学院理工学院 电子科学与信息工程学院 计算机科学与技术专业 全日制本科</v>
      </c>
    </row>
    <row r="1412" spans="1:9">
      <c r="A1412" s="1" t="str">
        <f>"360423200203200016"</f>
        <v>360423200203200016</v>
      </c>
      <c r="B1412" s="1" t="str">
        <f>"群众"</f>
        <v>群众</v>
      </c>
      <c r="C1412" s="1" t="str">
        <f>"专科"</f>
        <v>专科</v>
      </c>
      <c r="D1412" s="1" t="str">
        <f>"20220701"</f>
        <v>20220701</v>
      </c>
      <c r="E1412" s="1" t="str">
        <f>"九江职业大学"</f>
        <v>九江职业大学</v>
      </c>
      <c r="F1412" s="1" t="str">
        <f>"数学教育"</f>
        <v>数学教育</v>
      </c>
      <c r="G1412" s="1" t="str">
        <f>"江西省九江市武宁县景山花园"</f>
        <v>江西省九江市武宁县景山花园</v>
      </c>
      <c r="H1412" s="1" t="str">
        <f>"普通话证书二乙"</f>
        <v>普通话证书二乙</v>
      </c>
      <c r="I1412" s="1" t="str">
        <f>"201709-202207 九江职业大学 在师范学院数学教育专业就读 全日制学历"</f>
        <v>201709-202207 九江职业大学 在师范学院数学教育专业就读 全日制学历</v>
      </c>
    </row>
    <row r="1413" spans="1:9">
      <c r="A1413" s="1" t="str">
        <f>"411327200103263517"</f>
        <v>411327200103263517</v>
      </c>
      <c r="B1413" s="1" t="str">
        <f>"共青团员"</f>
        <v>共青团员</v>
      </c>
      <c r="C1413" s="1" t="str">
        <f t="shared" ref="C1413:C1415" si="705">"本科"</f>
        <v>本科</v>
      </c>
      <c r="D1413" s="1" t="str">
        <f>"2024-06-21"</f>
        <v>2024-06-21</v>
      </c>
      <c r="E1413" s="1" t="str">
        <f>"长春中医药大学"</f>
        <v>长春中医药大学</v>
      </c>
      <c r="F1413" s="1" t="str">
        <f>"中医康复学"</f>
        <v>中医康复学</v>
      </c>
      <c r="G1413" s="1" t="str">
        <f>"河南省南阳市三叉村"</f>
        <v>河南省南阳市三叉村</v>
      </c>
      <c r="H1413" s="1" t="str">
        <f t="shared" ref="H1413:H1416" si="706">"无"</f>
        <v>无</v>
      </c>
      <c r="I1413" s="1" t="str">
        <f>"201909-202406长春中医药大学中医康复学专业就读，全日制学历"</f>
        <v>201909-202406长春中医药大学中医康复学专业就读，全日制学历</v>
      </c>
    </row>
    <row r="1414" spans="1:9">
      <c r="A1414" s="1" t="str">
        <f>"411327199701121126"</f>
        <v>411327199701121126</v>
      </c>
      <c r="B1414" s="1" t="str">
        <f t="shared" ref="B1414:B1417" si="707">"中共党员"</f>
        <v>中共党员</v>
      </c>
      <c r="C1414" s="1" t="str">
        <f t="shared" si="705"/>
        <v>本科</v>
      </c>
      <c r="D1414" s="1" t="str">
        <f>"20200701"</f>
        <v>20200701</v>
      </c>
      <c r="E1414" s="1" t="str">
        <f>"平顶山学院"</f>
        <v>平顶山学院</v>
      </c>
      <c r="F1414" s="1" t="str">
        <f>"旅游管理"</f>
        <v>旅游管理</v>
      </c>
      <c r="G1414" s="1" t="str">
        <f>"河南省南阳市内乡县赤眉镇朱陈村"</f>
        <v>河南省南阳市内乡县赤眉镇朱陈村</v>
      </c>
      <c r="H1414" s="1" t="str">
        <f t="shared" si="706"/>
        <v>无</v>
      </c>
      <c r="I1414" s="1" t="str">
        <f>"201609-202007在平顶山学院旅游与规划学院旅游管理专业就读，全日制学历
202008-202011在内乡县赤眉镇朱陈村待业
202012-202311在内乡县赤眉镇朱陈村民委员会担任村委委员
202312-202503在太平财产保险有限公司内乡支公司担任团队渠道经理
202504-今在内乡县城关镇南园村待业"</f>
        <v>201609-202007在平顶山学院旅游与规划学院旅游管理专业就读，全日制学历
202008-202011在内乡县赤眉镇朱陈村待业
202012-202311在内乡县赤眉镇朱陈村民委员会担任村委委员
202312-202503在太平财产保险有限公司内乡支公司担任团队渠道经理
202504-今在内乡县城关镇南园村待业</v>
      </c>
    </row>
    <row r="1415" spans="1:9">
      <c r="A1415" s="1" t="str">
        <f>"411330200201235120"</f>
        <v>411330200201235120</v>
      </c>
      <c r="B1415" s="1" t="str">
        <f t="shared" si="707"/>
        <v>中共党员</v>
      </c>
      <c r="C1415" s="1" t="str">
        <f t="shared" si="705"/>
        <v>本科</v>
      </c>
      <c r="D1415" s="1" t="str">
        <f>"20240701"</f>
        <v>20240701</v>
      </c>
      <c r="E1415" s="1" t="str">
        <f>"河南财经政法大学"</f>
        <v>河南财经政法大学</v>
      </c>
      <c r="F1415" s="1" t="str">
        <f>"行政管理"</f>
        <v>行政管理</v>
      </c>
      <c r="G1415" s="1" t="str">
        <f>"河南省南阳市西峡县双龙镇土桥岗村"</f>
        <v>河南省南阳市西峡县双龙镇土桥岗村</v>
      </c>
      <c r="H1415" s="1" t="str">
        <f t="shared" si="706"/>
        <v>无</v>
      </c>
      <c r="I1415" s="1" t="str">
        <f>"202009-202407 河南财经政法大学 公共管理学院行政管理专业就读，全日制学历"</f>
        <v>202009-202407 河南财经政法大学 公共管理学院行政管理专业就读，全日制学历</v>
      </c>
    </row>
    <row r="1416" spans="1:9">
      <c r="A1416" s="1" t="str">
        <f>"411327199705191527"</f>
        <v>411327199705191527</v>
      </c>
      <c r="B1416" s="1" t="str">
        <f>"群众"</f>
        <v>群众</v>
      </c>
      <c r="C1416" s="1" t="str">
        <f>"专科"</f>
        <v>专科</v>
      </c>
      <c r="D1416" s="1" t="str">
        <f>"2018"</f>
        <v>2018</v>
      </c>
      <c r="E1416" s="1" t="str">
        <f>"邓县师范学院"</f>
        <v>邓县师范学院</v>
      </c>
      <c r="F1416" s="1" t="str">
        <f>"学前教育"</f>
        <v>学前教育</v>
      </c>
      <c r="G1416" s="1" t="str">
        <f>"河南省南阳市内乡县大桥乡"</f>
        <v>河南省南阳市内乡县大桥乡</v>
      </c>
      <c r="H1416" s="1" t="str">
        <f t="shared" si="706"/>
        <v>无</v>
      </c>
      <c r="I1416" s="1" t="str">
        <f>"2013年9月1日在邓县师范学院就读
2016年9月1日-------2019年9月1日在内乡县幼儿园上班
2019----2022在大桥红花幼儿园上班
2023年至今在大桥乡行政审批中心上班"</f>
        <v>2013年9月1日在邓县师范学院就读
2016年9月1日-------2019年9月1日在内乡县幼儿园上班
2019----2022在大桥红花幼儿园上班
2023年至今在大桥乡行政审批中心上班</v>
      </c>
    </row>
    <row r="1417" spans="1:9">
      <c r="A1417" s="1" t="str">
        <f>"411303200112040090"</f>
        <v>411303200112040090</v>
      </c>
      <c r="B1417" s="1" t="str">
        <f t="shared" si="707"/>
        <v>中共党员</v>
      </c>
      <c r="C1417" s="1" t="str">
        <f t="shared" ref="C1417:C1420" si="708">"本科"</f>
        <v>本科</v>
      </c>
      <c r="D1417" s="1" t="str">
        <f>"2024-07-01"</f>
        <v>2024-07-01</v>
      </c>
      <c r="E1417" s="1" t="str">
        <f>"河南科技职业大学"</f>
        <v>河南科技职业大学</v>
      </c>
      <c r="F1417" s="1" t="str">
        <f>"环境艺术设计"</f>
        <v>环境艺术设计</v>
      </c>
      <c r="G1417" s="1" t="str">
        <f>"河南省南阳市卧龙区文化路107号1单元三楼东户"</f>
        <v>河南省南阳市卧龙区文化路107号1单元三楼东户</v>
      </c>
      <c r="H1417" s="1" t="str">
        <f>"室内装饰设计师三级"</f>
        <v>室内装饰设计师三级</v>
      </c>
      <c r="I1417" s="1" t="str">
        <f>"2020.09-2024.07 河南科技职业大学 就读。2020年9月至2024年7月在河南科技职业大学美术与艺术设计学院环境艺术设计专业就读，是全日制本科学历"</f>
        <v>2020.09-2024.07 河南科技职业大学 就读。2020年9月至2024年7月在河南科技职业大学美术与艺术设计学院环境艺术设计专业就读，是全日制本科学历</v>
      </c>
    </row>
    <row r="1418" spans="1:9">
      <c r="A1418" s="1" t="str">
        <f>"411325200301220101"</f>
        <v>411325200301220101</v>
      </c>
      <c r="B1418" s="1" t="str">
        <f>"群众"</f>
        <v>群众</v>
      </c>
      <c r="C1418" s="1" t="str">
        <f t="shared" si="708"/>
        <v>本科</v>
      </c>
      <c r="D1418" s="1" t="str">
        <f>"20250607"</f>
        <v>20250607</v>
      </c>
      <c r="E1418" s="1" t="str">
        <f>"商丘师范学院"</f>
        <v>商丘师范学院</v>
      </c>
      <c r="F1418" s="1" t="str">
        <f>"小学教育专业"</f>
        <v>小学教育专业</v>
      </c>
      <c r="G1418" s="1" t="str">
        <f>"河南省南阳市内乡县城关镇海天楼新华书店东"</f>
        <v>河南省南阳市内乡县城关镇海天楼新华书店东</v>
      </c>
      <c r="H1418" s="1" t="str">
        <f>"三级讲解员证书"</f>
        <v>三级讲解员证书</v>
      </c>
      <c r="I1418" s="1" t="str">
        <f>"202109-202506 商丘师范学院教师教育学院小学教育专业就读 全日制本科"</f>
        <v>202109-202506 商丘师范学院教师教育学院小学教育专业就读 全日制本科</v>
      </c>
    </row>
    <row r="1419" spans="1:9">
      <c r="A1419" s="1" t="str">
        <f>"41132420001124001X"</f>
        <v>41132420001124001X</v>
      </c>
      <c r="B1419" s="1" t="str">
        <f>"共青团员"</f>
        <v>共青团员</v>
      </c>
      <c r="C1419" s="1" t="str">
        <f t="shared" si="708"/>
        <v>本科</v>
      </c>
      <c r="D1419" s="1" t="str">
        <f>"2024.06"</f>
        <v>2024.06</v>
      </c>
      <c r="E1419" s="1" t="str">
        <f>"河南大学民生学院"</f>
        <v>河南大学民生学院</v>
      </c>
      <c r="F1419" s="1" t="str">
        <f>"土木工程"</f>
        <v>土木工程</v>
      </c>
      <c r="G1419" s="1" t="str">
        <f>"南阳市镇平县"</f>
        <v>南阳市镇平县</v>
      </c>
      <c r="H1419" s="1" t="str">
        <f t="shared" ref="H1419:H1427" si="709">"无"</f>
        <v>无</v>
      </c>
      <c r="I1419" s="1" t="str">
        <f>"2020.09-2024.06 河南大学民生学院"</f>
        <v>2020.09-2024.06 河南大学民生学院</v>
      </c>
    </row>
    <row r="1420" spans="1:9">
      <c r="A1420" s="1" t="str">
        <f>"411329200101202799"</f>
        <v>411329200101202799</v>
      </c>
      <c r="B1420" s="1" t="str">
        <f t="shared" ref="B1420:B1423" si="710">"中共党员"</f>
        <v>中共党员</v>
      </c>
      <c r="C1420" s="1" t="str">
        <f t="shared" si="708"/>
        <v>本科</v>
      </c>
      <c r="D1420" s="1" t="str">
        <f>"20240620"</f>
        <v>20240620</v>
      </c>
      <c r="E1420" s="1" t="str">
        <f>"河南工学院"</f>
        <v>河南工学院</v>
      </c>
      <c r="F1420" s="1" t="str">
        <f>"电气工程及其自动化"</f>
        <v>电气工程及其自动化</v>
      </c>
      <c r="G1420" s="1" t="str">
        <f>"河南省南阳市新野县汉城街道政府路淯翔苑小区"</f>
        <v>河南省南阳市新野县汉城街道政府路淯翔苑小区</v>
      </c>
      <c r="H1420" s="1" t="str">
        <f t="shared" si="709"/>
        <v>无</v>
      </c>
      <c r="I1420" s="1" t="str">
        <f>"202009-20240620 河南工学院学校电气工程与自动化学院专业电气工程 就读 全日制本科。
20240620-至今 在家待业。"</f>
        <v>202009-20240620 河南工学院学校电气工程与自动化学院专业电气工程 就读 全日制本科。
20240620-至今 在家待业。</v>
      </c>
    </row>
    <row r="1421" spans="1:9">
      <c r="A1421" s="1" t="str">
        <f>"410381199805300046"</f>
        <v>410381199805300046</v>
      </c>
      <c r="B1421" s="1" t="str">
        <f t="shared" si="710"/>
        <v>中共党员</v>
      </c>
      <c r="C1421" s="1" t="str">
        <f>"硕士研究生"</f>
        <v>硕士研究生</v>
      </c>
      <c r="D1421" s="1" t="str">
        <f>"20250630"</f>
        <v>20250630</v>
      </c>
      <c r="E1421" s="1" t="str">
        <f>"东北农业大学"</f>
        <v>东北农业大学</v>
      </c>
      <c r="F1421" s="1" t="str">
        <f>"思想政治教育"</f>
        <v>思想政治教育</v>
      </c>
      <c r="G1421" s="1" t="str">
        <f>"河南省洛阳市偃师区岳滩前马郡"</f>
        <v>河南省洛阳市偃师区岳滩前马郡</v>
      </c>
      <c r="H1421" s="1" t="str">
        <f t="shared" si="709"/>
        <v>无</v>
      </c>
      <c r="I1421" s="1" t="str">
        <f>"201709-202106 安阳师范学院 就读 经济学院 国际经济与贸易专业 全日制学历
202107-202208 待业 河南省洛阳市偃师区岳滩前马郡 
202209-202506 东北农业大学 就读 马克思主义学院 思想政治教育专业 全日制学历"</f>
        <v>201709-202106 安阳师范学院 就读 经济学院 国际经济与贸易专业 全日制学历
202107-202208 待业 河南省洛阳市偃师区岳滩前马郡 
202209-202506 东北农业大学 就读 马克思主义学院 思想政治教育专业 全日制学历</v>
      </c>
    </row>
    <row r="1422" spans="1:9">
      <c r="A1422" s="1" t="str">
        <f>"411323199805052684"</f>
        <v>411323199805052684</v>
      </c>
      <c r="B1422" s="1" t="str">
        <f t="shared" ref="B1422:B1425" si="711">"群众"</f>
        <v>群众</v>
      </c>
      <c r="C1422" s="1" t="str">
        <f>"硕士研究生"</f>
        <v>硕士研究生</v>
      </c>
      <c r="D1422" s="1" t="str">
        <f>"2024年6月"</f>
        <v>2024年6月</v>
      </c>
      <c r="E1422" s="1" t="str">
        <f>"郑州大学"</f>
        <v>郑州大学</v>
      </c>
      <c r="F1422" s="1" t="str">
        <f>"哲学"</f>
        <v>哲学</v>
      </c>
      <c r="G1422" s="1" t="str">
        <f>"南阳市淅川县金河镇长安路中段"</f>
        <v>南阳市淅川县金河镇长安路中段</v>
      </c>
      <c r="H1422" s="1" t="str">
        <f t="shared" si="709"/>
        <v>无</v>
      </c>
      <c r="I1422" s="1" t="str">
        <f>"2014.09—2017.06 淅川县第一高级中学学生；2017.09—2021.07 河南师范大学新联学院思想政治教育专业学生；
2021.09—2024.06郑州大学哲学专业学生。"</f>
        <v>2014.09—2017.06 淅川县第一高级中学学生；2017.09—2021.07 河南师范大学新联学院思想政治教育专业学生；
2021.09—2024.06郑州大学哲学专业学生。</v>
      </c>
    </row>
    <row r="1423" spans="1:9">
      <c r="A1423" s="1" t="str">
        <f>"411326199411155516"</f>
        <v>411326199411155516</v>
      </c>
      <c r="B1423" s="1" t="str">
        <f t="shared" si="710"/>
        <v>中共党员</v>
      </c>
      <c r="C1423" s="1" t="str">
        <f t="shared" ref="C1423:C1432" si="712">"本科"</f>
        <v>本科</v>
      </c>
      <c r="D1423" s="1" t="str">
        <f>"20240620"</f>
        <v>20240620</v>
      </c>
      <c r="E1423" s="1" t="str">
        <f>"郑州科技学院"</f>
        <v>郑州科技学院</v>
      </c>
      <c r="F1423" s="1" t="str">
        <f>"交通运输"</f>
        <v>交通运输</v>
      </c>
      <c r="G1423" s="1" t="str">
        <f>"南阳市南召县"</f>
        <v>南阳市南召县</v>
      </c>
      <c r="H1423" s="1" t="str">
        <f t="shared" si="709"/>
        <v>无</v>
      </c>
      <c r="I1423" s="1" t="str">
        <f>"201309—201606  渤海大学海事学院航海技术专业就读  全日制大专
201608—202112  海军91189部队  服役
202201—202208  南召县待业
202209—202406  郑州科技学院车辆与交通工程学院交通运输专业就读 全日制本科
202407—至今  南召县待业"</f>
        <v>201309—201606  渤海大学海事学院航海技术专业就读  全日制大专
201608—202112  海军91189部队  服役
202201—202208  南召县待业
202209—202406  郑州科技学院车辆与交通工程学院交通运输专业就读 全日制本科
202407—至今  南召县待业</v>
      </c>
    </row>
    <row r="1424" spans="1:9">
      <c r="A1424" s="1" t="str">
        <f>"411327200409080019"</f>
        <v>411327200409080019</v>
      </c>
      <c r="B1424" s="1" t="str">
        <f t="shared" si="711"/>
        <v>群众</v>
      </c>
      <c r="C1424" s="1" t="str">
        <f t="shared" ref="C1424:C1427" si="713">"专科"</f>
        <v>专科</v>
      </c>
      <c r="D1424" s="1" t="str">
        <f>"20250618"</f>
        <v>20250618</v>
      </c>
      <c r="E1424" s="1" t="str">
        <f>"武汉晴川学院"</f>
        <v>武汉晴川学院</v>
      </c>
      <c r="F1424" s="1" t="str">
        <f>"电子信息工程技术"</f>
        <v>电子信息工程技术</v>
      </c>
      <c r="G1424" s="1" t="str">
        <f>"河南省郑州市文化路延亚公寓"</f>
        <v>河南省郑州市文化路延亚公寓</v>
      </c>
      <c r="H1424" s="1" t="str">
        <f t="shared" si="709"/>
        <v>无</v>
      </c>
      <c r="I1424" s="1" t="str">
        <f>"202209-202506武汉晴川学院，电子信息工程技术专业就读，是全日制学历。"</f>
        <v>202209-202506武汉晴川学院，电子信息工程技术专业就读，是全日制学历。</v>
      </c>
    </row>
    <row r="1425" spans="1:9">
      <c r="A1425" s="1" t="str">
        <f>"411327200007042028"</f>
        <v>411327200007042028</v>
      </c>
      <c r="B1425" s="1" t="str">
        <f t="shared" si="711"/>
        <v>群众</v>
      </c>
      <c r="C1425" s="1" t="str">
        <f t="shared" si="712"/>
        <v>本科</v>
      </c>
      <c r="D1425" s="1" t="str">
        <f>"2022-07-01"</f>
        <v>2022-07-01</v>
      </c>
      <c r="E1425" s="1" t="str">
        <f>"许昌学院"</f>
        <v>许昌学院</v>
      </c>
      <c r="F1425" s="1" t="str">
        <f>"小学教育"</f>
        <v>小学教育</v>
      </c>
      <c r="G1425" s="1" t="str">
        <f>"河南省南阳市内乡县师岗镇王营村竹园"</f>
        <v>河南省南阳市内乡县师岗镇王营村竹园</v>
      </c>
      <c r="H1425" s="1" t="str">
        <f t="shared" si="709"/>
        <v>无</v>
      </c>
      <c r="I1425" s="1" t="str">
        <f>"2014.09.01-2017.06.30内乡县第三高级中学
2017.09.01-2020.06.30南阳师范学院就读学前教育专业
2020.09.01-2022.06.30许昌学院就读小学教育专业
2022.09.01-至今 南阳市第一完全学校代课"</f>
        <v>2014.09.01-2017.06.30内乡县第三高级中学
2017.09.01-2020.06.30南阳师范学院就读学前教育专业
2020.09.01-2022.06.30许昌学院就读小学教育专业
2022.09.01-至今 南阳市第一完全学校代课</v>
      </c>
    </row>
    <row r="1426" spans="1:9">
      <c r="A1426" s="1" t="str">
        <f>"41032420030403282X"</f>
        <v>41032420030403282X</v>
      </c>
      <c r="B1426" s="1" t="str">
        <f>"共青团员"</f>
        <v>共青团员</v>
      </c>
      <c r="C1426" s="1" t="str">
        <f t="shared" si="713"/>
        <v>专科</v>
      </c>
      <c r="D1426" s="1" t="str">
        <f>"20240701"</f>
        <v>20240701</v>
      </c>
      <c r="E1426" s="1" t="str">
        <f>"郑州幼儿师范高等专科学校"</f>
        <v>郑州幼儿师范高等专科学校</v>
      </c>
      <c r="F1426" s="1" t="str">
        <f>"学前教育"</f>
        <v>学前教育</v>
      </c>
      <c r="G1426" s="1" t="str">
        <f>"河南省洛阳市栾川县冷水镇"</f>
        <v>河南省洛阳市栾川县冷水镇</v>
      </c>
      <c r="H1426" s="1" t="str">
        <f t="shared" si="709"/>
        <v>无</v>
      </c>
      <c r="I1426" s="1" t="str">
        <f>"202109-202407在郑州幼儿师范高等专科学校就读，是全日制学历。在校期间曾担任过学生会干部，宿舍长，学科代表。"</f>
        <v>202109-202407在郑州幼儿师范高等专科学校就读，是全日制学历。在校期间曾担任过学生会干部，宿舍长，学科代表。</v>
      </c>
    </row>
    <row r="1427" spans="1:9">
      <c r="A1427" s="1" t="str">
        <f>"411327200102123520"</f>
        <v>411327200102123520</v>
      </c>
      <c r="B1427" s="1" t="str">
        <f t="shared" ref="B1427:B1429" si="714">"群众"</f>
        <v>群众</v>
      </c>
      <c r="C1427" s="1" t="str">
        <f t="shared" si="713"/>
        <v>专科</v>
      </c>
      <c r="D1427" s="1" t="str">
        <f>"20220701"</f>
        <v>20220701</v>
      </c>
      <c r="E1427" s="1" t="str">
        <f>"河南财政金融学院"</f>
        <v>河南财政金融学院</v>
      </c>
      <c r="F1427" s="1" t="str">
        <f>"学前教育"</f>
        <v>学前教育</v>
      </c>
      <c r="G1427" s="1" t="str">
        <f>"河南省南阳市内乡县板场乡"</f>
        <v>河南省南阳市内乡县板场乡</v>
      </c>
      <c r="H1427" s="1" t="str">
        <f t="shared" si="709"/>
        <v>无</v>
      </c>
      <c r="I1427" s="1" t="str">
        <f>"201909-20220701河南财政金融学院学前教育专业就读全日制大专
20220901-20230901待业
20240901-20250701内乡县实验幼儿园工作
"</f>
        <v>201909-20220701河南财政金融学院学前教育专业就读全日制大专
20220901-20230901待业
20240901-20250701内乡县实验幼儿园工作
</v>
      </c>
    </row>
    <row r="1428" ht="81" spans="1:9">
      <c r="A1428" s="1" t="str">
        <f>"411327199512310315"</f>
        <v>411327199512310315</v>
      </c>
      <c r="B1428" s="1" t="str">
        <f t="shared" si="714"/>
        <v>群众</v>
      </c>
      <c r="C1428" s="1" t="str">
        <f t="shared" si="712"/>
        <v>本科</v>
      </c>
      <c r="D1428" s="1" t="str">
        <f>"2019-06-06"</f>
        <v>2019-06-06</v>
      </c>
      <c r="E1428" s="1" t="str">
        <f>"喀什大学"</f>
        <v>喀什大学</v>
      </c>
      <c r="F1428" s="1" t="str">
        <f>"土木工程"</f>
        <v>土木工程</v>
      </c>
      <c r="G1428" s="1" t="str">
        <f>"南阳市滨河中路110号荷花广场小区"</f>
        <v>南阳市滨河中路110号荷花广场小区</v>
      </c>
      <c r="H1428" s="1" t="str">
        <f>"助理工程师"</f>
        <v>助理工程师</v>
      </c>
      <c r="I1428" s="3" t="s">
        <v>224</v>
      </c>
    </row>
    <row r="1429" spans="1:9">
      <c r="A1429" s="1" t="str">
        <f>"411327199501043119"</f>
        <v>411327199501043119</v>
      </c>
      <c r="B1429" s="1" t="str">
        <f t="shared" si="714"/>
        <v>群众</v>
      </c>
      <c r="C1429" s="1" t="str">
        <f t="shared" si="712"/>
        <v>本科</v>
      </c>
      <c r="D1429" s="1" t="str">
        <f>"20180607"</f>
        <v>20180607</v>
      </c>
      <c r="E1429" s="1" t="str">
        <f>"洛阳师范学院"</f>
        <v>洛阳师范学院</v>
      </c>
      <c r="F1429" s="1" t="str">
        <f>"软件工程金融服务外包方向"</f>
        <v>软件工程金融服务外包方向</v>
      </c>
      <c r="G1429" s="1" t="str">
        <f>"河南省南阳市内乡县夏馆镇山珍街"</f>
        <v>河南省南阳市内乡县夏馆镇山珍街</v>
      </c>
      <c r="H1429" s="1" t="str">
        <f t="shared" ref="H1429:H1432" si="715">"无"</f>
        <v>无</v>
      </c>
      <c r="I1429" s="1" t="str">
        <f>"201409-20180607 洛阳师范学院信息技术学院软件工程金融服务外包方向 全日制本科
201708-201804 上海博辕实习（前端开发）
201806-202006 上海法本 （前端开发）
202006-202105 上海艾融 （前端开发）
202105-202302  上海华腾（前端开发）
202303-至今 失业找工作
"</f>
        <v>201409-20180607 洛阳师范学院信息技术学院软件工程金融服务外包方向 全日制本科
201708-201804 上海博辕实习（前端开发）
201806-202006 上海法本 （前端开发）
202006-202105 上海艾融 （前端开发）
202105-202302  上海华腾（前端开发）
202303-至今 失业找工作
</v>
      </c>
    </row>
    <row r="1430" spans="1:9">
      <c r="A1430" s="1" t="str">
        <f>"412826200011154235"</f>
        <v>412826200011154235</v>
      </c>
      <c r="B1430" s="1" t="str">
        <f>"中共党员"</f>
        <v>中共党员</v>
      </c>
      <c r="C1430" s="1" t="str">
        <f t="shared" si="712"/>
        <v>本科</v>
      </c>
      <c r="D1430" s="1" t="str">
        <f t="shared" ref="D1430:D1435" si="716">"20240701"</f>
        <v>20240701</v>
      </c>
      <c r="E1430" s="1" t="str">
        <f>"郑州商学院"</f>
        <v>郑州商学院</v>
      </c>
      <c r="F1430" s="1" t="str">
        <f>"环境设计"</f>
        <v>环境设计</v>
      </c>
      <c r="G1430" s="1" t="str">
        <f>"河南省驻马店市驿城区美庐园小区"</f>
        <v>河南省驻马店市驿城区美庐园小区</v>
      </c>
      <c r="H1430" s="1" t="str">
        <f t="shared" si="715"/>
        <v>无</v>
      </c>
      <c r="I1430" s="1" t="str">
        <f>"202009-202407郑州商学院艺术学院环境设计专业就读全日制学历
202407-202507在河南省驻马店市待业
"</f>
        <v>202009-202407郑州商学院艺术学院环境设计专业就读全日制学历
202407-202507在河南省驻马店市待业
</v>
      </c>
    </row>
    <row r="1431" spans="1:9">
      <c r="A1431" s="1" t="str">
        <f>"411327199912190068"</f>
        <v>411327199912190068</v>
      </c>
      <c r="B1431" s="1" t="str">
        <f t="shared" ref="B1431:B1438" si="717">"共青团员"</f>
        <v>共青团员</v>
      </c>
      <c r="C1431" s="1" t="str">
        <f t="shared" si="712"/>
        <v>本科</v>
      </c>
      <c r="D1431" s="1" t="str">
        <f>"20220701"</f>
        <v>20220701</v>
      </c>
      <c r="E1431" s="1" t="str">
        <f>"河南财政金融学院"</f>
        <v>河南财政金融学院</v>
      </c>
      <c r="F1431" s="1" t="str">
        <f>"视觉传达设计"</f>
        <v>视觉传达设计</v>
      </c>
      <c r="G1431" s="1" t="str">
        <f>"河南省南阳市内乡县城关镇渚阳大街538号"</f>
        <v>河南省南阳市内乡县城关镇渚阳大街538号</v>
      </c>
      <c r="H1431" s="1" t="str">
        <f>"广告设计师三级高级工"</f>
        <v>广告设计师三级高级工</v>
      </c>
      <c r="I1431" s="1" t="str">
        <f>"201809—202207 河南财政金融学院就读艺术学院视觉传达设计专业 全日制学历
202207—202507 在鸿蒙思维绘画任教学主管"</f>
        <v>201809—202207 河南财政金融学院就读艺术学院视觉传达设计专业 全日制学历
202207—202507 在鸿蒙思维绘画任教学主管</v>
      </c>
    </row>
    <row r="1432" spans="1:9">
      <c r="A1432" s="1" t="str">
        <f>"411327200210303529"</f>
        <v>411327200210303529</v>
      </c>
      <c r="B1432" s="1" t="str">
        <f t="shared" si="717"/>
        <v>共青团员</v>
      </c>
      <c r="C1432" s="1" t="str">
        <f t="shared" si="712"/>
        <v>本科</v>
      </c>
      <c r="D1432" s="1" t="str">
        <f t="shared" si="716"/>
        <v>20240701</v>
      </c>
      <c r="E1432" s="1" t="str">
        <f>"河南科技学院"</f>
        <v>河南科技学院</v>
      </c>
      <c r="F1432" s="1" t="str">
        <f>"园林"</f>
        <v>园林</v>
      </c>
      <c r="G1432" s="1" t="str">
        <f>"河南省南阳市内乡县板场乡龙凤村"</f>
        <v>河南省南阳市内乡县板场乡龙凤村</v>
      </c>
      <c r="H1432" s="1" t="str">
        <f t="shared" si="715"/>
        <v>无</v>
      </c>
      <c r="I1432" s="1" t="str">
        <f>"202009-202407河南科技学院园艺园林学院园林专业就读，全日制学历"</f>
        <v>202009-202407河南科技学院园艺园林学院园林专业就读，全日制学历</v>
      </c>
    </row>
    <row r="1433" spans="1:9">
      <c r="A1433" s="1" t="str">
        <f>"411327199103172513"</f>
        <v>411327199103172513</v>
      </c>
      <c r="B1433" s="1" t="str">
        <f>"群众"</f>
        <v>群众</v>
      </c>
      <c r="C1433" s="1" t="str">
        <f>"硕士研究生"</f>
        <v>硕士研究生</v>
      </c>
      <c r="D1433" s="1" t="str">
        <f>"2023.07"</f>
        <v>2023.07</v>
      </c>
      <c r="E1433" s="1" t="str">
        <f>"河南科技学院"</f>
        <v>河南科技学院</v>
      </c>
      <c r="F1433" s="1" t="str">
        <f>"农村发展"</f>
        <v>农村发展</v>
      </c>
      <c r="G1433" s="1" t="str">
        <f>"河南省南阳市内乡县四张村"</f>
        <v>河南省南阳市内乡县四张村</v>
      </c>
      <c r="H1433" s="1" t="str">
        <f>"助理农艺师"</f>
        <v>助理农艺师</v>
      </c>
      <c r="I1433" s="1" t="str">
        <f>"201409-201807 河南中医药大学 人文学院 市场营销 全日制
201809-202006 北京环球优路教育股份有限公司  课程顾问
202009-202307 河南科技学院 经济与管理学院 农村发展 全日制
202311-至今   唐河县农业农村局  职员"</f>
        <v>201409-201807 河南中医药大学 人文学院 市场营销 全日制
201809-202006 北京环球优路教育股份有限公司  课程顾问
202009-202307 河南科技学院 经济与管理学院 农村发展 全日制
202311-至今   唐河县农业农村局  职员</v>
      </c>
    </row>
    <row r="1434" spans="1:9">
      <c r="A1434" s="1" t="str">
        <f>"41130220040714021X"</f>
        <v>41130220040714021X</v>
      </c>
      <c r="B1434" s="1" t="str">
        <f>"群众"</f>
        <v>群众</v>
      </c>
      <c r="C1434" s="1" t="str">
        <f t="shared" ref="C1434:C1439" si="718">"本科"</f>
        <v>本科</v>
      </c>
      <c r="D1434" s="1" t="str">
        <f>"20250630"</f>
        <v>20250630</v>
      </c>
      <c r="E1434" s="1" t="str">
        <f>"武汉纺织大学"</f>
        <v>武汉纺织大学</v>
      </c>
      <c r="F1434" s="1" t="str">
        <f>"服装与服饰设计"</f>
        <v>服装与服饰设计</v>
      </c>
      <c r="G1434" s="1" t="str">
        <f>"河南南阳"</f>
        <v>河南南阳</v>
      </c>
      <c r="H1434" s="1" t="str">
        <f t="shared" ref="H1434:H1438" si="719">"无"</f>
        <v>无</v>
      </c>
      <c r="I1434" s="1" t="str">
        <f>"2021年九月至2025年六月在武汉纺织大学服装与服饰设计专业就读，为全日制学历"</f>
        <v>2021年九月至2025年六月在武汉纺织大学服装与服饰设计专业就读，为全日制学历</v>
      </c>
    </row>
    <row r="1435" spans="1:9">
      <c r="A1435" s="1" t="str">
        <f>"411323200210056315"</f>
        <v>411323200210056315</v>
      </c>
      <c r="B1435" s="1" t="str">
        <f t="shared" si="717"/>
        <v>共青团员</v>
      </c>
      <c r="C1435" s="1" t="str">
        <f t="shared" si="718"/>
        <v>本科</v>
      </c>
      <c r="D1435" s="1" t="str">
        <f t="shared" si="716"/>
        <v>20240701</v>
      </c>
      <c r="E1435" s="1" t="str">
        <f>"河南农业大学"</f>
        <v>河南农业大学</v>
      </c>
      <c r="F1435" s="1" t="str">
        <f>"电子信息工程"</f>
        <v>电子信息工程</v>
      </c>
      <c r="G1435" s="1" t="str">
        <f>"河南省南阳市淅川县厚坡镇政府"</f>
        <v>河南省南阳市淅川县厚坡镇政府</v>
      </c>
      <c r="H1435" s="1" t="str">
        <f t="shared" si="719"/>
        <v>无</v>
      </c>
      <c r="I1435" s="1" t="str">
        <f>"202009-202407河南农业大学"</f>
        <v>202009-202407河南农业大学</v>
      </c>
    </row>
    <row r="1436" spans="1:9">
      <c r="A1436" s="1" t="str">
        <f>"410324200008297540"</f>
        <v>410324200008297540</v>
      </c>
      <c r="B1436" s="1" t="str">
        <f t="shared" si="717"/>
        <v>共青团员</v>
      </c>
      <c r="C1436" s="1" t="str">
        <f t="shared" ref="C1436:C1441" si="720">"专科"</f>
        <v>专科</v>
      </c>
      <c r="D1436" s="1" t="str">
        <f>"2021-07-01"</f>
        <v>2021-07-01</v>
      </c>
      <c r="E1436" s="1" t="str">
        <f>"安阳工学院"</f>
        <v>安阳工学院</v>
      </c>
      <c r="F1436" s="1" t="str">
        <f>"新闻采编与制作"</f>
        <v>新闻采编与制作</v>
      </c>
      <c r="G1436" s="1" t="str">
        <f>"河南省洛阳市栾川县潭头镇潭头村十三组"</f>
        <v>河南省洛阳市栾川县潭头镇潭头村十三组</v>
      </c>
      <c r="H1436" s="1" t="str">
        <f>"普通话二甲  英语四级"</f>
        <v>普通话二甲  英语四级</v>
      </c>
      <c r="I1436" s="1" t="str">
        <f>"2018年9月1日-2021年7月1日  安阳工学院-学生  是全日制
2021年7月1日-2022年2月  河南耀火文化有限公司-视频剪辑文案编辑
2022年2月-2022年11月  郑州妙娥睿商贸有限公司-运营
2022年11月-2024年3月  洛阳瑞鸾电子商务公司-客服
2024年3月-至今 待业"</f>
        <v>2018年9月1日-2021年7月1日  安阳工学院-学生  是全日制
2021年7月1日-2022年2月  河南耀火文化有限公司-视频剪辑文案编辑
2022年2月-2022年11月  郑州妙娥睿商贸有限公司-运营
2022年11月-2024年3月  洛阳瑞鸾电子商务公司-客服
2024年3月-至今 待业</v>
      </c>
    </row>
    <row r="1437" spans="1:9">
      <c r="A1437" s="1" t="str">
        <f>"411327200307123524"</f>
        <v>411327200307123524</v>
      </c>
      <c r="B1437" s="1" t="str">
        <f t="shared" si="717"/>
        <v>共青团员</v>
      </c>
      <c r="C1437" s="1" t="str">
        <f t="shared" si="718"/>
        <v>本科</v>
      </c>
      <c r="D1437" s="1" t="str">
        <f>"20250607"</f>
        <v>20250607</v>
      </c>
      <c r="E1437" s="1" t="str">
        <f>"郑州西亚斯学院"</f>
        <v>郑州西亚斯学院</v>
      </c>
      <c r="F1437" s="1" t="str">
        <f>"音乐表演"</f>
        <v>音乐表演</v>
      </c>
      <c r="G1437" s="1" t="str">
        <f>"河南省南阳市内乡县"</f>
        <v>河南省南阳市内乡县</v>
      </c>
      <c r="H1437" s="1" t="str">
        <f t="shared" si="719"/>
        <v>无</v>
      </c>
      <c r="I1437" s="1" t="str">
        <f>"202109-202506郑州西亚斯学院音乐戏剧学院音乐表演专业就读 全日制本科"</f>
        <v>202109-202506郑州西亚斯学院音乐戏剧学院音乐表演专业就读 全日制本科</v>
      </c>
    </row>
    <row r="1438" spans="1:9">
      <c r="A1438" s="1" t="str">
        <f>"420704199610090895"</f>
        <v>420704199610090895</v>
      </c>
      <c r="B1438" s="1" t="str">
        <f t="shared" si="717"/>
        <v>共青团员</v>
      </c>
      <c r="C1438" s="1" t="str">
        <f t="shared" si="718"/>
        <v>本科</v>
      </c>
      <c r="D1438" s="1" t="str">
        <f>"20210630"</f>
        <v>20210630</v>
      </c>
      <c r="E1438" s="1" t="str">
        <f>"武汉生物工程学院"</f>
        <v>武汉生物工程学院</v>
      </c>
      <c r="F1438" s="1" t="str">
        <f>"行政管理（电子管理）"</f>
        <v>行政管理（电子管理）</v>
      </c>
      <c r="G1438" s="1" t="str">
        <f>"鄂州市鄂城区民福小区2栋2单元201"</f>
        <v>鄂州市鄂城区民福小区2栋2单元201</v>
      </c>
      <c r="H1438" s="1" t="str">
        <f t="shared" si="719"/>
        <v>无</v>
      </c>
      <c r="I1438" s="1" t="str">
        <f>"201509-201806武汉生物工程学院，食品营养与检测专业，专科；201704-202106武汉生物工程学院，行政管理（电子管理）专业，自考本科
201912-至今 鄂州市梁子湖区医疗保障局 工作干事 非在编"</f>
        <v>201509-201806武汉生物工程学院，食品营养与检测专业，专科；201704-202106武汉生物工程学院，行政管理（电子管理）专业，自考本科
201912-至今 鄂州市梁子湖区医疗保障局 工作干事 非在编</v>
      </c>
    </row>
    <row r="1439" spans="1:9">
      <c r="A1439" s="1" t="str">
        <f>"411327199703234220"</f>
        <v>411327199703234220</v>
      </c>
      <c r="B1439" s="1" t="str">
        <f t="shared" ref="B1439:B1441" si="721">"群众"</f>
        <v>群众</v>
      </c>
      <c r="C1439" s="1" t="str">
        <f t="shared" si="718"/>
        <v>本科</v>
      </c>
      <c r="D1439" s="1" t="str">
        <f>"20200701"</f>
        <v>20200701</v>
      </c>
      <c r="E1439" s="1" t="str">
        <f>"南阳师范学院"</f>
        <v>南阳师范学院</v>
      </c>
      <c r="F1439" s="1" t="str">
        <f>"教育学"</f>
        <v>教育学</v>
      </c>
      <c r="G1439" s="1" t="str">
        <f>"上海市浦东新区芳芯路210弄30号301"</f>
        <v>上海市浦东新区芳芯路210弄30号301</v>
      </c>
      <c r="H1439" s="1" t="str">
        <f>"小学教师资格证语文学科及道德与法制学科"</f>
        <v>小学教师资格证语文学科及道德与法制学科</v>
      </c>
      <c r="I1439" s="1" t="str">
        <f>"201803-202007南阳师范学院就读，非全日制学历。
201809-201906于谢寨中心小学代课任职一年级班主任及二年级语文老师。
201907-202005上海永轩房地产经纪有限公司任职门店助理。
202006-至今，家庭原因在家待业，但在此期间 考取了小学语文及道德与法治教师资格证，幼儿园教师资格证与保育员资格证也在努力中。"</f>
        <v>201803-202007南阳师范学院就读，非全日制学历。
201809-201906于谢寨中心小学代课任职一年级班主任及二年级语文老师。
201907-202005上海永轩房地产经纪有限公司任职门店助理。
202006-至今，家庭原因在家待业，但在此期间 考取了小学语文及道德与法治教师资格证，幼儿园教师资格证与保育员资格证也在努力中。</v>
      </c>
    </row>
    <row r="1440" spans="1:9">
      <c r="A1440" s="1" t="str">
        <f>"411327200210102065"</f>
        <v>411327200210102065</v>
      </c>
      <c r="B1440" s="1" t="str">
        <f t="shared" si="721"/>
        <v>群众</v>
      </c>
      <c r="C1440" s="1" t="str">
        <f t="shared" si="720"/>
        <v>专科</v>
      </c>
      <c r="D1440" s="1" t="str">
        <f>"20240701"</f>
        <v>20240701</v>
      </c>
      <c r="E1440" s="1" t="str">
        <f>"河南林业职业学院"</f>
        <v>河南林业职业学院</v>
      </c>
      <c r="F1440" s="1" t="str">
        <f>"园艺技术"</f>
        <v>园艺技术</v>
      </c>
      <c r="G1440" s="1" t="str">
        <f>"河南省南阳市内乡县师岗镇付湾村江西262号"</f>
        <v>河南省南阳市内乡县师岗镇付湾村江西262号</v>
      </c>
      <c r="H1440" s="1" t="str">
        <f>"插花花艺师三级/高级工"</f>
        <v>插花花艺师三级/高级工</v>
      </c>
      <c r="I1440" s="1" t="str">
        <f>"202110-202407 河南林业职业学院 园艺技术就读，全日制学历"</f>
        <v>202110-202407 河南林业职业学院 园艺技术就读，全日制学历</v>
      </c>
    </row>
    <row r="1441" spans="1:9">
      <c r="A1441" s="1" t="str">
        <f>"41132719940414003X"</f>
        <v>41132719940414003X</v>
      </c>
      <c r="B1441" s="1" t="str">
        <f t="shared" si="721"/>
        <v>群众</v>
      </c>
      <c r="C1441" s="1" t="str">
        <f t="shared" si="720"/>
        <v>专科</v>
      </c>
      <c r="D1441" s="1" t="str">
        <f>"2020年1月30日"</f>
        <v>2020年1月30日</v>
      </c>
      <c r="E1441" s="1" t="str">
        <f>"重庆大学"</f>
        <v>重庆大学</v>
      </c>
      <c r="F1441" s="1" t="str">
        <f>"公共事务管理"</f>
        <v>公共事务管理</v>
      </c>
      <c r="G1441" s="1" t="str">
        <f>"内乡县梨园山庄六颗松小区"</f>
        <v>内乡县梨园山庄六颗松小区</v>
      </c>
      <c r="H1441" s="1" t="str">
        <f t="shared" ref="H1441:H1445" si="722">"无"</f>
        <v>无</v>
      </c>
      <c r="I1441" s="1" t="str">
        <f>"2017年九月至2020年1月就读于重庆大学"</f>
        <v>2017年九月至2020年1月就读于重庆大学</v>
      </c>
    </row>
    <row r="1442" spans="1:9">
      <c r="A1442" s="1" t="str">
        <f>"411327199506283111"</f>
        <v>411327199506283111</v>
      </c>
      <c r="B1442" s="1" t="str">
        <f>"中共党员"</f>
        <v>中共党员</v>
      </c>
      <c r="C1442" s="1" t="str">
        <f t="shared" ref="C1442:C1451" si="723">"本科"</f>
        <v>本科</v>
      </c>
      <c r="D1442" s="1" t="str">
        <f>"20170701"</f>
        <v>20170701</v>
      </c>
      <c r="E1442" s="1" t="str">
        <f>"河南科技大学"</f>
        <v>河南科技大学</v>
      </c>
      <c r="F1442" s="1" t="str">
        <f>"自动化"</f>
        <v>自动化</v>
      </c>
      <c r="G1442" s="1" t="str">
        <f>"河南省郑州市金水区马头岗新城"</f>
        <v>河南省郑州市金水区马头岗新城</v>
      </c>
      <c r="H1442" s="1" t="str">
        <f t="shared" si="722"/>
        <v>无</v>
      </c>
      <c r="I1442" s="1" t="str">
        <f>"2013-09-01 ~ 2017-07-01   河南科技大学  自动化
2017-07-01 ~ 2018-04-03   杭州海康威视数字技术股份有限公司郑州分公司 分公司技术支持工程师
2018-08-31 ~ 至今   河南汇龙数码科技有限公司   售前技术"</f>
        <v>2013-09-01 ~ 2017-07-01   河南科技大学  自动化
2017-07-01 ~ 2018-04-03   杭州海康威视数字技术股份有限公司郑州分公司 分公司技术支持工程师
2018-08-31 ~ 至今   河南汇龙数码科技有限公司   售前技术</v>
      </c>
    </row>
    <row r="1443" spans="1:9">
      <c r="A1443" s="1" t="str">
        <f>"411324200011181574"</f>
        <v>411324200011181574</v>
      </c>
      <c r="B1443" s="1" t="str">
        <f>"群众"</f>
        <v>群众</v>
      </c>
      <c r="C1443" s="1" t="str">
        <f>"专科"</f>
        <v>专科</v>
      </c>
      <c r="D1443" s="1" t="str">
        <f>"20210607"</f>
        <v>20210607</v>
      </c>
      <c r="E1443" s="1" t="str">
        <f>"河南轻工职业技术学院"</f>
        <v>河南轻工职业技术学院</v>
      </c>
      <c r="F1443" s="1" t="str">
        <f>"视觉传达"</f>
        <v>视觉传达</v>
      </c>
      <c r="G1443" s="1" t="str">
        <f>"河南省南阳市镇平县"</f>
        <v>河南省南阳市镇平县</v>
      </c>
      <c r="H1443" s="1" t="str">
        <f t="shared" si="722"/>
        <v>无</v>
      </c>
      <c r="I1443" s="1" t="str">
        <f>"201809-202009 河南轻工职业技术学院  就读
202009-202209 部队服役
202209-202301 在家待业
202301-202405 石佛寺镇直属分局 辅警
202405-202412 在家待业
202412-至今寺湾镇人民政府水利站"</f>
        <v>201809-202009 河南轻工职业技术学院  就读
202009-202209 部队服役
202209-202301 在家待业
202301-202405 石佛寺镇直属分局 辅警
202405-202412 在家待业
202412-至今寺湾镇人民政府水利站</v>
      </c>
    </row>
    <row r="1444" spans="1:9">
      <c r="A1444" s="1" t="str">
        <f>"410184200304055613"</f>
        <v>410184200304055613</v>
      </c>
      <c r="B1444" s="1" t="str">
        <f t="shared" ref="B1444:B1446" si="724">"共青团员"</f>
        <v>共青团员</v>
      </c>
      <c r="C1444" s="1" t="str">
        <f t="shared" si="723"/>
        <v>本科</v>
      </c>
      <c r="D1444" s="1" t="str">
        <f>"20250701"</f>
        <v>20250701</v>
      </c>
      <c r="E1444" s="1" t="str">
        <f>"长春大学"</f>
        <v>长春大学</v>
      </c>
      <c r="F1444" s="1" t="str">
        <f>"物联网工程"</f>
        <v>物联网工程</v>
      </c>
      <c r="G1444" s="1" t="str">
        <f>"河南省郑州市新郑市"</f>
        <v>河南省郑州市新郑市</v>
      </c>
      <c r="H1444" s="1" t="str">
        <f t="shared" si="722"/>
        <v>无</v>
      </c>
      <c r="I1444" s="1" t="str">
        <f>"202109-202506在长春大学电子信息工程学院物联网工程专业就读"</f>
        <v>202109-202506在长春大学电子信息工程学院物联网工程专业就读</v>
      </c>
    </row>
    <row r="1445" spans="1:9">
      <c r="A1445" s="1" t="str">
        <f>"410881200005311524"</f>
        <v>410881200005311524</v>
      </c>
      <c r="B1445" s="1" t="str">
        <f t="shared" si="724"/>
        <v>共青团员</v>
      </c>
      <c r="C1445" s="1" t="str">
        <f>"硕士研究生"</f>
        <v>硕士研究生</v>
      </c>
      <c r="D1445" s="1" t="str">
        <f>"20250401"</f>
        <v>20250401</v>
      </c>
      <c r="E1445" s="1" t="str">
        <f>"马来西亚国立大学"</f>
        <v>马来西亚国立大学</v>
      </c>
      <c r="F1445" s="1" t="str">
        <f>"会计学"</f>
        <v>会计学</v>
      </c>
      <c r="G1445" s="1" t="str">
        <f>"河南省济源市马寨小区"</f>
        <v>河南省济源市马寨小区</v>
      </c>
      <c r="H1445" s="1" t="str">
        <f t="shared" si="722"/>
        <v>无</v>
      </c>
      <c r="I1445" s="1" t="str">
        <f>"201809-202206 海南师范大学 经济与管理学院 会计学专业 全日制就读
202310-202504 马来西亚国立大学 经济与管理学院 会计学专业 全日制就读"</f>
        <v>201809-202206 海南师范大学 经济与管理学院 会计学专业 全日制就读
202310-202504 马来西亚国立大学 经济与管理学院 会计学专业 全日制就读</v>
      </c>
    </row>
    <row r="1446" spans="1:9">
      <c r="A1446" s="1" t="str">
        <f>"410324200001170328"</f>
        <v>410324200001170328</v>
      </c>
      <c r="B1446" s="1" t="str">
        <f t="shared" si="724"/>
        <v>共青团员</v>
      </c>
      <c r="C1446" s="1" t="str">
        <f t="shared" si="723"/>
        <v>本科</v>
      </c>
      <c r="D1446" s="1" t="str">
        <f>"20230630"</f>
        <v>20230630</v>
      </c>
      <c r="E1446" s="1" t="str">
        <f>"沈阳城市学院"</f>
        <v>沈阳城市学院</v>
      </c>
      <c r="F1446" s="1" t="str">
        <f>"会计学"</f>
        <v>会计学</v>
      </c>
      <c r="G1446" s="1" t="str">
        <f>"河南省洛阳市栾川县栾川乡七里坪村六组26号"</f>
        <v>河南省洛阳市栾川县栾川乡七里坪村六组26号</v>
      </c>
      <c r="H1446" s="1" t="str">
        <f>"初级会计专业技术资格证"</f>
        <v>初级会计专业技术资格证</v>
      </c>
      <c r="I1446" s="1" t="str">
        <f>"201909-202306在沈阳城市学院商学院会计学专业就读，全日制。"</f>
        <v>201909-202306在沈阳城市学院商学院会计学专业就读，全日制。</v>
      </c>
    </row>
    <row r="1447" spans="1:9">
      <c r="A1447" s="1" t="str">
        <f>"41040319931225552X"</f>
        <v>41040319931225552X</v>
      </c>
      <c r="B1447" s="1" t="str">
        <f>"群众"</f>
        <v>群众</v>
      </c>
      <c r="C1447" s="1" t="str">
        <f t="shared" si="723"/>
        <v>本科</v>
      </c>
      <c r="D1447" s="1" t="str">
        <f>"20160701"</f>
        <v>20160701</v>
      </c>
      <c r="E1447" s="1" t="str">
        <f>"郑州成功财经学院"</f>
        <v>郑州成功财经学院</v>
      </c>
      <c r="F1447" s="1" t="str">
        <f>"财务管理（税务筹划方向）"</f>
        <v>财务管理（税务筹划方向）</v>
      </c>
      <c r="G1447" s="1" t="str">
        <f>"河南省平顶山市湛河区和顺路康达彩虹小区"</f>
        <v>河南省平顶山市湛河区和顺路康达彩虹小区</v>
      </c>
      <c r="H1447" s="1" t="str">
        <f>"会计初级职称"</f>
        <v>会计初级职称</v>
      </c>
      <c r="I1447" s="1" t="str">
        <f>"201209-201607 郑州成功财经学院管理学系财务管理专业就读，全日制；201607-201703郑州航空港区鸿馨物业管理有限公司；201704-201809深圳自如友家资产管理有限公司；201810-202104平顶山待业；202104-202111青岛新产融投资管理有限公司；202112-202102平顶山待业；202103-202203郑州领航信息管理有限公司；202204-202507平顶山待业"</f>
        <v>201209-201607 郑州成功财经学院管理学系财务管理专业就读，全日制；201607-201703郑州航空港区鸿馨物业管理有限公司；201704-201809深圳自如友家资产管理有限公司；201810-202104平顶山待业；202104-202111青岛新产融投资管理有限公司；202112-202102平顶山待业；202103-202203郑州领航信息管理有限公司；202204-202507平顶山待业</v>
      </c>
    </row>
    <row r="1448" spans="1:9">
      <c r="A1448" s="1" t="str">
        <f>"411323199808263014"</f>
        <v>411323199808263014</v>
      </c>
      <c r="B1448" s="1" t="str">
        <f t="shared" ref="B1448:B1451" si="725">"共青团员"</f>
        <v>共青团员</v>
      </c>
      <c r="C1448" s="1" t="str">
        <f t="shared" si="723"/>
        <v>本科</v>
      </c>
      <c r="D1448" s="1" t="str">
        <f>"202507"</f>
        <v>202507</v>
      </c>
      <c r="E1448" s="1" t="str">
        <f>"西安工业大学"</f>
        <v>西安工业大学</v>
      </c>
      <c r="F1448" s="1" t="str">
        <f>"计算机科学与技术"</f>
        <v>计算机科学与技术</v>
      </c>
      <c r="G1448" s="1" t="str">
        <f>"河南省南阳市淅川县"</f>
        <v>河南省南阳市淅川县</v>
      </c>
      <c r="H1448" s="1" t="str">
        <f t="shared" ref="H1448:H1452" si="726">"无"</f>
        <v>无</v>
      </c>
      <c r="I1448" s="1" t="str">
        <f>"1.2018.03-2020.07  河南大学   大专     建筑工程技术   非全日制
2.2020.07-2022.03   居家待业
3.2022.03-至今  淅川县自然资源局  职员
4.2023.03-2025.07    西安工业大学  本科   计算机科学与技术  非全日制"</f>
        <v>1.2018.03-2020.07  河南大学   大专     建筑工程技术   非全日制
2.2020.07-2022.03   居家待业
3.2022.03-至今  淅川县自然资源局  职员
4.2023.03-2025.07    西安工业大学  本科   计算机科学与技术  非全日制</v>
      </c>
    </row>
    <row r="1449" spans="1:9">
      <c r="A1449" s="1" t="str">
        <f>"41132719970710292X"</f>
        <v>41132719970710292X</v>
      </c>
      <c r="B1449" s="1" t="str">
        <f t="shared" si="725"/>
        <v>共青团员</v>
      </c>
      <c r="C1449" s="1" t="str">
        <f t="shared" si="723"/>
        <v>本科</v>
      </c>
      <c r="D1449" s="1" t="str">
        <f>"20200607"</f>
        <v>20200607</v>
      </c>
      <c r="E1449" s="1" t="str">
        <f>"湖南文理学院"</f>
        <v>湖南文理学院</v>
      </c>
      <c r="F1449" s="1" t="str">
        <f>"汉语言文学专业"</f>
        <v>汉语言文学专业</v>
      </c>
      <c r="G1449" s="1" t="str">
        <f>"内乡县毓秀园"</f>
        <v>内乡县毓秀园</v>
      </c>
      <c r="H1449" s="1" t="str">
        <f>"助理级"</f>
        <v>助理级</v>
      </c>
      <c r="I1449" s="1" t="str">
        <f>"201609-202006 湖南文理学院文法学院汉语言文学专业就读，全日制学历；202006-至今 内乡菊潭高级中学任职"</f>
        <v>201609-202006 湖南文理学院文法学院汉语言文学专业就读，全日制学历；202006-至今 内乡菊潭高级中学任职</v>
      </c>
    </row>
    <row r="1450" spans="1:9">
      <c r="A1450" s="1" t="str">
        <f>"411725200310034927"</f>
        <v>411725200310034927</v>
      </c>
      <c r="B1450" s="1" t="str">
        <f t="shared" si="725"/>
        <v>共青团员</v>
      </c>
      <c r="C1450" s="1" t="str">
        <f t="shared" si="723"/>
        <v>本科</v>
      </c>
      <c r="D1450" s="1" t="str">
        <f>"20250630"</f>
        <v>20250630</v>
      </c>
      <c r="E1450" s="1" t="str">
        <f>"福建师范大学"</f>
        <v>福建师范大学</v>
      </c>
      <c r="F1450" s="1" t="str">
        <f>"电子信息工程"</f>
        <v>电子信息工程</v>
      </c>
      <c r="G1450" s="1" t="str">
        <f>"河南省驻马店市确山县"</f>
        <v>河南省驻马店市确山县</v>
      </c>
      <c r="H1450" s="1" t="str">
        <f t="shared" si="726"/>
        <v>无</v>
      </c>
      <c r="I1450" s="1" t="str">
        <f>"202109-202506 福建师范大学 就读。光电与信息工程学院 电子信息工程专业 全日制学历"</f>
        <v>202109-202506 福建师范大学 就读。光电与信息工程学院 电子信息工程专业 全日制学历</v>
      </c>
    </row>
    <row r="1451" spans="1:9">
      <c r="A1451" s="1" t="str">
        <f>"412801200103170817"</f>
        <v>412801200103170817</v>
      </c>
      <c r="B1451" s="1" t="str">
        <f t="shared" si="725"/>
        <v>共青团员</v>
      </c>
      <c r="C1451" s="1" t="str">
        <f t="shared" si="723"/>
        <v>本科</v>
      </c>
      <c r="D1451" s="1" t="str">
        <f>"20231023"</f>
        <v>20231023</v>
      </c>
      <c r="E1451" s="1" t="str">
        <f>"河南科技学院"</f>
        <v>河南科技学院</v>
      </c>
      <c r="F1451" s="1" t="str">
        <f>"电气工程及其自动化"</f>
        <v>电气工程及其自动化</v>
      </c>
      <c r="G1451" s="1" t="str">
        <f>"河南省驻马店市驿城区驿安小区13号楼10号"</f>
        <v>河南省驻马店市驿城区驿安小区13号楼10号</v>
      </c>
      <c r="H1451" s="1" t="str">
        <f t="shared" si="726"/>
        <v>无</v>
      </c>
      <c r="I1451" s="1" t="str">
        <f>"201909-202310在河南科技学院机电学院电气工程及其自动化专业就读，是全日制；202310-202507在驻马店市驿城区驿安小区待业；202507-至今在浙江森艾人力资源有限公司苏州分公司工作"</f>
        <v>201909-202310在河南科技学院机电学院电气工程及其自动化专业就读，是全日制；202310-202507在驻马店市驿城区驿安小区待业；202507-至今在浙江森艾人力资源有限公司苏州分公司工作</v>
      </c>
    </row>
    <row r="1452" spans="1:9">
      <c r="A1452" s="1" t="str">
        <f>"411327199810260010"</f>
        <v>411327199810260010</v>
      </c>
      <c r="B1452" s="1" t="str">
        <f t="shared" ref="B1452:B1454" si="727">"群众"</f>
        <v>群众</v>
      </c>
      <c r="C1452" s="1" t="str">
        <f t="shared" ref="C1452:C1454" si="728">"专科"</f>
        <v>专科</v>
      </c>
      <c r="D1452" s="1" t="str">
        <f>"20190701"</f>
        <v>20190701</v>
      </c>
      <c r="E1452" s="1" t="str">
        <f>"河南司法警官职业学院"</f>
        <v>河南司法警官职业学院</v>
      </c>
      <c r="F1452" s="1" t="str">
        <f>"警察管理"</f>
        <v>警察管理</v>
      </c>
      <c r="G1452" s="1" t="str">
        <f>"河南省内乡县城关镇南园村南园北路1号"</f>
        <v>河南省内乡县城关镇南园村南园北路1号</v>
      </c>
      <c r="H1452" s="1" t="str">
        <f t="shared" si="726"/>
        <v>无</v>
      </c>
      <c r="I1452" s="1" t="str">
        <f>"201409-201907 河南司法警官职业学院就读；
201907-202002 内乡县公安局实习；
202009-202307 内乡县复兴学校初中部任体育教师；
202408至今   牧原建筑有限公司任职"</f>
        <v>201409-201907 河南司法警官职业学院就读；
201907-202002 内乡县公安局实习；
202009-202307 内乡县复兴学校初中部任体育教师；
202408至今   牧原建筑有限公司任职</v>
      </c>
    </row>
    <row r="1453" ht="162" spans="1:9">
      <c r="A1453" s="1" t="str">
        <f>"411302199206061317"</f>
        <v>411302199206061317</v>
      </c>
      <c r="B1453" s="1" t="str">
        <f t="shared" si="727"/>
        <v>群众</v>
      </c>
      <c r="C1453" s="1" t="str">
        <f t="shared" si="728"/>
        <v>专科</v>
      </c>
      <c r="D1453" s="1" t="str">
        <f>"20140701"</f>
        <v>20140701</v>
      </c>
      <c r="E1453" s="1" t="str">
        <f>"郑州职业技术学院"</f>
        <v>郑州职业技术学院</v>
      </c>
      <c r="F1453" s="1" t="str">
        <f>"汽车电子技术"</f>
        <v>汽车电子技术</v>
      </c>
      <c r="G1453" s="1" t="str">
        <f>"河南省南阳市宛城区光武中路1号"</f>
        <v>河南省南阳市宛城区光武中路1号</v>
      </c>
      <c r="H1453" s="1" t="str">
        <f>"助理社会工作师"</f>
        <v>助理社会工作师</v>
      </c>
      <c r="I1453" s="3" t="s">
        <v>225</v>
      </c>
    </row>
    <row r="1454" spans="1:9">
      <c r="A1454" s="1" t="str">
        <f>"411303200103156788"</f>
        <v>411303200103156788</v>
      </c>
      <c r="B1454" s="1" t="str">
        <f t="shared" si="727"/>
        <v>群众</v>
      </c>
      <c r="C1454" s="1" t="str">
        <f t="shared" si="728"/>
        <v>专科</v>
      </c>
      <c r="D1454" s="1" t="str">
        <f>"20220701"</f>
        <v>20220701</v>
      </c>
      <c r="E1454" s="1" t="str">
        <f>"濮阳职业技术学院"</f>
        <v>濮阳职业技术学院</v>
      </c>
      <c r="F1454" s="1" t="str">
        <f>"学前教育"</f>
        <v>学前教育</v>
      </c>
      <c r="G1454" s="1" t="str">
        <f>"河南省南阳市内乡县"</f>
        <v>河南省南阳市内乡县</v>
      </c>
      <c r="H1454" s="1" t="str">
        <f>"幼儿园及小学教师资格证"</f>
        <v>幼儿园及小学教师资格证</v>
      </c>
      <c r="I1454" s="1" t="str">
        <f>"201909-202207  濮阳职业技术学院  全日制
202403-202607  南阳理工学院  函授
 "</f>
        <v>201909-202207  濮阳职业技术学院  全日制
202403-202607  南阳理工学院  函授
 </v>
      </c>
    </row>
    <row r="1455" spans="1:9">
      <c r="A1455" s="1" t="str">
        <f>"411324199004142424"</f>
        <v>411324199004142424</v>
      </c>
      <c r="B1455" s="1" t="str">
        <f t="shared" ref="B1455:B1457" si="729">"中共党员"</f>
        <v>中共党员</v>
      </c>
      <c r="C1455" s="1" t="str">
        <f t="shared" ref="C1455:C1467" si="730">"本科"</f>
        <v>本科</v>
      </c>
      <c r="D1455" s="1" t="str">
        <f>"20140630"</f>
        <v>20140630</v>
      </c>
      <c r="E1455" s="1" t="str">
        <f>"郑州大学升达经贸管理学院"</f>
        <v>郑州大学升达经贸管理学院</v>
      </c>
      <c r="F1455" s="1" t="str">
        <f>"财务管理"</f>
        <v>财务管理</v>
      </c>
      <c r="G1455" s="1" t="str">
        <f>"河南省南阳市镇平县平安大道小参谋饺子楼南400米恒兴利民店"</f>
        <v>河南省南阳市镇平县平安大道小参谋饺子楼南400米恒兴利民店</v>
      </c>
      <c r="H1455" s="1" t="str">
        <f>"初级会计师证"</f>
        <v>初级会计师证</v>
      </c>
      <c r="I1455" s="1" t="str">
        <f>"201009-201406郑州大学升达经贸管理学院会计系财务管理专业就读，全日制学历；
201407-201505在镇平县永珍玉业公司任会计工作；
201506-201602在镇平县第二汽车运输集团有限公司任会计工作；
201603至今在镇平县交通用车服务有限公司任会计工作。"</f>
        <v>201009-201406郑州大学升达经贸管理学院会计系财务管理专业就读，全日制学历；
201407-201505在镇平县永珍玉业公司任会计工作；
201506-201602在镇平县第二汽车运输集团有限公司任会计工作；
201603至今在镇平县交通用车服务有限公司任会计工作。</v>
      </c>
    </row>
    <row r="1456" ht="94.5" spans="1:9">
      <c r="A1456" s="1" t="str">
        <f>"411326199302101543"</f>
        <v>411326199302101543</v>
      </c>
      <c r="B1456" s="1" t="str">
        <f t="shared" si="729"/>
        <v>中共党员</v>
      </c>
      <c r="C1456" s="1" t="str">
        <f t="shared" si="730"/>
        <v>本科</v>
      </c>
      <c r="D1456" s="1" t="str">
        <f>"20160701"</f>
        <v>20160701</v>
      </c>
      <c r="E1456" s="1" t="str">
        <f>"安阳工学院"</f>
        <v>安阳工学院</v>
      </c>
      <c r="F1456" s="1" t="str">
        <f>"财务管理"</f>
        <v>财务管理</v>
      </c>
      <c r="G1456" s="1" t="str">
        <f>"南阳市卧龙区工业路金汇城"</f>
        <v>南阳市卧龙区工业路金汇城</v>
      </c>
      <c r="H1456" s="1" t="str">
        <f>"初级会计证"</f>
        <v>初级会计证</v>
      </c>
      <c r="I1456" s="3" t="s">
        <v>226</v>
      </c>
    </row>
    <row r="1457" spans="1:9">
      <c r="A1457" s="1" t="str">
        <f>"410329199502064044"</f>
        <v>410329199502064044</v>
      </c>
      <c r="B1457" s="1" t="str">
        <f t="shared" si="729"/>
        <v>中共党员</v>
      </c>
      <c r="C1457" s="1" t="str">
        <f>"硕士研究生"</f>
        <v>硕士研究生</v>
      </c>
      <c r="D1457" s="1" t="str">
        <f>"20250611"</f>
        <v>20250611</v>
      </c>
      <c r="E1457" s="1" t="str">
        <f>"大连理工大学"</f>
        <v>大连理工大学</v>
      </c>
      <c r="F1457" s="1" t="str">
        <f>"马克思主义理论"</f>
        <v>马克思主义理论</v>
      </c>
      <c r="G1457" s="1" t="str">
        <f>"河南省洛阳市伊川县白元乡双头村二组"</f>
        <v>河南省洛阳市伊川县白元乡双头村二组</v>
      </c>
      <c r="H1457" s="1" t="str">
        <f t="shared" ref="H1457:H1467" si="731">"无"</f>
        <v>无</v>
      </c>
      <c r="I1457" s="1" t="str">
        <f>"201809-202206  河南科技大学就读  马克思主义学院  思想政治教育专业  全日制学历
202209-202506  大连理工大学就读  马克思主义学院  马克思主义理论专业  全日制学历"</f>
        <v>201809-202206  河南科技大学就读  马克思主义学院  思想政治教育专业  全日制学历
202209-202506  大连理工大学就读  马克思主义学院  马克思主义理论专业  全日制学历</v>
      </c>
    </row>
    <row r="1458" spans="1:9">
      <c r="A1458" s="1" t="str">
        <f>"411302200307140079"</f>
        <v>411302200307140079</v>
      </c>
      <c r="B1458" s="1" t="str">
        <f>"群众"</f>
        <v>群众</v>
      </c>
      <c r="C1458" s="1" t="str">
        <f>"专科"</f>
        <v>专科</v>
      </c>
      <c r="D1458" s="1" t="str">
        <f>"20250701"</f>
        <v>20250701</v>
      </c>
      <c r="E1458" s="1" t="str">
        <f>"三门峡社会管理职业学院"</f>
        <v>三门峡社会管理职业学院</v>
      </c>
      <c r="F1458" s="1" t="str">
        <f>"社会工作"</f>
        <v>社会工作</v>
      </c>
      <c r="G1458" s="1" t="str">
        <f>"河南省南阳市宛城区黄台岗镇三十里屯村"</f>
        <v>河南省南阳市宛城区黄台岗镇三十里屯村</v>
      </c>
      <c r="H1458" s="1" t="str">
        <f t="shared" si="731"/>
        <v>无</v>
      </c>
      <c r="I1458" s="1" t="str">
        <f>"202209-202507三门峡社会管理职业学院 公共管理学院 社会工作专业就读全日制学历"</f>
        <v>202209-202507三门峡社会管理职业学院 公共管理学院 社会工作专业就读全日制学历</v>
      </c>
    </row>
    <row r="1459" spans="1:9">
      <c r="A1459" s="1" t="str">
        <f>"411330199709011114"</f>
        <v>411330199709011114</v>
      </c>
      <c r="B1459" s="1" t="str">
        <f>"中共党员"</f>
        <v>中共党员</v>
      </c>
      <c r="C1459" s="1" t="str">
        <f t="shared" si="730"/>
        <v>本科</v>
      </c>
      <c r="D1459" s="1" t="str">
        <f>"2020.05"</f>
        <v>2020.05</v>
      </c>
      <c r="E1459" s="1" t="str">
        <f>"邵阳学院"</f>
        <v>邵阳学院</v>
      </c>
      <c r="F1459" s="1" t="str">
        <f>"思想政治教育"</f>
        <v>思想政治教育</v>
      </c>
      <c r="G1459" s="1" t="str">
        <f>"河南省南阳市西峡县回车镇大块地村西边组"</f>
        <v>河南省南阳市西峡县回车镇大块地村西边组</v>
      </c>
      <c r="H1459" s="1" t="str">
        <f>"高等学校教师资格证"</f>
        <v>高等学校教师资格证</v>
      </c>
      <c r="I1459" s="1" t="str">
        <f>"201607—202005 邵阳学院政法学院思想政治教育专业就读，全日制学历
202005—202008 河南西峡待业
202008—至今      南阳职业学院工作，任职高校辅导员"</f>
        <v>201607—202005 邵阳学院政法学院思想政治教育专业就读，全日制学历
202005—202008 河南西峡待业
202008—至今      南阳职业学院工作，任职高校辅导员</v>
      </c>
    </row>
    <row r="1460" spans="1:9">
      <c r="A1460" s="1" t="str">
        <f>"411327199811011577"</f>
        <v>411327199811011577</v>
      </c>
      <c r="B1460" s="1" t="str">
        <f>"共青团员"</f>
        <v>共青团员</v>
      </c>
      <c r="C1460" s="1" t="str">
        <f t="shared" si="730"/>
        <v>本科</v>
      </c>
      <c r="D1460" s="1" t="str">
        <f>"20210701"</f>
        <v>20210701</v>
      </c>
      <c r="E1460" s="1" t="str">
        <f>"河南科技学院"</f>
        <v>河南科技学院</v>
      </c>
      <c r="F1460" s="1" t="str">
        <f>"动物医学"</f>
        <v>动物医学</v>
      </c>
      <c r="G1460" s="1" t="str">
        <f>"内乡县三里桥附近"</f>
        <v>内乡县三里桥附近</v>
      </c>
      <c r="H1460" s="1" t="str">
        <f t="shared" si="731"/>
        <v>无</v>
      </c>
      <c r="I1460" s="1" t="str">
        <f>"201709-202107河南科技学院动物医学专业全日制；
202108-202111牧原食品有限公司；
202112-202202在内乡待业；
202203-202501江苏立华牧业担任技术管理；
202502在内乡待业；
202503-202507联牧兽药。"</f>
        <v>201709-202107河南科技学院动物医学专业全日制；
202108-202111牧原食品有限公司；
202112-202202在内乡待业；
202203-202501江苏立华牧业担任技术管理；
202502在内乡待业；
202503-202507联牧兽药。</v>
      </c>
    </row>
    <row r="1461" spans="1:9">
      <c r="A1461" s="1" t="str">
        <f>"411328199908080014"</f>
        <v>411328199908080014</v>
      </c>
      <c r="B1461" s="1" t="str">
        <f>"中共党员"</f>
        <v>中共党员</v>
      </c>
      <c r="C1461" s="1" t="str">
        <f t="shared" si="730"/>
        <v>本科</v>
      </c>
      <c r="D1461" s="1" t="str">
        <f>"20250630"</f>
        <v>20250630</v>
      </c>
      <c r="E1461" s="1" t="str">
        <f>"郑州大学"</f>
        <v>郑州大学</v>
      </c>
      <c r="F1461" s="1" t="str">
        <f>"计算机科学与技术"</f>
        <v>计算机科学与技术</v>
      </c>
      <c r="G1461" s="1" t="str">
        <f>"新野县城郊乡"</f>
        <v>新野县城郊乡</v>
      </c>
      <c r="H1461" s="1" t="str">
        <f t="shared" si="731"/>
        <v>无</v>
      </c>
      <c r="I1461" s="1" t="str">
        <f>"201509-202107 开封大学机械与汽车工程学院汽车检测与维修技术 就读 全日制
20210901-20250630 郑州大学远程教育学院计算机科学与技术专业 就读"</f>
        <v>201509-202107 开封大学机械与汽车工程学院汽车检测与维修技术 就读 全日制
20210901-20250630 郑州大学远程教育学院计算机科学与技术专业 就读</v>
      </c>
    </row>
    <row r="1462" spans="1:9">
      <c r="A1462" s="1" t="str">
        <f>"411327199907310045"</f>
        <v>411327199907310045</v>
      </c>
      <c r="B1462" s="1" t="str">
        <f t="shared" ref="B1462:B1465" si="732">"群众"</f>
        <v>群众</v>
      </c>
      <c r="C1462" s="1" t="str">
        <f t="shared" si="730"/>
        <v>本科</v>
      </c>
      <c r="D1462" s="1" t="str">
        <f>"2022-06-20"</f>
        <v>2022-06-20</v>
      </c>
      <c r="E1462" s="1" t="str">
        <f>"萍乡学院"</f>
        <v>萍乡学院</v>
      </c>
      <c r="F1462" s="1" t="str">
        <f>"汉语言文学"</f>
        <v>汉语言文学</v>
      </c>
      <c r="G1462" s="1" t="str">
        <f>"河南省内乡县城关镇广源路十一巷20号"</f>
        <v>河南省内乡县城关镇广源路十一巷20号</v>
      </c>
      <c r="H1462" s="1" t="str">
        <f t="shared" si="731"/>
        <v>无</v>
      </c>
      <c r="I1462" s="1" t="str">
        <f>"201709-202006 豫章师范学院语文教育专业就读
202009-202206 萍乡学院汉语言文学专业就读
202209-至今 内乡县灌涨高级中学担任语文教师"</f>
        <v>201709-202006 豫章师范学院语文教育专业就读
202009-202206 萍乡学院汉语言文学专业就读
202209-至今 内乡县灌涨高级中学担任语文教师</v>
      </c>
    </row>
    <row r="1463" spans="1:9">
      <c r="A1463" s="1" t="str">
        <f>"411327200112132519"</f>
        <v>411327200112132519</v>
      </c>
      <c r="B1463" s="1" t="str">
        <f>"共青团员"</f>
        <v>共青团员</v>
      </c>
      <c r="C1463" s="1" t="str">
        <f t="shared" si="730"/>
        <v>本科</v>
      </c>
      <c r="D1463" s="1" t="str">
        <f>"20230630"</f>
        <v>20230630</v>
      </c>
      <c r="E1463" s="1" t="str">
        <f>"郑州西亚斯学院"</f>
        <v>郑州西亚斯学院</v>
      </c>
      <c r="F1463" s="1" t="str">
        <f>"日语"</f>
        <v>日语</v>
      </c>
      <c r="G1463" s="1" t="str">
        <f>"河南省南阳市内乡县王店镇王店村西北329号"</f>
        <v>河南省南阳市内乡县王店镇王店村西北329号</v>
      </c>
      <c r="H1463" s="1" t="str">
        <f t="shared" si="731"/>
        <v>无</v>
      </c>
      <c r="I1463" s="1" t="str">
        <f>"20190901-20230630于郑州西亚斯学院外语学院外语系日语专业就读，全日制本科学历。20230710-20250214就职于湖北华之语教育科技有限公司。20250215至今就职于郑州征途教育科技有限公司"</f>
        <v>20190901-20230630于郑州西亚斯学院外语学院外语系日语专业就读，全日制本科学历。20230710-20250214就职于湖北华之语教育科技有限公司。20250215至今就职于郑州征途教育科技有限公司</v>
      </c>
    </row>
    <row r="1464" spans="1:9">
      <c r="A1464" s="1" t="str">
        <f>"620302199809020029"</f>
        <v>620302199809020029</v>
      </c>
      <c r="B1464" s="1" t="str">
        <f t="shared" si="732"/>
        <v>群众</v>
      </c>
      <c r="C1464" s="1" t="str">
        <f t="shared" si="730"/>
        <v>本科</v>
      </c>
      <c r="D1464" s="1" t="str">
        <f>"20210611"</f>
        <v>20210611</v>
      </c>
      <c r="E1464" s="1" t="str">
        <f>"福建农林大学金山学院"</f>
        <v>福建农林大学金山学院</v>
      </c>
      <c r="F1464" s="1" t="str">
        <f>"工商管理"</f>
        <v>工商管理</v>
      </c>
      <c r="G1464" s="1" t="str">
        <f>"甘肃省金昌市金川区22区"</f>
        <v>甘肃省金昌市金川区22区</v>
      </c>
      <c r="H1464" s="1" t="str">
        <f t="shared" si="731"/>
        <v>无</v>
      </c>
      <c r="I1464" s="1" t="str">
        <f>"201709—202106 福建农林大学金山学院经济与管理系工商管理专业 就读 全日制本科
202107—202208 在家待业
202209—202210 甘肃省金昌市金川区桂林路街道宝林里社区 综合岗
202211—202507（至今）在家待业"</f>
        <v>201709—202106 福建农林大学金山学院经济与管理系工商管理专业 就读 全日制本科
202107—202208 在家待业
202209—202210 甘肃省金昌市金川区桂林路街道宝林里社区 综合岗
202211—202507（至今）在家待业</v>
      </c>
    </row>
    <row r="1465" spans="1:9">
      <c r="A1465" s="1" t="str">
        <f>"411327199812181527"</f>
        <v>411327199812181527</v>
      </c>
      <c r="B1465" s="1" t="str">
        <f t="shared" si="732"/>
        <v>群众</v>
      </c>
      <c r="C1465" s="1" t="str">
        <f t="shared" si="730"/>
        <v>本科</v>
      </c>
      <c r="D1465" s="1" t="str">
        <f>"20210630"</f>
        <v>20210630</v>
      </c>
      <c r="E1465" s="1" t="str">
        <f>"辽东学院"</f>
        <v>辽东学院</v>
      </c>
      <c r="F1465" s="1" t="str">
        <f>"轻化工程"</f>
        <v>轻化工程</v>
      </c>
      <c r="G1465" s="1" t="str">
        <f>"内乡县新民路万事达小区"</f>
        <v>内乡县新民路万事达小区</v>
      </c>
      <c r="H1465" s="1" t="str">
        <f t="shared" si="731"/>
        <v>无</v>
      </c>
      <c r="I1465" s="1" t="str">
        <f>"201709-202106辽东学院轻化工程专业就读，为全日制本科。
202106-202208在家准备教师资格证考试、普通话考试及相关工作面试。
202208-202507在内乡菊潭学校担任科任教师"</f>
        <v>201709-202106辽东学院轻化工程专业就读，为全日制本科。
202106-202208在家准备教师资格证考试、普通话考试及相关工作面试。
202208-202507在内乡菊潭学校担任科任教师</v>
      </c>
    </row>
    <row r="1466" spans="1:9">
      <c r="A1466" s="1" t="str">
        <f>"411024199009212536"</f>
        <v>411024199009212536</v>
      </c>
      <c r="B1466" s="1" t="str">
        <f>"中共党员"</f>
        <v>中共党员</v>
      </c>
      <c r="C1466" s="1" t="str">
        <f t="shared" si="730"/>
        <v>本科</v>
      </c>
      <c r="D1466" s="1" t="str">
        <f>"20160630"</f>
        <v>20160630</v>
      </c>
      <c r="E1466" s="1" t="str">
        <f>"信阳师范学院"</f>
        <v>信阳师范学院</v>
      </c>
      <c r="F1466" s="1" t="str">
        <f>"经济管理"</f>
        <v>经济管理</v>
      </c>
      <c r="G1466" s="1" t="str">
        <f>"河南省许昌市鄢陵县南坞镇程庄村"</f>
        <v>河南省许昌市鄢陵县南坞镇程庄村</v>
      </c>
      <c r="H1466" s="1" t="str">
        <f t="shared" si="731"/>
        <v>无</v>
      </c>
      <c r="I1466" s="1" t="str">
        <f>"200909-201206河南工业大学   理学院电子商务专科专业就读  否
201203-202105  河南孔老师教育科技有限公司  工作
201401-201606  信阳师范学院   经济管理 本科就读     否
202105-至今     许昌市公安局     辅警"</f>
        <v>200909-201206河南工业大学   理学院电子商务专科专业就读  否
201203-202105  河南孔老师教育科技有限公司  工作
201401-201606  信阳师范学院   经济管理 本科就读     否
202105-至今     许昌市公安局     辅警</v>
      </c>
    </row>
    <row r="1467" spans="1:9">
      <c r="A1467" s="1" t="str">
        <f>"411327199410042516"</f>
        <v>411327199410042516</v>
      </c>
      <c r="B1467" s="1" t="str">
        <f t="shared" ref="B1467:B1472" si="733">"群众"</f>
        <v>群众</v>
      </c>
      <c r="C1467" s="1" t="str">
        <f t="shared" si="730"/>
        <v>本科</v>
      </c>
      <c r="D1467" s="1" t="str">
        <f>"20170630"</f>
        <v>20170630</v>
      </c>
      <c r="E1467" s="1" t="str">
        <f>"河南工业大学"</f>
        <v>河南工业大学</v>
      </c>
      <c r="F1467" s="1" t="str">
        <f>"土木工程"</f>
        <v>土木工程</v>
      </c>
      <c r="G1467" s="1" t="str">
        <f>"河南省南阳市内乡县王店镇雷沟村"</f>
        <v>河南省南阳市内乡县王店镇雷沟村</v>
      </c>
      <c r="H1467" s="1" t="str">
        <f t="shared" si="731"/>
        <v>无</v>
      </c>
      <c r="I1467" s="1" t="str">
        <f>"201309-201706 河南工业大学就读
201707-今 中铁十六局工作"</f>
        <v>201309-201706 河南工业大学就读
201707-今 中铁十六局工作</v>
      </c>
    </row>
    <row r="1468" spans="1:9">
      <c r="A1468" s="1" t="str">
        <f>"41130320021122037X"</f>
        <v>41130320021122037X</v>
      </c>
      <c r="B1468" s="1" t="str">
        <f t="shared" ref="B1468:B1470" si="734">"共青团员"</f>
        <v>共青团员</v>
      </c>
      <c r="C1468" s="1" t="str">
        <f>"专科"</f>
        <v>专科</v>
      </c>
      <c r="D1468" s="1" t="str">
        <f>"20240607"</f>
        <v>20240607</v>
      </c>
      <c r="E1468" s="1" t="str">
        <f>"河南地矿职业学院"</f>
        <v>河南地矿职业学院</v>
      </c>
      <c r="F1468" s="1" t="str">
        <f>"婴幼儿托育服务与管理"</f>
        <v>婴幼儿托育服务与管理</v>
      </c>
      <c r="G1468" s="1" t="str">
        <f>"河南南阳"</f>
        <v>河南南阳</v>
      </c>
      <c r="H1468" s="1" t="str">
        <f>"保育员4级，普通话二甲"</f>
        <v>保育员4级，普通话二甲</v>
      </c>
      <c r="I1468" s="1" t="str">
        <f>"202109—202406河南地矿职业学院就读与德艺系婴幼儿托育服务与管理专业全日制学历"</f>
        <v>202109—202406河南地矿职业学院就读与德艺系婴幼儿托育服务与管理专业全日制学历</v>
      </c>
    </row>
    <row r="1469" spans="1:9">
      <c r="A1469" s="1" t="str">
        <f>"411324200203020564"</f>
        <v>411324200203020564</v>
      </c>
      <c r="B1469" s="1" t="str">
        <f t="shared" si="734"/>
        <v>共青团员</v>
      </c>
      <c r="C1469" s="1" t="str">
        <f t="shared" ref="C1469:C1483" si="735">"本科"</f>
        <v>本科</v>
      </c>
      <c r="D1469" s="1" t="str">
        <f>"20240701"</f>
        <v>20240701</v>
      </c>
      <c r="E1469" s="1" t="str">
        <f>"许昌学院"</f>
        <v>许昌学院</v>
      </c>
      <c r="F1469" s="1" t="str">
        <f>"音乐学"</f>
        <v>音乐学</v>
      </c>
      <c r="G1469" s="1" t="str">
        <f>"河南省南阳市镇平县杨营镇郑坡村"</f>
        <v>河南省南阳市镇平县杨营镇郑坡村</v>
      </c>
      <c r="H1469" s="1" t="str">
        <f t="shared" ref="H1469:H1474" si="736">"无"</f>
        <v>无</v>
      </c>
      <c r="I1469" s="1" t="str">
        <f>"202009-202407  许昌学院音乐舞蹈学院音乐学专业就读 全日制
201709-202007   金陵外国语学校就读"</f>
        <v>202009-202407  许昌学院音乐舞蹈学院音乐学专业就读 全日制
201709-202007   金陵外国语学校就读</v>
      </c>
    </row>
    <row r="1470" spans="1:9">
      <c r="A1470" s="1" t="str">
        <f>"411327199708284921"</f>
        <v>411327199708284921</v>
      </c>
      <c r="B1470" s="1" t="str">
        <f t="shared" si="734"/>
        <v>共青团员</v>
      </c>
      <c r="C1470" s="1" t="str">
        <f t="shared" si="735"/>
        <v>本科</v>
      </c>
      <c r="D1470" s="1" t="str">
        <f>"2021-07-01"</f>
        <v>2021-07-01</v>
      </c>
      <c r="E1470" s="1" t="str">
        <f>"河南工程学院"</f>
        <v>河南工程学院</v>
      </c>
      <c r="F1470" s="1" t="str">
        <f>"软件工程"</f>
        <v>软件工程</v>
      </c>
      <c r="G1470" s="1" t="str">
        <f>"河南省南阳市内乡县灌涨镇灌二路165号"</f>
        <v>河南省南阳市内乡县灌涨镇灌二路165号</v>
      </c>
      <c r="H1470" s="1" t="str">
        <f t="shared" si="736"/>
        <v>无</v>
      </c>
      <c r="I1470" s="1" t="str">
        <f>"2016.09.01-2019.07.01 河南职业技术学院 电子信息工程技术
2019.09.01-2021.07.01 河南工程学院 软件学院 软件工程
2021.12-2022.08 南阳跨境电商孵化器有限公司
2022-10.19-至今 南阳市城乡一体化示范区政务服务中心（人事代理）"</f>
        <v>2016.09.01-2019.07.01 河南职业技术学院 电子信息工程技术
2019.09.01-2021.07.01 河南工程学院 软件学院 软件工程
2021.12-2022.08 南阳跨境电商孵化器有限公司
2022-10.19-至今 南阳市城乡一体化示范区政务服务中心（人事代理）</v>
      </c>
    </row>
    <row r="1471" spans="1:9">
      <c r="A1471" s="1" t="str">
        <f>"411321199909100449"</f>
        <v>411321199909100449</v>
      </c>
      <c r="B1471" s="1" t="str">
        <f t="shared" si="733"/>
        <v>群众</v>
      </c>
      <c r="C1471" s="1" t="str">
        <f t="shared" si="735"/>
        <v>本科</v>
      </c>
      <c r="D1471" s="1" t="str">
        <f>"20240701"</f>
        <v>20240701</v>
      </c>
      <c r="E1471" s="1" t="str">
        <f>"许昌学院"</f>
        <v>许昌学院</v>
      </c>
      <c r="F1471" s="1" t="str">
        <f>"旅游管理专业"</f>
        <v>旅游管理专业</v>
      </c>
      <c r="G1471" s="1" t="str">
        <f>"河南省南召县古城路中段"</f>
        <v>河南省南召县古城路中段</v>
      </c>
      <c r="H1471" s="1" t="str">
        <f t="shared" si="736"/>
        <v>无</v>
      </c>
      <c r="I1471" s="1" t="str">
        <f>"202009-202407许昌学院 就读
202407-202412美盛物业有限公司 员工
202501-至今 待业"</f>
        <v>202009-202407许昌学院 就读
202407-202412美盛物业有限公司 员工
202501-至今 待业</v>
      </c>
    </row>
    <row r="1472" spans="1:9">
      <c r="A1472" s="1" t="str">
        <f>"41132920020613442X"</f>
        <v>41132920020613442X</v>
      </c>
      <c r="B1472" s="1" t="str">
        <f t="shared" si="733"/>
        <v>群众</v>
      </c>
      <c r="C1472" s="1" t="str">
        <f t="shared" si="735"/>
        <v>本科</v>
      </c>
      <c r="D1472" s="1" t="str">
        <f>"2024-06-20"</f>
        <v>2024-06-20</v>
      </c>
      <c r="E1472" s="1" t="str">
        <f>"昆明文理学院"</f>
        <v>昆明文理学院</v>
      </c>
      <c r="F1472" s="1" t="str">
        <f>"国际经济与贸易"</f>
        <v>国际经济与贸易</v>
      </c>
      <c r="G1472" s="1" t="str">
        <f>"河南驻马店泌阳县"</f>
        <v>河南驻马店泌阳县</v>
      </c>
      <c r="H1472" s="1" t="str">
        <f t="shared" si="736"/>
        <v>无</v>
      </c>
      <c r="I1472" s="1" t="str">
        <f>"202006-202406昆明文理学院就读国际经济与贸易专业全日制学历"</f>
        <v>202006-202406昆明文理学院就读国际经济与贸易专业全日制学历</v>
      </c>
    </row>
    <row r="1473" spans="1:9">
      <c r="A1473" s="1" t="str">
        <f>"411202200008041526"</f>
        <v>411202200008041526</v>
      </c>
      <c r="B1473" s="1" t="str">
        <f>"中共党员"</f>
        <v>中共党员</v>
      </c>
      <c r="C1473" s="1" t="str">
        <f t="shared" si="735"/>
        <v>本科</v>
      </c>
      <c r="D1473" s="1" t="str">
        <f>"2022-07-01"</f>
        <v>2022-07-01</v>
      </c>
      <c r="E1473" s="1" t="str">
        <f>"信阳师范大学"</f>
        <v>信阳师范大学</v>
      </c>
      <c r="F1473" s="1" t="str">
        <f>"生物技术"</f>
        <v>生物技术</v>
      </c>
      <c r="G1473" s="1" t="str">
        <f>"河南省三门峡市湖滨区金领时代小区"</f>
        <v>河南省三门峡市湖滨区金领时代小区</v>
      </c>
      <c r="H1473" s="1" t="str">
        <f t="shared" si="736"/>
        <v>无</v>
      </c>
      <c r="I1473" s="1" t="str">
        <f>"2018.09 - 2022.07 在信阳师范大学 生物技术专业读书
2022.12 - 2023.01 在商丘宁陵牧原集团工作 （见习营养师）
2023.02 - 至今 在河南省三门峡市城乡一体化示范区乡村发展服务部工作 （劳务派遣）"</f>
        <v>2018.09 - 2022.07 在信阳师范大学 生物技术专业读书
2022.12 - 2023.01 在商丘宁陵牧原集团工作 （见习营养师）
2023.02 - 至今 在河南省三门峡市城乡一体化示范区乡村发展服务部工作 （劳务派遣）</v>
      </c>
    </row>
    <row r="1474" spans="1:9">
      <c r="A1474" s="1" t="str">
        <f>"411723200402280022"</f>
        <v>411723200402280022</v>
      </c>
      <c r="B1474" s="1" t="str">
        <f t="shared" ref="B1474:B1480" si="737">"共青团员"</f>
        <v>共青团员</v>
      </c>
      <c r="C1474" s="1" t="str">
        <f t="shared" si="735"/>
        <v>本科</v>
      </c>
      <c r="D1474" s="1" t="str">
        <f>"20250701"</f>
        <v>20250701</v>
      </c>
      <c r="E1474" s="1" t="str">
        <f>"河南理工大学"</f>
        <v>河南理工大学</v>
      </c>
      <c r="F1474" s="1" t="str">
        <f>"土木工程专业"</f>
        <v>土木工程专业</v>
      </c>
      <c r="G1474" s="1" t="str">
        <f>"泰和新家园"</f>
        <v>泰和新家园</v>
      </c>
      <c r="H1474" s="1" t="str">
        <f t="shared" si="736"/>
        <v>无</v>
      </c>
      <c r="I1474" s="1" t="str">
        <f>"本人与202109-202507于河南理工大学土木工程学院土木工程（中外合作办学）就读，为全日制学历"</f>
        <v>本人与202109-202507于河南理工大学土木工程学院土木工程（中外合作办学）就读，为全日制学历</v>
      </c>
    </row>
    <row r="1475" spans="1:9">
      <c r="A1475" s="1" t="str">
        <f>"411524199304305628"</f>
        <v>411524199304305628</v>
      </c>
      <c r="B1475" s="1" t="str">
        <f t="shared" si="737"/>
        <v>共青团员</v>
      </c>
      <c r="C1475" s="1" t="str">
        <f t="shared" si="735"/>
        <v>本科</v>
      </c>
      <c r="D1475" s="1" t="str">
        <f>"20150710"</f>
        <v>20150710</v>
      </c>
      <c r="E1475" s="1" t="str">
        <f>"沈阳农业大学科学技术学院"</f>
        <v>沈阳农业大学科学技术学院</v>
      </c>
      <c r="F1475" s="1" t="str">
        <f>"金融学"</f>
        <v>金融学</v>
      </c>
      <c r="G1475" s="1" t="str">
        <f>"河南省洛阳市涧西区菏泽街2号军安小区2号楼4单元602室"</f>
        <v>河南省洛阳市涧西区菏泽街2号军安小区2号楼4单元602室</v>
      </c>
      <c r="H1475" s="1" t="str">
        <f>"助理理财规划师、保险销售资格证"</f>
        <v>助理理财规划师、保险销售资格证</v>
      </c>
      <c r="I1475" s="1" t="str">
        <f>"学习经历
201109-201507 沈阳农业大学科学技术学院金融学专业就读，全日制学士学历
工作经历
201502-201511 辽宁省沈阳市中国平安人寿保险股份有限公司 
201601-201701 洛阳市政建设集团有限公司桥梁隧道分公司 
201702-202302 河南金山工程造价咨询有限公司 
202302-至今待业
"</f>
        <v>学习经历
201109-201507 沈阳农业大学科学技术学院金融学专业就读，全日制学士学历
工作经历
201502-201511 辽宁省沈阳市中国平安人寿保险股份有限公司 
201601-201701 洛阳市政建设集团有限公司桥梁隧道分公司 
201702-202302 河南金山工程造价咨询有限公司 
202302-至今待业
</v>
      </c>
    </row>
    <row r="1476" spans="1:9">
      <c r="A1476" s="1" t="str">
        <f>"610331199407020034"</f>
        <v>610331199407020034</v>
      </c>
      <c r="B1476" s="1" t="str">
        <f>"群众"</f>
        <v>群众</v>
      </c>
      <c r="C1476" s="1" t="str">
        <f t="shared" si="735"/>
        <v>本科</v>
      </c>
      <c r="D1476" s="1" t="str">
        <f>"20180702"</f>
        <v>20180702</v>
      </c>
      <c r="E1476" s="1" t="str">
        <f>"西安培华学院"</f>
        <v>西安培华学院</v>
      </c>
      <c r="F1476" s="1" t="str">
        <f>"审计学"</f>
        <v>审计学</v>
      </c>
      <c r="G1476" s="1" t="str">
        <f>"陕西省宝鸡市太白县北大街23号"</f>
        <v>陕西省宝鸡市太白县北大街23号</v>
      </c>
      <c r="H1476" s="1" t="str">
        <f t="shared" ref="H1476:H1489" si="738">"无"</f>
        <v>无</v>
      </c>
      <c r="I1476" s="1" t="str">
        <f>"201409—201807西安培华学院会计学院审计学专业就读，全日制本科学历；201808—至今 待业。"</f>
        <v>201409—201807西安培华学院会计学院审计学专业就读，全日制本科学历；201808—至今 待业。</v>
      </c>
    </row>
    <row r="1477" spans="1:9">
      <c r="A1477" s="1" t="str">
        <f>"411327199501012531"</f>
        <v>411327199501012531</v>
      </c>
      <c r="B1477" s="1" t="str">
        <f>"中共党员"</f>
        <v>中共党员</v>
      </c>
      <c r="C1477" s="1" t="str">
        <f t="shared" si="735"/>
        <v>本科</v>
      </c>
      <c r="D1477" s="1" t="str">
        <f>"20190701"</f>
        <v>20190701</v>
      </c>
      <c r="E1477" s="1" t="str">
        <f>"许昌学院"</f>
        <v>许昌学院</v>
      </c>
      <c r="F1477" s="1" t="str">
        <f>"音乐学"</f>
        <v>音乐学</v>
      </c>
      <c r="G1477" s="1" t="str">
        <f>"河南省南阳市内乡县王店镇刘观村3组"</f>
        <v>河南省南阳市内乡县王店镇刘观村3组</v>
      </c>
      <c r="H1477" s="1" t="str">
        <f t="shared" si="738"/>
        <v>无</v>
      </c>
      <c r="I1477" s="1" t="str">
        <f>"201409-201706郑州科技学院音乐舞蹈学院14级表演艺术班就读全日制学历
2011709-201906许昌学院音乐舞蹈学院音乐学专业就读全日制学历"</f>
        <v>201409-201706郑州科技学院音乐舞蹈学院14级表演艺术班就读全日制学历
2011709-201906许昌学院音乐舞蹈学院音乐学专业就读全日制学历</v>
      </c>
    </row>
    <row r="1478" spans="1:9">
      <c r="A1478" s="1" t="str">
        <f>"411324200107124224"</f>
        <v>411324200107124224</v>
      </c>
      <c r="B1478" s="1" t="str">
        <f t="shared" si="737"/>
        <v>共青团员</v>
      </c>
      <c r="C1478" s="1" t="str">
        <f t="shared" si="735"/>
        <v>本科</v>
      </c>
      <c r="D1478" s="1" t="str">
        <f>"20230630"</f>
        <v>20230630</v>
      </c>
      <c r="E1478" s="1" t="str">
        <f>"沈阳农业大学"</f>
        <v>沈阳农业大学</v>
      </c>
      <c r="F1478" s="1" t="str">
        <f>"设施农业科学与工程"</f>
        <v>设施农业科学与工程</v>
      </c>
      <c r="G1478" s="1" t="str">
        <f>"河南省南阳市镇平县张林镇布德王村"</f>
        <v>河南省南阳市镇平县张林镇布德王村</v>
      </c>
      <c r="H1478" s="1" t="str">
        <f t="shared" si="738"/>
        <v>无</v>
      </c>
      <c r="I1478" s="1" t="str">
        <f>"201908-202306 沈阳农业大学 园艺学院 设施农业科学与工程专业就读，全日制本科学历。
202307-至今，在家待业"</f>
        <v>201908-202306 沈阳农业大学 园艺学院 设施农业科学与工程专业就读，全日制本科学历。
202307-至今，在家待业</v>
      </c>
    </row>
    <row r="1479" spans="1:9">
      <c r="A1479" s="1" t="str">
        <f>"411327199906023968"</f>
        <v>411327199906023968</v>
      </c>
      <c r="B1479" s="1" t="str">
        <f t="shared" si="737"/>
        <v>共青团员</v>
      </c>
      <c r="C1479" s="1" t="str">
        <f t="shared" si="735"/>
        <v>本科</v>
      </c>
      <c r="D1479" s="1" t="str">
        <f>"20220709"</f>
        <v>20220709</v>
      </c>
      <c r="E1479" s="1" t="str">
        <f>"郑州师范学院"</f>
        <v>郑州师范学院</v>
      </c>
      <c r="F1479" s="1" t="str">
        <f>"音乐与舞蹈学院音乐学（声乐方向）"</f>
        <v>音乐与舞蹈学院音乐学（声乐方向）</v>
      </c>
      <c r="G1479" s="1" t="str">
        <f>"河南省南阳市内乡县乍区镇"</f>
        <v>河南省南阳市内乡县乍区镇</v>
      </c>
      <c r="H1479" s="1" t="str">
        <f t="shared" si="738"/>
        <v>无</v>
      </c>
      <c r="I1479" s="1" t="str">
        <f>"201809-202207在郑州师范学院音乐与舞蹈学院就读，专业是音乐学（声乐方向），全日制"</f>
        <v>201809-202207在郑州师范学院音乐与舞蹈学院就读，专业是音乐学（声乐方向），全日制</v>
      </c>
    </row>
    <row r="1480" spans="1:9">
      <c r="A1480" s="1" t="str">
        <f>"411327199902120322"</f>
        <v>411327199902120322</v>
      </c>
      <c r="B1480" s="1" t="str">
        <f t="shared" si="737"/>
        <v>共青团员</v>
      </c>
      <c r="C1480" s="1" t="str">
        <f t="shared" si="735"/>
        <v>本科</v>
      </c>
      <c r="D1480" s="1" t="str">
        <f>"20210618"</f>
        <v>20210618</v>
      </c>
      <c r="E1480" s="1" t="str">
        <f>"伊犁师范大学"</f>
        <v>伊犁师范大学</v>
      </c>
      <c r="F1480" s="1" t="str">
        <f>"应用统计学"</f>
        <v>应用统计学</v>
      </c>
      <c r="G1480" s="1" t="str">
        <f>"河南省内乡县大桥乡"</f>
        <v>河南省内乡县大桥乡</v>
      </c>
      <c r="H1480" s="1" t="str">
        <f t="shared" si="738"/>
        <v>无</v>
      </c>
      <c r="I1480" s="1" t="str">
        <f>"201709-202106 伊犁师范大学就读
202107-202201牧原食品股份有限公司就职
202202-至今内乡郦都学校就职"</f>
        <v>201709-202106 伊犁师范大学就读
202107-202201牧原食品股份有限公司就职
202202-至今内乡郦都学校就职</v>
      </c>
    </row>
    <row r="1481" spans="1:9">
      <c r="A1481" s="1" t="str">
        <f>"41130219930114281X"</f>
        <v>41130219930114281X</v>
      </c>
      <c r="B1481" s="1" t="str">
        <f t="shared" ref="B1481:B1483" si="739">"群众"</f>
        <v>群众</v>
      </c>
      <c r="C1481" s="1" t="str">
        <f t="shared" si="735"/>
        <v>本科</v>
      </c>
      <c r="D1481" s="1" t="str">
        <f>"20180701"</f>
        <v>20180701</v>
      </c>
      <c r="E1481" s="1" t="str">
        <f>"南阳理工学院"</f>
        <v>南阳理工学院</v>
      </c>
      <c r="F1481" s="1" t="str">
        <f>"工商管理"</f>
        <v>工商管理</v>
      </c>
      <c r="G1481" s="1" t="str">
        <f>"河南省南阳市宛城区溧河乡胡砦村"</f>
        <v>河南省南阳市宛城区溧河乡胡砦村</v>
      </c>
      <c r="H1481" s="1" t="str">
        <f t="shared" si="738"/>
        <v>无</v>
      </c>
      <c r="I1481" s="1" t="str">
        <f>"200809-201307南阳理工学院就读
201307-201412工作于南阳天尧医药有限公司
201603-201807南阳理工学院就读
201501-202312国家税务总局南阳市卧龙区潦河税务分局
202401-今国家税务总局南阳市卧龙区王村税务分局"</f>
        <v>200809-201307南阳理工学院就读
201307-201412工作于南阳天尧医药有限公司
201603-201807南阳理工学院就读
201501-202312国家税务总局南阳市卧龙区潦河税务分局
202401-今国家税务总局南阳市卧龙区王村税务分局</v>
      </c>
    </row>
    <row r="1482" spans="1:9">
      <c r="A1482" s="1" t="str">
        <f>"411325200112140700"</f>
        <v>411325200112140700</v>
      </c>
      <c r="B1482" s="1" t="str">
        <f t="shared" si="739"/>
        <v>群众</v>
      </c>
      <c r="C1482" s="1" t="str">
        <f t="shared" si="735"/>
        <v>本科</v>
      </c>
      <c r="D1482" s="1" t="str">
        <f>"2023.07"</f>
        <v>2023.07</v>
      </c>
      <c r="E1482" s="1" t="str">
        <f>"河南牧业经济学院"</f>
        <v>河南牧业经济学院</v>
      </c>
      <c r="F1482" s="1" t="str">
        <f>"金融学"</f>
        <v>金融学</v>
      </c>
      <c r="G1482" s="1" t="str">
        <f>"河南省南阳市内乡县马山口镇"</f>
        <v>河南省南阳市内乡县马山口镇</v>
      </c>
      <c r="H1482" s="1" t="str">
        <f t="shared" si="738"/>
        <v>无</v>
      </c>
      <c r="I1482" s="1" t="str">
        <f>"201909-202306河南牧业经济学院就读
202309-至今待业"</f>
        <v>201909-202306河南牧业经济学院就读
202309-至今待业</v>
      </c>
    </row>
    <row r="1483" spans="1:9">
      <c r="A1483" s="1" t="str">
        <f>"411323200103100085"</f>
        <v>411323200103100085</v>
      </c>
      <c r="B1483" s="1" t="str">
        <f t="shared" si="739"/>
        <v>群众</v>
      </c>
      <c r="C1483" s="1" t="str">
        <f t="shared" si="735"/>
        <v>本科</v>
      </c>
      <c r="D1483" s="1" t="str">
        <f>"20220616"</f>
        <v>20220616</v>
      </c>
      <c r="E1483" s="1" t="str">
        <f>"大连理工大学"</f>
        <v>大连理工大学</v>
      </c>
      <c r="F1483" s="1" t="str">
        <f>"知识产权"</f>
        <v>知识产权</v>
      </c>
      <c r="G1483" s="1" t="str">
        <f>"淅川县城关镇人民路"</f>
        <v>淅川县城关镇人民路</v>
      </c>
      <c r="H1483" s="1" t="str">
        <f t="shared" si="738"/>
        <v>无</v>
      </c>
      <c r="I1483" s="1" t="str">
        <f>"2018.9.1—2022.6.16 大连理工大学"</f>
        <v>2018.9.1—2022.6.16 大连理工大学</v>
      </c>
    </row>
    <row r="1484" spans="1:9">
      <c r="A1484" s="1" t="str">
        <f>"41132420020828485X"</f>
        <v>41132420020828485X</v>
      </c>
      <c r="B1484" s="1" t="str">
        <f t="shared" ref="B1484:B1489" si="740">"共青团员"</f>
        <v>共青团员</v>
      </c>
      <c r="C1484" s="1" t="str">
        <f>"专科"</f>
        <v>专科</v>
      </c>
      <c r="D1484" s="1" t="str">
        <f>"20230701"</f>
        <v>20230701</v>
      </c>
      <c r="E1484" s="1" t="str">
        <f>"郑州财经学院"</f>
        <v>郑州财经学院</v>
      </c>
      <c r="F1484" s="1" t="str">
        <f>"计算机应用技术"</f>
        <v>计算机应用技术</v>
      </c>
      <c r="G1484" s="1" t="str">
        <f>"河南省南阳市镇平县侯集镇田寨村"</f>
        <v>河南省南阳市镇平县侯集镇田寨村</v>
      </c>
      <c r="H1484" s="1" t="str">
        <f t="shared" si="738"/>
        <v>无</v>
      </c>
      <c r="I1484" s="1" t="str">
        <f>"202009-202307在郑州财经学院信息工程学院 计算机应用技术专业就读，全日制学历，202307至今在河南省南阳市待业"</f>
        <v>202009-202307在郑州财经学院信息工程学院 计算机应用技术专业就读，全日制学历，202307至今在河南省南阳市待业</v>
      </c>
    </row>
    <row r="1485" spans="1:9">
      <c r="A1485" s="1" t="str">
        <f>"411327200210170017"</f>
        <v>411327200210170017</v>
      </c>
      <c r="B1485" s="1" t="str">
        <f t="shared" si="740"/>
        <v>共青团员</v>
      </c>
      <c r="C1485" s="1" t="str">
        <f t="shared" ref="C1485:C1487" si="741">"本科"</f>
        <v>本科</v>
      </c>
      <c r="D1485" s="1" t="str">
        <f>"20250701"</f>
        <v>20250701</v>
      </c>
      <c r="E1485" s="1" t="str">
        <f>"华北水利水电大学"</f>
        <v>华北水利水电大学</v>
      </c>
      <c r="F1485" s="1" t="str">
        <f>"软件工程"</f>
        <v>软件工程</v>
      </c>
      <c r="G1485" s="1" t="str">
        <f>"河南省内乡县城关镇清真寺村清真寺北路5号"</f>
        <v>河南省内乡县城关镇清真寺村清真寺北路5号</v>
      </c>
      <c r="H1485" s="1" t="str">
        <f t="shared" si="738"/>
        <v>无</v>
      </c>
      <c r="I1485" s="1" t="str">
        <f>"202109-202507 华北水利水电大学信息工程学院软件工程专业就读，全日制学历"</f>
        <v>202109-202507 华北水利水电大学信息工程学院软件工程专业就读，全日制学历</v>
      </c>
    </row>
    <row r="1486" spans="1:9">
      <c r="A1486" s="1" t="str">
        <f>"411330200211011542"</f>
        <v>411330200211011542</v>
      </c>
      <c r="B1486" s="1" t="str">
        <f t="shared" si="740"/>
        <v>共青团员</v>
      </c>
      <c r="C1486" s="1" t="str">
        <f t="shared" si="741"/>
        <v>本科</v>
      </c>
      <c r="D1486" s="1" t="str">
        <f>"20240701"</f>
        <v>20240701</v>
      </c>
      <c r="E1486" s="1" t="str">
        <f>"河南师范大学"</f>
        <v>河南师范大学</v>
      </c>
      <c r="F1486" s="1" t="str">
        <f>"环境工程"</f>
        <v>环境工程</v>
      </c>
      <c r="G1486" s="1" t="str">
        <f>"河南省南阳市西峡县五里桥镇东环路"</f>
        <v>河南省南阳市西峡县五里桥镇东环路</v>
      </c>
      <c r="H1486" s="1" t="str">
        <f t="shared" si="738"/>
        <v>无</v>
      </c>
      <c r="I1486" s="1" t="str">
        <f>"202009-202407   河南师范大学   环境学院环境工程专业就读   全日制
202407-202507    河南省南阳市西峡县待业"</f>
        <v>202009-202407   河南师范大学   环境学院环境工程专业就读   全日制
202407-202507    河南省南阳市西峡县待业</v>
      </c>
    </row>
    <row r="1487" spans="1:9">
      <c r="A1487" s="1" t="str">
        <f>"411327200203291558"</f>
        <v>411327200203291558</v>
      </c>
      <c r="B1487" s="1" t="str">
        <f t="shared" si="740"/>
        <v>共青团员</v>
      </c>
      <c r="C1487" s="1" t="str">
        <f t="shared" si="741"/>
        <v>本科</v>
      </c>
      <c r="D1487" s="1" t="str">
        <f>"20240628"</f>
        <v>20240628</v>
      </c>
      <c r="E1487" s="1" t="str">
        <f>"吉林师范大学"</f>
        <v>吉林师范大学</v>
      </c>
      <c r="F1487" s="1" t="str">
        <f>"动画"</f>
        <v>动画</v>
      </c>
      <c r="G1487" s="1" t="str">
        <f>"河南省南阳市内乡县"</f>
        <v>河南省南阳市内乡县</v>
      </c>
      <c r="H1487" s="1" t="str">
        <f t="shared" si="738"/>
        <v>无</v>
      </c>
      <c r="I1487" s="1" t="str">
        <f>"202009-202406于吉林师范大学新闻与传播学院全日制本科动画专业就读"</f>
        <v>202009-202406于吉林师范大学新闻与传播学院全日制本科动画专业就读</v>
      </c>
    </row>
    <row r="1488" spans="1:9">
      <c r="A1488" s="1" t="str">
        <f>"411321200206232926"</f>
        <v>411321200206232926</v>
      </c>
      <c r="B1488" s="1" t="str">
        <f t="shared" si="740"/>
        <v>共青团员</v>
      </c>
      <c r="C1488" s="1" t="str">
        <f t="shared" ref="C1488:C1492" si="742">"专科"</f>
        <v>专科</v>
      </c>
      <c r="D1488" s="1" t="str">
        <f>"20230615"</f>
        <v>20230615</v>
      </c>
      <c r="E1488" s="1" t="str">
        <f>"黄河科技学院"</f>
        <v>黄河科技学院</v>
      </c>
      <c r="F1488" s="1" t="str">
        <f>"环境艺术设计"</f>
        <v>环境艺术设计</v>
      </c>
      <c r="G1488" s="1" t="str">
        <f>"河南省南阳市桐柏县月河镇月河村政通路45号"</f>
        <v>河南省南阳市桐柏县月河镇月河村政通路45号</v>
      </c>
      <c r="H1488" s="1" t="str">
        <f t="shared" si="738"/>
        <v>无</v>
      </c>
      <c r="I1488" s="1" t="str">
        <f>"202009-202306 黄河科技学院艺术设计学院环境艺术设计专业就读，是全日制学历
202306-至今 待业"</f>
        <v>202009-202306 黄河科技学院艺术设计学院环境艺术设计专业就读，是全日制学历
202306-至今 待业</v>
      </c>
    </row>
    <row r="1489" spans="1:9">
      <c r="A1489" s="1" t="str">
        <f>"411327200001210019"</f>
        <v>411327200001210019</v>
      </c>
      <c r="B1489" s="1" t="str">
        <f t="shared" si="740"/>
        <v>共青团员</v>
      </c>
      <c r="C1489" s="1" t="str">
        <f t="shared" ref="C1489:C1500" si="743">"本科"</f>
        <v>本科</v>
      </c>
      <c r="D1489" s="1" t="str">
        <f>"20211222"</f>
        <v>20211222</v>
      </c>
      <c r="E1489" s="1" t="str">
        <f>"华北水利水电大学"</f>
        <v>华北水利水电大学</v>
      </c>
      <c r="F1489" s="1" t="str">
        <f>"土木工程"</f>
        <v>土木工程</v>
      </c>
      <c r="G1489" s="1" t="str">
        <f>"城关镇天春苑小区1号楼二单元"</f>
        <v>城关镇天春苑小区1号楼二单元</v>
      </c>
      <c r="H1489" s="1" t="str">
        <f t="shared" si="738"/>
        <v>无</v>
      </c>
      <c r="I1489" s="1" t="str">
        <f>"201709-202112在华北水利水电大学土木工程专业就读，全日制本科学历，202201至今在内乡县综合应急救援队工作"</f>
        <v>201709-202112在华北水利水电大学土木工程专业就读，全日制本科学历，202201至今在内乡县综合应急救援队工作</v>
      </c>
    </row>
    <row r="1490" ht="108" spans="1:9">
      <c r="A1490" s="1" t="str">
        <f>"530324199007271711"</f>
        <v>530324199007271711</v>
      </c>
      <c r="B1490" s="1" t="str">
        <f>"中共党员"</f>
        <v>中共党员</v>
      </c>
      <c r="C1490" s="1" t="str">
        <f t="shared" si="742"/>
        <v>专科</v>
      </c>
      <c r="D1490" s="1" t="str">
        <f>"20230630"</f>
        <v>20230630</v>
      </c>
      <c r="E1490" s="1" t="str">
        <f>"云南经贸外事职业学院"</f>
        <v>云南经贸外事职业学院</v>
      </c>
      <c r="F1490" s="1" t="str">
        <f>"计算机应用技术"</f>
        <v>计算机应用技术</v>
      </c>
      <c r="G1490" s="1" t="str">
        <f>"云南省曲靖市罗平县马街镇财政所"</f>
        <v>云南省曲靖市罗平县马街镇财政所</v>
      </c>
      <c r="H1490" s="1" t="str">
        <f>"音响调音员，矿井维修电工，计算机操作员"</f>
        <v>音响调音员，矿井维修电工，计算机操作员</v>
      </c>
      <c r="I1490" s="3" t="s">
        <v>227</v>
      </c>
    </row>
    <row r="1491" spans="1:9">
      <c r="A1491" s="1" t="str">
        <f>"411327199801180625"</f>
        <v>411327199801180625</v>
      </c>
      <c r="B1491" s="1" t="str">
        <f>"共青团员"</f>
        <v>共青团员</v>
      </c>
      <c r="C1491" s="1" t="str">
        <f>"硕士研究生"</f>
        <v>硕士研究生</v>
      </c>
      <c r="D1491" s="1" t="str">
        <f>"20230625"</f>
        <v>20230625</v>
      </c>
      <c r="E1491" s="1" t="str">
        <f>"西安工业大学"</f>
        <v>西安工业大学</v>
      </c>
      <c r="F1491" s="1" t="str">
        <f>"通信与信息系统"</f>
        <v>通信与信息系统</v>
      </c>
      <c r="G1491" s="1" t="str">
        <f>"河南省南阳市内乡县马山口镇"</f>
        <v>河南省南阳市内乡县马山口镇</v>
      </c>
      <c r="H1491" s="1" t="str">
        <f t="shared" ref="H1491:H1496" si="744">"无"</f>
        <v>无</v>
      </c>
      <c r="I1491" s="1" t="str">
        <f>"201609-202006 在河南师范大学电子与电气工程学院电子信息工程专业就读，是全日制学历；
202009-202306在西安工业大学电子信息工程学院通信与信息系统专业就读，是全日制学历。"</f>
        <v>201609-202006 在河南师范大学电子与电气工程学院电子信息工程专业就读，是全日制学历；
202009-202306在西安工业大学电子信息工程学院通信与信息系统专业就读，是全日制学历。</v>
      </c>
    </row>
    <row r="1492" spans="1:9">
      <c r="A1492" s="1" t="str">
        <f>"411323199909146319"</f>
        <v>411323199909146319</v>
      </c>
      <c r="B1492" s="1" t="str">
        <f>"中共党员"</f>
        <v>中共党员</v>
      </c>
      <c r="C1492" s="1" t="str">
        <f t="shared" si="742"/>
        <v>专科</v>
      </c>
      <c r="D1492" s="1" t="str">
        <f>"20220701"</f>
        <v>20220701</v>
      </c>
      <c r="E1492" s="1" t="str">
        <f>"河南牧业经济学院"</f>
        <v>河南牧业经济学院</v>
      </c>
      <c r="F1492" s="1" t="str">
        <f>"软件技术"</f>
        <v>软件技术</v>
      </c>
      <c r="G1492" s="1" t="str">
        <f>"河南省淅川县厚坡镇卢咀村张庄组89号"</f>
        <v>河南省淅川县厚坡镇卢咀村张庄组89号</v>
      </c>
      <c r="H1492" s="1" t="str">
        <f t="shared" si="744"/>
        <v>无</v>
      </c>
      <c r="I1492" s="1" t="str">
        <f>"202010-202207   河南牧业经济学院     信息工程（软件学院）学院       软件技术专业  就读  全日制
202207-至今       在家务农"</f>
        <v>202010-202207   河南牧业经济学院     信息工程（软件学院）学院       软件技术专业  就读  全日制
202207-至今       在家务农</v>
      </c>
    </row>
    <row r="1493" spans="1:9">
      <c r="A1493" s="1" t="str">
        <f>"411302200408150049"</f>
        <v>411302200408150049</v>
      </c>
      <c r="B1493" s="1" t="str">
        <f t="shared" ref="B1493:B1495" si="745">"群众"</f>
        <v>群众</v>
      </c>
      <c r="C1493" s="1" t="str">
        <f t="shared" si="743"/>
        <v>本科</v>
      </c>
      <c r="D1493" s="1" t="str">
        <f>"20250701"</f>
        <v>20250701</v>
      </c>
      <c r="E1493" s="1" t="str">
        <f>"西北大学现代学院"</f>
        <v>西北大学现代学院</v>
      </c>
      <c r="F1493" s="1" t="str">
        <f>"舞蹈学"</f>
        <v>舞蹈学</v>
      </c>
      <c r="G1493" s="1" t="str">
        <f>"河南省南阳市宛城区汉冶村71号"</f>
        <v>河南省南阳市宛城区汉冶村71号</v>
      </c>
      <c r="H1493" s="1" t="str">
        <f t="shared" si="744"/>
        <v>无</v>
      </c>
      <c r="I1493" s="1" t="str">
        <f>"202108-202507西北大学现代学院音乐舞蹈学院舞蹈学专业就读，全日制学历"</f>
        <v>202108-202507西北大学现代学院音乐舞蹈学院舞蹈学专业就读，全日制学历</v>
      </c>
    </row>
    <row r="1494" spans="1:9">
      <c r="A1494" s="1" t="str">
        <f>"411327199809123967"</f>
        <v>411327199809123967</v>
      </c>
      <c r="B1494" s="1" t="str">
        <f t="shared" si="745"/>
        <v>群众</v>
      </c>
      <c r="C1494" s="1" t="str">
        <f t="shared" si="743"/>
        <v>本科</v>
      </c>
      <c r="D1494" s="1" t="str">
        <f>"20200630"</f>
        <v>20200630</v>
      </c>
      <c r="E1494" s="1" t="str">
        <f>"许昌学院"</f>
        <v>许昌学院</v>
      </c>
      <c r="F1494" s="1" t="str">
        <f>"数字媒体技术"</f>
        <v>数字媒体技术</v>
      </c>
      <c r="G1494" s="1" t="str">
        <f>"河南省南阳市内乡县湍东镇梁洼"</f>
        <v>河南省南阳市内乡县湍东镇梁洼</v>
      </c>
      <c r="H1494" s="1" t="str">
        <f t="shared" si="744"/>
        <v>无</v>
      </c>
      <c r="I1494" s="1" t="str">
        <f>"201309-201806 河南工业职业技术学院 计算机应用 专科  
201809-202006 许昌学院 数字媒体技术 本科，全日制"</f>
        <v>201309-201806 河南工业职业技术学院 计算机应用 专科  
201809-202006 许昌学院 数字媒体技术 本科，全日制</v>
      </c>
    </row>
    <row r="1495" spans="1:9">
      <c r="A1495" s="1" t="str">
        <f>"411327200208071124"</f>
        <v>411327200208071124</v>
      </c>
      <c r="B1495" s="1" t="str">
        <f t="shared" si="745"/>
        <v>群众</v>
      </c>
      <c r="C1495" s="1" t="str">
        <f t="shared" si="743"/>
        <v>本科</v>
      </c>
      <c r="D1495" s="1" t="str">
        <f>"20250614"</f>
        <v>20250614</v>
      </c>
      <c r="E1495" s="1" t="str">
        <f>"信阳农林学院"</f>
        <v>信阳农林学院</v>
      </c>
      <c r="F1495" s="1" t="str">
        <f>"植物保护"</f>
        <v>植物保护</v>
      </c>
      <c r="G1495" s="1" t="str">
        <f>"河南省南阳市内乡县赤眉镇夹道村"</f>
        <v>河南省南阳市内乡县赤眉镇夹道村</v>
      </c>
      <c r="H1495" s="1" t="str">
        <f t="shared" si="744"/>
        <v>无</v>
      </c>
      <c r="I1495" s="1" t="str">
        <f>"202010-202307河南林业职业学院就读，全日制
202309-202506信阳农林学院就读，全日制"</f>
        <v>202010-202307河南林业职业学院就读，全日制
202309-202506信阳农林学院就读，全日制</v>
      </c>
    </row>
    <row r="1496" spans="1:9">
      <c r="A1496" s="1" t="str">
        <f>"411327199701250016"</f>
        <v>411327199701250016</v>
      </c>
      <c r="B1496" s="1" t="str">
        <f t="shared" ref="B1496:B1501" si="746">"共青团员"</f>
        <v>共青团员</v>
      </c>
      <c r="C1496" s="1" t="str">
        <f t="shared" si="743"/>
        <v>本科</v>
      </c>
      <c r="D1496" s="1" t="str">
        <f>"20200701"</f>
        <v>20200701</v>
      </c>
      <c r="E1496" s="1" t="str">
        <f>"郑州财经学院"</f>
        <v>郑州财经学院</v>
      </c>
      <c r="F1496" s="1" t="str">
        <f>"国际经济与贸易"</f>
        <v>国际经济与贸易</v>
      </c>
      <c r="G1496" s="1" t="str">
        <f>"河南省南阳市内乡县城关镇菊园小区287号"</f>
        <v>河南省南阳市内乡县城关镇菊园小区287号</v>
      </c>
      <c r="H1496" s="1" t="str">
        <f t="shared" si="744"/>
        <v>无</v>
      </c>
      <c r="I1496" s="1" t="str">
        <f>"201609-202006 郑州财经学院电子商务学院国际经济与贸易专业就读，是全日制学历"</f>
        <v>201609-202006 郑州财经学院电子商务学院国际经济与贸易专业就读，是全日制学历</v>
      </c>
    </row>
    <row r="1497" spans="1:9">
      <c r="A1497" s="1" t="str">
        <f>"411323200107036316"</f>
        <v>411323200107036316</v>
      </c>
      <c r="B1497" s="1" t="str">
        <f t="shared" si="746"/>
        <v>共青团员</v>
      </c>
      <c r="C1497" s="1" t="str">
        <f t="shared" si="743"/>
        <v>本科</v>
      </c>
      <c r="D1497" s="1" t="str">
        <f>"20250616"</f>
        <v>20250616</v>
      </c>
      <c r="E1497" s="1" t="str">
        <f>"商丘工学院"</f>
        <v>商丘工学院</v>
      </c>
      <c r="F1497" s="1" t="str">
        <f>"计算机科学与技术"</f>
        <v>计算机科学与技术</v>
      </c>
      <c r="G1497" s="1" t="str">
        <f>"河南省南阳市内乡县城关镇广源路12巷"</f>
        <v>河南省南阳市内乡县城关镇广源路12巷</v>
      </c>
      <c r="H1497" s="1" t="str">
        <f>"计算机三级证书"</f>
        <v>计算机三级证书</v>
      </c>
      <c r="I1497" s="1" t="str">
        <f>"2021年9月至2025年6月在商丘工学院信息与电子工程学院计算机科学与技术就读，全日制本科学历"</f>
        <v>2021年9月至2025年6月在商丘工学院信息与电子工程学院计算机科学与技术就读，全日制本科学历</v>
      </c>
    </row>
    <row r="1498" spans="1:9">
      <c r="A1498" s="1" t="str">
        <f>"411327200302283721"</f>
        <v>411327200302283721</v>
      </c>
      <c r="B1498" s="1" t="str">
        <f t="shared" ref="B1498:B1502" si="747">"群众"</f>
        <v>群众</v>
      </c>
      <c r="C1498" s="1" t="str">
        <f t="shared" si="743"/>
        <v>本科</v>
      </c>
      <c r="D1498" s="1" t="str">
        <f>"202507"</f>
        <v>202507</v>
      </c>
      <c r="E1498" s="1" t="str">
        <f>"河南师范大学"</f>
        <v>河南师范大学</v>
      </c>
      <c r="F1498" s="1" t="str">
        <f>"工商管理"</f>
        <v>工商管理</v>
      </c>
      <c r="G1498" s="1" t="str">
        <f>"河南省南阳市内乡县桃溪镇"</f>
        <v>河南省南阳市内乡县桃溪镇</v>
      </c>
      <c r="H1498" s="1" t="str">
        <f t="shared" ref="H1498:H1502" si="748">"无"</f>
        <v>无</v>
      </c>
      <c r="I1498" s="1" t="str">
        <f>"202109-202507河南师范大学商学院工商管理专业全日制就读"</f>
        <v>202109-202507河南师范大学商学院工商管理专业全日制就读</v>
      </c>
    </row>
    <row r="1499" spans="1:9">
      <c r="A1499" s="1" t="str">
        <f>"41130319931224552X"</f>
        <v>41130319931224552X</v>
      </c>
      <c r="B1499" s="1" t="str">
        <f t="shared" si="747"/>
        <v>群众</v>
      </c>
      <c r="C1499" s="1" t="str">
        <f t="shared" si="743"/>
        <v>本科</v>
      </c>
      <c r="D1499" s="1" t="str">
        <f>"20170701"</f>
        <v>20170701</v>
      </c>
      <c r="E1499" s="1" t="str">
        <f>"郑州轻工业学院"</f>
        <v>郑州轻工业学院</v>
      </c>
      <c r="F1499" s="1" t="str">
        <f>"食品科学与工程"</f>
        <v>食品科学与工程</v>
      </c>
      <c r="G1499" s="1" t="str">
        <f>"南阳市宛城区明山路"</f>
        <v>南阳市宛城区明山路</v>
      </c>
      <c r="H1499" s="1" t="str">
        <f t="shared" si="748"/>
        <v>无</v>
      </c>
      <c r="I1499" s="1" t="str">
        <f>"201309-201706 郑州轻工业学院食品与生物工程系食品科学与工程专业全日制 就读；
201707-201811在家待业；
201812-202506 在南阳市行政审批服务中心工作（非在编）；
202507-至今 在家待业"</f>
        <v>201309-201706 郑州轻工业学院食品与生物工程系食品科学与工程专业全日制 就读；
201707-201811在家待业；
201812-202506 在南阳市行政审批服务中心工作（非在编）；
202507-至今 在家待业</v>
      </c>
    </row>
    <row r="1500" spans="1:9">
      <c r="A1500" s="1" t="str">
        <f>"411327200212260016"</f>
        <v>411327200212260016</v>
      </c>
      <c r="B1500" s="1" t="str">
        <f t="shared" si="746"/>
        <v>共青团员</v>
      </c>
      <c r="C1500" s="1" t="str">
        <f t="shared" si="743"/>
        <v>本科</v>
      </c>
      <c r="D1500" s="1" t="str">
        <f>"20250701"</f>
        <v>20250701</v>
      </c>
      <c r="E1500" s="1" t="str">
        <f>"郑州西亚斯学院"</f>
        <v>郑州西亚斯学院</v>
      </c>
      <c r="F1500" s="1" t="str">
        <f>"会计学"</f>
        <v>会计学</v>
      </c>
      <c r="G1500" s="1" t="str">
        <f>"河南省南阳市内乡县金龙小区"</f>
        <v>河南省南阳市内乡县金龙小区</v>
      </c>
      <c r="H1500" s="1" t="str">
        <f>"初级会计师"</f>
        <v>初级会计师</v>
      </c>
      <c r="I1500" s="1" t="str">
        <f>"202109-202506 郑州西亚斯学院管理学院会计学 全日制"</f>
        <v>202109-202506 郑州西亚斯学院管理学院会计学 全日制</v>
      </c>
    </row>
    <row r="1501" spans="1:9">
      <c r="A1501" s="1" t="str">
        <f>"411325200204104221"</f>
        <v>411325200204104221</v>
      </c>
      <c r="B1501" s="1" t="str">
        <f t="shared" si="746"/>
        <v>共青团员</v>
      </c>
      <c r="C1501" s="1" t="str">
        <f>"专科"</f>
        <v>专科</v>
      </c>
      <c r="D1501" s="1" t="str">
        <f>"20230701"</f>
        <v>20230701</v>
      </c>
      <c r="E1501" s="1" t="str">
        <f>"郑州旅游职业学院"</f>
        <v>郑州旅游职业学院</v>
      </c>
      <c r="F1501" s="1" t="str">
        <f>"数字媒体应用技术（旅游影视包装）"</f>
        <v>数字媒体应用技术（旅游影视包装）</v>
      </c>
      <c r="G1501" s="1" t="str">
        <f>"河南省内乡县余关乡"</f>
        <v>河南省内乡县余关乡</v>
      </c>
      <c r="H1501" s="1" t="str">
        <f t="shared" si="748"/>
        <v>无</v>
      </c>
      <c r="I1501" s="1" t="str">
        <f>"202010-202307郑州旅游职业学院
201709-202006内乡县职业中等专业学校
201409-201706内乡县实验初级中学
200809-201406内乡县第五小学"</f>
        <v>202010-202307郑州旅游职业学院
201709-202006内乡县职业中等专业学校
201409-201706内乡县实验初级中学
200809-201406内乡县第五小学</v>
      </c>
    </row>
    <row r="1502" spans="1:9">
      <c r="A1502" s="1" t="str">
        <f>"410106199808150038"</f>
        <v>410106199808150038</v>
      </c>
      <c r="B1502" s="1" t="str">
        <f t="shared" si="747"/>
        <v>群众</v>
      </c>
      <c r="C1502" s="1" t="str">
        <f t="shared" ref="C1502:C1505" si="749">"本科"</f>
        <v>本科</v>
      </c>
      <c r="D1502" s="1" t="str">
        <f>"20211108"</f>
        <v>20211108</v>
      </c>
      <c r="E1502" s="1" t="str">
        <f>"云南大学旅游文化学院"</f>
        <v>云南大学旅游文化学院</v>
      </c>
      <c r="F1502" s="1" t="str">
        <f>"旅游管理"</f>
        <v>旅游管理</v>
      </c>
      <c r="G1502" s="1" t="str">
        <f>"河南省郑州市上街区新安路132号院"</f>
        <v>河南省郑州市上街区新安路132号院</v>
      </c>
      <c r="H1502" s="1" t="str">
        <f t="shared" si="748"/>
        <v>无</v>
      </c>
      <c r="I1502" s="1" t="str">
        <f>"201609-202111云南大学旅游文化学院旅游管理专业就读，取得全日制本科学历，管理学学士学位。202111至今待业。"</f>
        <v>201609-202111云南大学旅游文化学院旅游管理专业就读，取得全日制本科学历，管理学学士学位。202111至今待业。</v>
      </c>
    </row>
    <row r="1503" spans="1:9">
      <c r="A1503" s="1" t="str">
        <f>"411325200110222665"</f>
        <v>411325200110222665</v>
      </c>
      <c r="B1503" s="1" t="str">
        <f t="shared" ref="B1503:B1506" si="750">"共青团员"</f>
        <v>共青团员</v>
      </c>
      <c r="C1503" s="1" t="str">
        <f t="shared" si="749"/>
        <v>本科</v>
      </c>
      <c r="D1503" s="1" t="str">
        <f>"2024-06-30"</f>
        <v>2024-06-30</v>
      </c>
      <c r="E1503" s="1" t="str">
        <f>"新乡学院"</f>
        <v>新乡学院</v>
      </c>
      <c r="F1503" s="1" t="str">
        <f>"信息与计算科学"</f>
        <v>信息与计算科学</v>
      </c>
      <c r="G1503" s="1" t="str">
        <f>"河南省南阳市内乡县城关镇南关菜市场"</f>
        <v>河南省南阳市内乡县城关镇南关菜市场</v>
      </c>
      <c r="H1503" s="1" t="str">
        <f>"信息安全管理员三级"</f>
        <v>信息安全管理员三级</v>
      </c>
      <c r="I1503" s="1" t="str">
        <f>"2020.9-2024.6新乡学院就读全日制
2024.06至今待业在家"</f>
        <v>2020.9-2024.6新乡学院就读全日制
2024.06至今待业在家</v>
      </c>
    </row>
    <row r="1504" spans="1:9">
      <c r="A1504" s="1" t="str">
        <f>"411325200111081569"</f>
        <v>411325200111081569</v>
      </c>
      <c r="B1504" s="1" t="str">
        <f t="shared" si="750"/>
        <v>共青团员</v>
      </c>
      <c r="C1504" s="1" t="str">
        <f t="shared" si="749"/>
        <v>本科</v>
      </c>
      <c r="D1504" s="1" t="str">
        <f>"20240701"</f>
        <v>20240701</v>
      </c>
      <c r="E1504" s="1" t="str">
        <f>"郑州升达经贸管理学院"</f>
        <v>郑州升达经贸管理学院</v>
      </c>
      <c r="F1504" s="1" t="str">
        <f>"工程管理"</f>
        <v>工程管理</v>
      </c>
      <c r="G1504" s="1" t="str">
        <f>"河南省南阳市内乡县大成路菊城花园小区"</f>
        <v>河南省南阳市内乡县大成路菊城花园小区</v>
      </c>
      <c r="H1504" s="1" t="str">
        <f t="shared" ref="H1504:H1529" si="751">"无"</f>
        <v>无</v>
      </c>
      <c r="I1504" s="1" t="str">
        <f>"202209-202407郑州升达经贸管理学院建筑工程学院工程管理专业就读。全日制学历
201909-202207河南师范大学新联学院土木建筑工程学院工程造价专业就读。全日制学历"</f>
        <v>202209-202407郑州升达经贸管理学院建筑工程学院工程管理专业就读。全日制学历
201909-202207河南师范大学新联学院土木建筑工程学院工程造价专业就读。全日制学历</v>
      </c>
    </row>
    <row r="1505" spans="1:9">
      <c r="A1505" s="1" t="str">
        <f>"411327199006250022"</f>
        <v>411327199006250022</v>
      </c>
      <c r="B1505" s="1" t="str">
        <f t="shared" ref="B1505:B1512" si="752">"群众"</f>
        <v>群众</v>
      </c>
      <c r="C1505" s="1" t="str">
        <f t="shared" si="749"/>
        <v>本科</v>
      </c>
      <c r="D1505" s="1" t="str">
        <f>"2017年7月"</f>
        <v>2017年7月</v>
      </c>
      <c r="E1505" s="1" t="str">
        <f>"南阳师范学院"</f>
        <v>南阳师范学院</v>
      </c>
      <c r="F1505" s="1" t="str">
        <f>"美术学"</f>
        <v>美术学</v>
      </c>
      <c r="G1505" s="1" t="str">
        <f>"内乡县湍东镇菊城印象小区"</f>
        <v>内乡县湍东镇菊城印象小区</v>
      </c>
      <c r="H1505" s="1" t="str">
        <f t="shared" si="751"/>
        <v>无</v>
      </c>
      <c r="I1505" s="1" t="str">
        <f>"2009年9月至2012年7月 郑州信息科技职业学院 就读 全日制学历 
2012年8月至2013年2月 在家待业
2013年3月至2021年12月 牧原公司
2015年3月至2017年7月 南阳师范学院 非全日制
2022年1月至今内乡县工业和信息化局"</f>
        <v>2009年9月至2012年7月 郑州信息科技职业学院 就读 全日制学历 
2012年8月至2013年2月 在家待业
2013年3月至2021年12月 牧原公司
2015年3月至2017年7月 南阳师范学院 非全日制
2022年1月至今内乡县工业和信息化局</v>
      </c>
    </row>
    <row r="1506" spans="1:9">
      <c r="A1506" s="1" t="str">
        <f>"41132620020522482X"</f>
        <v>41132620020522482X</v>
      </c>
      <c r="B1506" s="1" t="str">
        <f t="shared" si="750"/>
        <v>共青团员</v>
      </c>
      <c r="C1506" s="1" t="str">
        <f t="shared" ref="C1506:C1510" si="753">"专科"</f>
        <v>专科</v>
      </c>
      <c r="D1506" s="1" t="str">
        <f>"20220701"</f>
        <v>20220701</v>
      </c>
      <c r="E1506" s="1" t="str">
        <f>"信阳职业技术学院"</f>
        <v>信阳职业技术学院</v>
      </c>
      <c r="F1506" s="1" t="str">
        <f>"语文教育"</f>
        <v>语文教育</v>
      </c>
      <c r="G1506" s="1" t="str">
        <f>"河南省南阳市南召县板山坪镇板山村林站"</f>
        <v>河南省南阳市南召县板山坪镇板山村林站</v>
      </c>
      <c r="H1506" s="1" t="str">
        <f>"秘书四级/中级工"</f>
        <v>秘书四级/中级工</v>
      </c>
      <c r="I1506" s="1" t="str">
        <f>"201909—202207 信阳职业技术学院语言与传媒学院语文教育专业 就读 否"</f>
        <v>201909—202207 信阳职业技术学院语言与传媒学院语文教育专业 就读 否</v>
      </c>
    </row>
    <row r="1507" spans="1:9">
      <c r="A1507" s="1" t="str">
        <f>"411330199001064827"</f>
        <v>411330199001064827</v>
      </c>
      <c r="B1507" s="1" t="str">
        <f>"中共党员"</f>
        <v>中共党员</v>
      </c>
      <c r="C1507" s="1" t="str">
        <f t="shared" si="753"/>
        <v>专科</v>
      </c>
      <c r="D1507" s="1" t="str">
        <f>"20110701"</f>
        <v>20110701</v>
      </c>
      <c r="E1507" s="1" t="str">
        <f>"濮阳职业技术学院"</f>
        <v>濮阳职业技术学院</v>
      </c>
      <c r="F1507" s="1" t="str">
        <f>"环境监测与治理技术"</f>
        <v>环境监测与治理技术</v>
      </c>
      <c r="G1507" s="1" t="str">
        <f>"河南省南阳市西峡县白羽街道"</f>
        <v>河南省南阳市西峡县白羽街道</v>
      </c>
      <c r="H1507" s="1" t="str">
        <f t="shared" si="751"/>
        <v>无</v>
      </c>
      <c r="I1507" s="1" t="str">
        <f>"200809-201107在濮阳职业技术学院石油与化工工程学院环境监测与治理技术专业就读。
201111-201901在龙城集团就业
201902-至今在育才学校就业"</f>
        <v>200809-201107在濮阳职业技术学院石油与化工工程学院环境监测与治理技术专业就读。
201111-201901在龙城集团就业
201902-至今在育才学校就业</v>
      </c>
    </row>
    <row r="1508" spans="1:9">
      <c r="A1508" s="1" t="str">
        <f>"412702199609027810"</f>
        <v>412702199609027810</v>
      </c>
      <c r="B1508" s="1" t="str">
        <f>"中共党员"</f>
        <v>中共党员</v>
      </c>
      <c r="C1508" s="1" t="str">
        <f>"本科"</f>
        <v>本科</v>
      </c>
      <c r="D1508" s="1" t="str">
        <f>"20200601"</f>
        <v>20200601</v>
      </c>
      <c r="E1508" s="1" t="str">
        <f>"许昌学院"</f>
        <v>许昌学院</v>
      </c>
      <c r="F1508" s="1" t="str">
        <f>"工商管理"</f>
        <v>工商管理</v>
      </c>
      <c r="G1508" s="1" t="str">
        <f>"河南省项城市"</f>
        <v>河南省项城市</v>
      </c>
      <c r="H1508" s="1" t="str">
        <f t="shared" si="751"/>
        <v>无</v>
      </c>
      <c r="I1508" s="1" t="str">
        <f>"201509-201806 开封大学市场营销专业 全日制
201809-202006 许昌学院工商管理专业 全日制"</f>
        <v>201509-201806 开封大学市场营销专业 全日制
201809-202006 许昌学院工商管理专业 全日制</v>
      </c>
    </row>
    <row r="1509" spans="1:9">
      <c r="A1509" s="1" t="str">
        <f>"412828199407203344"</f>
        <v>412828199407203344</v>
      </c>
      <c r="B1509" s="1" t="str">
        <f t="shared" si="752"/>
        <v>群众</v>
      </c>
      <c r="C1509" s="1" t="str">
        <f t="shared" si="753"/>
        <v>专科</v>
      </c>
      <c r="D1509" s="1" t="str">
        <f>"2022.07"</f>
        <v>2022.07</v>
      </c>
      <c r="E1509" s="1" t="str">
        <f>"河南科技学院"</f>
        <v>河南科技学院</v>
      </c>
      <c r="F1509" s="1" t="str">
        <f>"会计"</f>
        <v>会计</v>
      </c>
      <c r="G1509" s="1" t="str">
        <f>"河南省驻马店市驿城区富强路北段"</f>
        <v>河南省驻马店市驿城区富强路北段</v>
      </c>
      <c r="H1509" s="1" t="str">
        <f t="shared" si="751"/>
        <v>无</v>
      </c>
      <c r="I1509" s="1" t="str">
        <f>"202003-202207 河南科技学院会计专业函授就读，非全日制；
202208-至今 河南省驻马店市驿城区 灵活就业"</f>
        <v>202003-202207 河南科技学院会计专业函授就读，非全日制；
202208-至今 河南省驻马店市驿城区 灵活就业</v>
      </c>
    </row>
    <row r="1510" spans="1:9">
      <c r="A1510" s="1" t="str">
        <f>"411381200205070319"</f>
        <v>411381200205070319</v>
      </c>
      <c r="B1510" s="1" t="str">
        <f t="shared" si="752"/>
        <v>群众</v>
      </c>
      <c r="C1510" s="1" t="str">
        <f t="shared" si="753"/>
        <v>专科</v>
      </c>
      <c r="D1510" s="1" t="str">
        <f>"2023年7月1日"</f>
        <v>2023年7月1日</v>
      </c>
      <c r="E1510" s="1" t="str">
        <f>"郑州电子信息职业技术学院"</f>
        <v>郑州电子信息职业技术学院</v>
      </c>
      <c r="F1510" s="1" t="str">
        <f>"动漫技术制作"</f>
        <v>动漫技术制作</v>
      </c>
      <c r="G1510" s="1" t="str">
        <f>"河南省邓州市花洲街道东一环"</f>
        <v>河南省邓州市花洲街道东一环</v>
      </c>
      <c r="H1510" s="1" t="str">
        <f t="shared" si="751"/>
        <v>无</v>
      </c>
      <c r="I1510" s="1" t="str">
        <f>"2020年9月至2023年7月就读于郑州电子信息技术职业学院，毕业后待业至今"</f>
        <v>2020年9月至2023年7月就读于郑州电子信息技术职业学院，毕业后待业至今</v>
      </c>
    </row>
    <row r="1511" spans="1:9">
      <c r="A1511" s="1" t="str">
        <f>"410324200203250617"</f>
        <v>410324200203250617</v>
      </c>
      <c r="B1511" s="1" t="str">
        <f t="shared" si="752"/>
        <v>群众</v>
      </c>
      <c r="C1511" s="1" t="str">
        <f t="shared" ref="C1511:C1516" si="754">"本科"</f>
        <v>本科</v>
      </c>
      <c r="D1511" s="1" t="str">
        <f>"20240630"</f>
        <v>20240630</v>
      </c>
      <c r="E1511" s="1" t="str">
        <f>"浙江海洋大学"</f>
        <v>浙江海洋大学</v>
      </c>
      <c r="F1511" s="1" t="str">
        <f>"电气工程及其自动化"</f>
        <v>电气工程及其自动化</v>
      </c>
      <c r="G1511" s="1" t="str">
        <f>"河南省洛阳市栾川县七里坪村"</f>
        <v>河南省洛阳市栾川县七里坪村</v>
      </c>
      <c r="H1511" s="1" t="str">
        <f t="shared" si="751"/>
        <v>无</v>
      </c>
      <c r="I1511" s="1" t="str">
        <f>"202009-202406 浙江海洋大学就读，海洋工程装备学院，电气工程及其自动化专业，全日制"</f>
        <v>202009-202406 浙江海洋大学就读，海洋工程装备学院，电气工程及其自动化专业，全日制</v>
      </c>
    </row>
    <row r="1512" spans="1:9">
      <c r="A1512" s="1" t="str">
        <f>"411302200107076121"</f>
        <v>411302200107076121</v>
      </c>
      <c r="B1512" s="1" t="str">
        <f t="shared" si="752"/>
        <v>群众</v>
      </c>
      <c r="C1512" s="1" t="str">
        <f t="shared" ref="C1512:C1514" si="755">"专科"</f>
        <v>专科</v>
      </c>
      <c r="D1512" s="1" t="str">
        <f>"2022年7月1日"</f>
        <v>2022年7月1日</v>
      </c>
      <c r="E1512" s="1" t="str">
        <f>"焦作师范高等专科学校"</f>
        <v>焦作师范高等专科学校</v>
      </c>
      <c r="F1512" s="1" t="str">
        <f>"音乐表演"</f>
        <v>音乐表演</v>
      </c>
      <c r="G1512" s="1" t="str">
        <f>"河南省南阳市宛城区白河街道常绿悦龙府一号楼二单元东104"</f>
        <v>河南省南阳市宛城区白河街道常绿悦龙府一号楼二单元东104</v>
      </c>
      <c r="H1512" s="1" t="str">
        <f t="shared" si="751"/>
        <v>无</v>
      </c>
      <c r="I1512" s="1" t="str">
        <f>"2019年9月6日-2022年7月1日 焦作师范高等专科学校 音乐表演 全日制"</f>
        <v>2019年9月6日-2022年7月1日 焦作师范高等专科学校 音乐表演 全日制</v>
      </c>
    </row>
    <row r="1513" spans="1:9">
      <c r="A1513" s="1" t="str">
        <f>"411330200309023146"</f>
        <v>411330200309023146</v>
      </c>
      <c r="B1513" s="1" t="str">
        <f>"共青团员"</f>
        <v>共青团员</v>
      </c>
      <c r="C1513" s="1" t="str">
        <f t="shared" si="755"/>
        <v>专科</v>
      </c>
      <c r="D1513" s="1" t="str">
        <f>"20250613"</f>
        <v>20250613</v>
      </c>
      <c r="E1513" s="1" t="str">
        <f>"周口职业技术学院"</f>
        <v>周口职业技术学院</v>
      </c>
      <c r="F1513" s="1" t="str">
        <f>"学前教育"</f>
        <v>学前教育</v>
      </c>
      <c r="G1513" s="1" t="str">
        <f>"河南省南阳市西峡县重阳镇白龙村九组"</f>
        <v>河南省南阳市西峡县重阳镇白龙村九组</v>
      </c>
      <c r="H1513" s="1" t="str">
        <f t="shared" si="751"/>
        <v>无</v>
      </c>
      <c r="I1513" s="1" t="str">
        <f>"本人与202209-202506进入周口职业技术学院，就读于学前与艺术教育学院，学前教育（师范）专业，为全日制"</f>
        <v>本人与202209-202506进入周口职业技术学院，就读于学前与艺术教育学院，学前教育（师范）专业，为全日制</v>
      </c>
    </row>
    <row r="1514" spans="1:9">
      <c r="A1514" s="1" t="str">
        <f>"411327199711174985"</f>
        <v>411327199711174985</v>
      </c>
      <c r="B1514" s="1" t="str">
        <f t="shared" ref="B1514:B1520" si="756">"群众"</f>
        <v>群众</v>
      </c>
      <c r="C1514" s="1" t="str">
        <f t="shared" si="755"/>
        <v>专科</v>
      </c>
      <c r="D1514" s="1" t="str">
        <f>"20200701"</f>
        <v>20200701</v>
      </c>
      <c r="E1514" s="1" t="str">
        <f>"郑州幼儿师范高等专科学校"</f>
        <v>郑州幼儿师范高等专科学校</v>
      </c>
      <c r="F1514" s="1" t="str">
        <f>"艺术设计"</f>
        <v>艺术设计</v>
      </c>
      <c r="G1514" s="1" t="str">
        <f>"内乡县灌涨镇灌涨村"</f>
        <v>内乡县灌涨镇灌涨村</v>
      </c>
      <c r="H1514" s="1" t="str">
        <f t="shared" si="751"/>
        <v>无</v>
      </c>
      <c r="I1514" s="1" t="str">
        <f>"201609——202007郑州幼儿师范高等专科学校就读，是全日制学历；201709——201809待业"</f>
        <v>201609——202007郑州幼儿师范高等专科学校就读，是全日制学历；201709——201809待业</v>
      </c>
    </row>
    <row r="1515" spans="1:9">
      <c r="A1515" s="1" t="str">
        <f>"420881199609297125"</f>
        <v>420881199609297125</v>
      </c>
      <c r="B1515" s="1" t="str">
        <f t="shared" si="756"/>
        <v>群众</v>
      </c>
      <c r="C1515" s="1" t="str">
        <f t="shared" si="754"/>
        <v>本科</v>
      </c>
      <c r="D1515" s="1" t="str">
        <f>"2019-07-01"</f>
        <v>2019-07-01</v>
      </c>
      <c r="E1515" s="1" t="str">
        <f>"武汉工商学院"</f>
        <v>武汉工商学院</v>
      </c>
      <c r="F1515" s="1" t="str">
        <f>"会计学"</f>
        <v>会计学</v>
      </c>
      <c r="G1515" s="1" t="str">
        <f>"河南省南阳市内乡县新都花苑1102"</f>
        <v>河南省南阳市内乡县新都花苑1102</v>
      </c>
      <c r="H1515" s="1" t="str">
        <f t="shared" si="751"/>
        <v>无</v>
      </c>
      <c r="I1515" s="1" t="str">
        <f>"201709-201907武汉工商学院会计学专业学生
201907-202208牧原股份有限公司财务管理岗
202208-至今内乡百川建筑有限公司 会计"</f>
        <v>201709-201907武汉工商学院会计学专业学生
201907-202208牧原股份有限公司财务管理岗
202208-至今内乡百川建筑有限公司 会计</v>
      </c>
    </row>
    <row r="1516" spans="1:9">
      <c r="A1516" s="1" t="str">
        <f>"411330199601161524"</f>
        <v>411330199601161524</v>
      </c>
      <c r="B1516" s="1" t="str">
        <f t="shared" si="756"/>
        <v>群众</v>
      </c>
      <c r="C1516" s="1" t="str">
        <f t="shared" si="754"/>
        <v>本科</v>
      </c>
      <c r="D1516" s="1" t="str">
        <f>"20180701"</f>
        <v>20180701</v>
      </c>
      <c r="E1516" s="1" t="str">
        <f>"平顶山学院"</f>
        <v>平顶山学院</v>
      </c>
      <c r="F1516" s="1" t="str">
        <f>"法学"</f>
        <v>法学</v>
      </c>
      <c r="G1516" s="1" t="str">
        <f>"河南省南阳市张衡东路康泰小区"</f>
        <v>河南省南阳市张衡东路康泰小区</v>
      </c>
      <c r="H1516" s="1" t="str">
        <f t="shared" si="751"/>
        <v>无</v>
      </c>
      <c r="I1516" s="1" t="str">
        <f>"201409--201807平顶山学院政法院系法学专业就读。
201807--201902在西峡县待业
201902--至今在南阳高新技术产业开发区人民法院任书记员"</f>
        <v>201409--201807平顶山学院政法院系法学专业就读。
201807--201902在西峡县待业
201902--至今在南阳高新技术产业开发区人民法院任书记员</v>
      </c>
    </row>
    <row r="1517" spans="1:9">
      <c r="A1517" s="1" t="str">
        <f>"410928199103211584"</f>
        <v>410928199103211584</v>
      </c>
      <c r="B1517" s="1" t="str">
        <f t="shared" si="756"/>
        <v>群众</v>
      </c>
      <c r="C1517" s="1" t="str">
        <f>"专科"</f>
        <v>专科</v>
      </c>
      <c r="D1517" s="1" t="str">
        <f>"20210130"</f>
        <v>20210130</v>
      </c>
      <c r="E1517" s="1" t="str">
        <f>"郑州大学"</f>
        <v>郑州大学</v>
      </c>
      <c r="F1517" s="1" t="str">
        <f>"工商企业管理"</f>
        <v>工商企业管理</v>
      </c>
      <c r="G1517" s="1" t="str">
        <f>"河南省濮阳县户部寨乡前老寨村"</f>
        <v>河南省濮阳县户部寨乡前老寨村</v>
      </c>
      <c r="H1517" s="1" t="str">
        <f t="shared" si="751"/>
        <v>无</v>
      </c>
      <c r="I1517" s="1" t="str">
        <f>"201609-202101就读于郑州大学网络教育学院工商企业管理专业"</f>
        <v>201609-202101就读于郑州大学网络教育学院工商企业管理专业</v>
      </c>
    </row>
    <row r="1518" spans="1:9">
      <c r="A1518" s="1" t="str">
        <f>"411325200108050032"</f>
        <v>411325200108050032</v>
      </c>
      <c r="B1518" s="1" t="str">
        <f t="shared" si="756"/>
        <v>群众</v>
      </c>
      <c r="C1518" s="1" t="str">
        <f t="shared" ref="C1518:C1522" si="757">"本科"</f>
        <v>本科</v>
      </c>
      <c r="D1518" s="1" t="str">
        <f>"20240605"</f>
        <v>20240605</v>
      </c>
      <c r="E1518" s="1" t="str">
        <f>"安阳学院"</f>
        <v>安阳学院</v>
      </c>
      <c r="F1518" s="1" t="str">
        <f>"市场营销"</f>
        <v>市场营销</v>
      </c>
      <c r="G1518" s="1" t="str">
        <f>"河南省南阳市内乡县梨苑山庄香樟园"</f>
        <v>河南省南阳市内乡县梨苑山庄香樟园</v>
      </c>
      <c r="H1518" s="1" t="str">
        <f t="shared" si="751"/>
        <v>无</v>
      </c>
      <c r="I1518" s="1" t="str">
        <f>"201909-202206 河南工程学院 就读 全日制大专
202209-202406 安阳学院 就读 全日制本科
202406-至今 在内乡县待业"</f>
        <v>201909-202206 河南工程学院 就读 全日制大专
202209-202406 安阳学院 就读 全日制本科
202406-至今 在内乡县待业</v>
      </c>
    </row>
    <row r="1519" spans="1:9">
      <c r="A1519" s="1" t="str">
        <f>"411327200001230060"</f>
        <v>411327200001230060</v>
      </c>
      <c r="B1519" s="1" t="str">
        <f t="shared" si="756"/>
        <v>群众</v>
      </c>
      <c r="C1519" s="1" t="str">
        <f t="shared" si="757"/>
        <v>本科</v>
      </c>
      <c r="D1519" s="1" t="str">
        <f>"20240606"</f>
        <v>20240606</v>
      </c>
      <c r="E1519" s="1" t="str">
        <f>"中原科技学院"</f>
        <v>中原科技学院</v>
      </c>
      <c r="F1519" s="1" t="str">
        <f>"学前教育"</f>
        <v>学前教育</v>
      </c>
      <c r="G1519" s="1" t="str">
        <f>"河南省内乡县湍东镇大梁洼"</f>
        <v>河南省内乡县湍东镇大梁洼</v>
      </c>
      <c r="H1519" s="1" t="str">
        <f t="shared" si="751"/>
        <v>无</v>
      </c>
      <c r="I1519" s="1" t="str">
        <f>"202209-2024-06中原科技学院就读"</f>
        <v>202209-2024-06中原科技学院就读</v>
      </c>
    </row>
    <row r="1520" spans="1:9">
      <c r="A1520" s="1" t="str">
        <f>"411327199507280019"</f>
        <v>411327199507280019</v>
      </c>
      <c r="B1520" s="1" t="str">
        <f t="shared" si="756"/>
        <v>群众</v>
      </c>
      <c r="C1520" s="1" t="str">
        <f t="shared" ref="C1520:C1525" si="758">"专科"</f>
        <v>专科</v>
      </c>
      <c r="D1520" s="1" t="str">
        <f>"2017年7月1日"</f>
        <v>2017年7月1日</v>
      </c>
      <c r="E1520" s="1" t="str">
        <f>"河南农业大学"</f>
        <v>河南农业大学</v>
      </c>
      <c r="F1520" s="1" t="str">
        <f>"计算机多媒体技术"</f>
        <v>计算机多媒体技术</v>
      </c>
      <c r="G1520" s="1" t="str">
        <f>"郑州市京广快速路万科世曦"</f>
        <v>郑州市京广快速路万科世曦</v>
      </c>
      <c r="H1520" s="1" t="str">
        <f t="shared" si="751"/>
        <v>无</v>
      </c>
      <c r="I1520" s="1" t="str">
        <f>"201409-201707 河南农业大学 计算机多媒体技术专业就读 全日制专科"</f>
        <v>201409-201707 河南农业大学 计算机多媒体技术专业就读 全日制专科</v>
      </c>
    </row>
    <row r="1521" spans="1:9">
      <c r="A1521" s="1" t="str">
        <f>"410411199601115523"</f>
        <v>410411199601115523</v>
      </c>
      <c r="B1521" s="1" t="str">
        <f>"中共党员"</f>
        <v>中共党员</v>
      </c>
      <c r="C1521" s="1" t="str">
        <f>"硕士研究生"</f>
        <v>硕士研究生</v>
      </c>
      <c r="D1521" s="1" t="str">
        <f>"2024-06-18"</f>
        <v>2024-06-18</v>
      </c>
      <c r="E1521" s="1" t="str">
        <f>"重庆师范大学"</f>
        <v>重庆师范大学</v>
      </c>
      <c r="F1521" s="1" t="str">
        <f>"马克思主义哲学"</f>
        <v>马克思主义哲学</v>
      </c>
      <c r="G1521" s="1" t="str">
        <f>"河南省平顶山市"</f>
        <v>河南省平顶山市</v>
      </c>
      <c r="H1521" s="1" t="str">
        <f t="shared" si="751"/>
        <v>无</v>
      </c>
      <c r="I1521" s="1" t="str">
        <f>"201409-201707 江西工程学院 工程造价专业就读 全日制
201409-201712 江西工程学院 工程造价管理专业就读 自考非全日制
201801-201812 待业
201901-201903 迪卡侬工作
201909-202109 待业
202109-202312 重庆师范大学 汉语言文学专业就读 自考非全日制
202109-202406 重庆师范大学 马克思主义哲学专业就读 全日制
202407-202507 待业"</f>
        <v>201409-201707 江西工程学院 工程造价专业就读 全日制
201409-201712 江西工程学院 工程造价管理专业就读 自考非全日制
201801-201812 待业
201901-201903 迪卡侬工作
201909-202109 待业
202109-202312 重庆师范大学 汉语言文学专业就读 自考非全日制
202109-202406 重庆师范大学 马克思主义哲学专业就读 全日制
202407-202507 待业</v>
      </c>
    </row>
    <row r="1522" spans="1:9">
      <c r="A1522" s="1" t="str">
        <f>"411381199504013917"</f>
        <v>411381199504013917</v>
      </c>
      <c r="B1522" s="1" t="str">
        <f t="shared" ref="B1522:B1525" si="759">"群众"</f>
        <v>群众</v>
      </c>
      <c r="C1522" s="1" t="str">
        <f t="shared" si="757"/>
        <v>本科</v>
      </c>
      <c r="D1522" s="1" t="str">
        <f>"20230701"</f>
        <v>20230701</v>
      </c>
      <c r="E1522" s="1" t="str">
        <f>"南阳理工学院"</f>
        <v>南阳理工学院</v>
      </c>
      <c r="F1522" s="1" t="str">
        <f>"电气工程及其自动化"</f>
        <v>电气工程及其自动化</v>
      </c>
      <c r="G1522" s="1" t="str">
        <f>"河南省邓州市罗庄镇林堡村"</f>
        <v>河南省邓州市罗庄镇林堡村</v>
      </c>
      <c r="H1522" s="1" t="str">
        <f t="shared" si="751"/>
        <v>无</v>
      </c>
      <c r="I1522" s="1" t="str">
        <f>"201409-201707 郑州职业技术学院机械工程系机电一体化技术就读 全日制
201707-201906 邓州市运鹏房地产有限公司
201906-至今邓州市职业健康安全教育培训中心
202103-202307 南阳理工学院电气工程及其自动化就读 非全日制"</f>
        <v>201409-201707 郑州职业技术学院机械工程系机电一体化技术就读 全日制
201707-201906 邓州市运鹏房地产有限公司
201906-至今邓州市职业健康安全教育培训中心
202103-202307 南阳理工学院电气工程及其自动化就读 非全日制</v>
      </c>
    </row>
    <row r="1523" spans="1:9">
      <c r="A1523" s="1" t="str">
        <f>"411327200309201522"</f>
        <v>411327200309201522</v>
      </c>
      <c r="B1523" s="1" t="str">
        <f t="shared" si="759"/>
        <v>群众</v>
      </c>
      <c r="C1523" s="1" t="str">
        <f t="shared" si="758"/>
        <v>专科</v>
      </c>
      <c r="D1523" s="1" t="str">
        <f>"202407"</f>
        <v>202407</v>
      </c>
      <c r="E1523" s="1" t="str">
        <f>"南阳职业学院"</f>
        <v>南阳职业学院</v>
      </c>
      <c r="F1523" s="1" t="str">
        <f>"婴幼儿托育服务与管理"</f>
        <v>婴幼儿托育服务与管理</v>
      </c>
      <c r="G1523" s="1" t="str">
        <f>"河南省内乡县湍东镇龙头村上洼组"</f>
        <v>河南省内乡县湍东镇龙头村上洼组</v>
      </c>
      <c r="H1523" s="1" t="str">
        <f t="shared" si="751"/>
        <v>无</v>
      </c>
      <c r="I1523" s="1" t="str">
        <f>"202109-202407 在南阳职业学院 教育学院婴幼儿托育服务与管理 就读"</f>
        <v>202109-202407 在南阳职业学院 教育学院婴幼儿托育服务与管理 就读</v>
      </c>
    </row>
    <row r="1524" spans="1:9">
      <c r="A1524" s="1" t="str">
        <f>"410422200001051030"</f>
        <v>410422200001051030</v>
      </c>
      <c r="B1524" s="1" t="str">
        <f t="shared" ref="B1524:B1528" si="760">"共青团员"</f>
        <v>共青团员</v>
      </c>
      <c r="C1524" s="1" t="str">
        <f t="shared" ref="C1524:C1529" si="761">"本科"</f>
        <v>本科</v>
      </c>
      <c r="D1524" s="1" t="str">
        <f>"20220701"</f>
        <v>20220701</v>
      </c>
      <c r="E1524" s="1" t="str">
        <f>"河南农业大学"</f>
        <v>河南农业大学</v>
      </c>
      <c r="F1524" s="1" t="str">
        <f>"农业建筑环境与能源工程"</f>
        <v>农业建筑环境与能源工程</v>
      </c>
      <c r="G1524" s="1" t="str">
        <f>"郑州市南阳新村街道怡丰新都汇"</f>
        <v>郑州市南阳新村街道怡丰新都汇</v>
      </c>
      <c r="H1524" s="1" t="str">
        <f t="shared" si="751"/>
        <v>无</v>
      </c>
      <c r="I1524" s="1" t="str">
        <f>"201809-202207 河南农业大学  机电工程学院农业建筑环境与能源工程专业就读  全日制
202207-202301 居家待业
202302-202406 河南点滴工程咨询有限公司咨询工程师岗位就业
202407-202407 居家待业"</f>
        <v>201809-202207 河南农业大学  机电工程学院农业建筑环境与能源工程专业就读  全日制
202207-202301 居家待业
202302-202406 河南点滴工程咨询有限公司咨询工程师岗位就业
202407-202407 居家待业</v>
      </c>
    </row>
    <row r="1525" spans="1:9">
      <c r="A1525" s="1" t="str">
        <f>"411327199501123928"</f>
        <v>411327199501123928</v>
      </c>
      <c r="B1525" s="1" t="str">
        <f t="shared" si="759"/>
        <v>群众</v>
      </c>
      <c r="C1525" s="1" t="str">
        <f t="shared" si="758"/>
        <v>专科</v>
      </c>
      <c r="D1525" s="1" t="str">
        <f>"20160607"</f>
        <v>20160607</v>
      </c>
      <c r="E1525" s="1" t="str">
        <f>"南阳师院"</f>
        <v>南阳师院</v>
      </c>
      <c r="F1525" s="1" t="str">
        <f>"语文教育"</f>
        <v>语文教育</v>
      </c>
      <c r="G1525" s="1" t="str">
        <f>"河南省南阳市内乡县郦都国际小区"</f>
        <v>河南省南阳市内乡县郦都国际小区</v>
      </c>
      <c r="H1525" s="1" t="str">
        <f t="shared" si="751"/>
        <v>无</v>
      </c>
      <c r="I1525" s="1" t="str">
        <f>"201309-201606毕业于南阳师范学院"</f>
        <v>201309-201606毕业于南阳师范学院</v>
      </c>
    </row>
    <row r="1526" spans="1:9">
      <c r="A1526" s="1" t="str">
        <f>"411327199712200022"</f>
        <v>411327199712200022</v>
      </c>
      <c r="B1526" s="1" t="str">
        <f>"中共党员"</f>
        <v>中共党员</v>
      </c>
      <c r="C1526" s="1" t="str">
        <f t="shared" si="761"/>
        <v>本科</v>
      </c>
      <c r="D1526" s="1" t="str">
        <f>"20200701"</f>
        <v>20200701</v>
      </c>
      <c r="E1526" s="1" t="str">
        <f>"河南工程学院"</f>
        <v>河南工程学院</v>
      </c>
      <c r="F1526" s="1" t="str">
        <f>"行政管理"</f>
        <v>行政管理</v>
      </c>
      <c r="G1526" s="1" t="str">
        <f>"河南省内乡县城关镇县衙路38号"</f>
        <v>河南省内乡县城关镇县衙路38号</v>
      </c>
      <c r="H1526" s="1" t="str">
        <f t="shared" si="751"/>
        <v>无</v>
      </c>
      <c r="I1526" s="1" t="str">
        <f>"201509-201807郑州财经学院电子商务专业就读
201809-202007河南工程学院行政管理专业就读
202007-202012待业
202012-至今湍东镇人民政府"</f>
        <v>201509-201807郑州财经学院电子商务专业就读
201809-202007河南工程学院行政管理专业就读
202007-202012待业
202012-至今湍东镇人民政府</v>
      </c>
    </row>
    <row r="1527" spans="1:9">
      <c r="A1527" s="1" t="str">
        <f>"411527200108310045"</f>
        <v>411527200108310045</v>
      </c>
      <c r="B1527" s="1" t="str">
        <f t="shared" si="760"/>
        <v>共青团员</v>
      </c>
      <c r="C1527" s="1" t="str">
        <f t="shared" si="761"/>
        <v>本科</v>
      </c>
      <c r="D1527" s="1" t="str">
        <f>"20230601"</f>
        <v>20230601</v>
      </c>
      <c r="E1527" s="1" t="str">
        <f>"天津天狮学院"</f>
        <v>天津天狮学院</v>
      </c>
      <c r="F1527" s="1" t="str">
        <f>"动画"</f>
        <v>动画</v>
      </c>
      <c r="G1527" s="1" t="str">
        <f>"江淮名都21楼1703"</f>
        <v>江淮名都21楼1703</v>
      </c>
      <c r="H1527" s="1" t="str">
        <f t="shared" si="751"/>
        <v>无</v>
      </c>
      <c r="I1527" s="1" t="str">
        <f>"201909月-202306月在天津天狮学院就读动画专业
是全日制学历
"</f>
        <v>201909月-202306月在天津天狮学院就读动画专业
是全日制学历
</v>
      </c>
    </row>
    <row r="1528" spans="1:9">
      <c r="A1528" s="1" t="str">
        <f>"610425200204281561"</f>
        <v>610425200204281561</v>
      </c>
      <c r="B1528" s="1" t="str">
        <f t="shared" si="760"/>
        <v>共青团员</v>
      </c>
      <c r="C1528" s="1" t="str">
        <f t="shared" si="761"/>
        <v>本科</v>
      </c>
      <c r="D1528" s="1" t="str">
        <f>"20250701"</f>
        <v>20250701</v>
      </c>
      <c r="E1528" s="1" t="str">
        <f>"陕西科技大学镐京学院"</f>
        <v>陕西科技大学镐京学院</v>
      </c>
      <c r="F1528" s="1" t="str">
        <f>"药物制剂"</f>
        <v>药物制剂</v>
      </c>
      <c r="G1528" s="1" t="str">
        <f>"陕西省咸阳市礼泉县骏马镇双佛曹村"</f>
        <v>陕西省咸阳市礼泉县骏马镇双佛曹村</v>
      </c>
      <c r="H1528" s="1" t="str">
        <f t="shared" si="751"/>
        <v>无</v>
      </c>
      <c r="I1528" s="1" t="str">
        <f>"202109-202507 陕西科技大学镐京学院，医药工程学院，药物制剂，全日制"</f>
        <v>202109-202507 陕西科技大学镐京学院，医药工程学院，药物制剂，全日制</v>
      </c>
    </row>
    <row r="1529" spans="1:9">
      <c r="A1529" s="1" t="str">
        <f>"341282200312301429"</f>
        <v>341282200312301429</v>
      </c>
      <c r="B1529" s="1" t="str">
        <f>"中共预备党员"</f>
        <v>中共预备党员</v>
      </c>
      <c r="C1529" s="1" t="str">
        <f t="shared" si="761"/>
        <v>本科</v>
      </c>
      <c r="D1529" s="1" t="str">
        <f>"20250630"</f>
        <v>20250630</v>
      </c>
      <c r="E1529" s="1" t="str">
        <f>"池州学院"</f>
        <v>池州学院</v>
      </c>
      <c r="F1529" s="1" t="str">
        <f>"网络工程"</f>
        <v>网络工程</v>
      </c>
      <c r="G1529" s="1" t="str">
        <f>"安徽省界首市芦村镇程塘行政村"</f>
        <v>安徽省界首市芦村镇程塘行政村</v>
      </c>
      <c r="H1529" s="1" t="str">
        <f t="shared" si="751"/>
        <v>无</v>
      </c>
      <c r="I1529" s="1" t="str">
        <f>"202109-202506 池州学院大数据与人工智能学院网络工程专业 就读 全日制学历
202506-至今 安徽省界首市 待业"</f>
        <v>202109-202506 池州学院大数据与人工智能学院网络工程专业 就读 全日制学历
202506-至今 安徽省界首市 待业</v>
      </c>
    </row>
    <row r="1530" spans="1:9">
      <c r="A1530" s="1" t="str">
        <f>"411327200306160024"</f>
        <v>411327200306160024</v>
      </c>
      <c r="B1530" s="1" t="str">
        <f>"共青团员"</f>
        <v>共青团员</v>
      </c>
      <c r="C1530" s="1" t="str">
        <f t="shared" ref="C1530:C1532" si="762">"专科"</f>
        <v>专科</v>
      </c>
      <c r="D1530" s="1" t="str">
        <f>"20240701"</f>
        <v>20240701</v>
      </c>
      <c r="E1530" s="1" t="str">
        <f>"河南牧业经济学院"</f>
        <v>河南牧业经济学院</v>
      </c>
      <c r="F1530" s="1" t="str">
        <f>"大数据技术"</f>
        <v>大数据技术</v>
      </c>
      <c r="G1530" s="1" t="str">
        <f>"河南省南阳市内乡县"</f>
        <v>河南省南阳市内乡县</v>
      </c>
      <c r="H1530" s="1" t="str">
        <f>"普通话二级甲等证书，英语四级证书"</f>
        <v>普通话二级甲等证书，英语四级证书</v>
      </c>
      <c r="I1530" s="1" t="str">
        <f>"202109-202407在河南牧业经济学院就读
毕业后一直待业未稳定就业"</f>
        <v>202109-202407在河南牧业经济学院就读
毕业后一直待业未稳定就业</v>
      </c>
    </row>
    <row r="1531" spans="1:9">
      <c r="A1531" s="1" t="str">
        <f>"51132119920505584X"</f>
        <v>51132119920505584X</v>
      </c>
      <c r="B1531" s="1" t="str">
        <f t="shared" ref="B1531:B1536" si="763">"群众"</f>
        <v>群众</v>
      </c>
      <c r="C1531" s="1" t="str">
        <f t="shared" si="762"/>
        <v>专科</v>
      </c>
      <c r="D1531" s="1" t="str">
        <f>"20100907"</f>
        <v>20100907</v>
      </c>
      <c r="E1531" s="1" t="str">
        <f>"成都职业技术学院"</f>
        <v>成都职业技术学院</v>
      </c>
      <c r="F1531" s="1" t="str">
        <f>"会计电算化"</f>
        <v>会计电算化</v>
      </c>
      <c r="G1531" s="1" t="str">
        <f>"邓州市白牛镇"</f>
        <v>邓州市白牛镇</v>
      </c>
      <c r="H1531" s="1" t="str">
        <f>"会计从业资格证"</f>
        <v>会计从业资格证</v>
      </c>
      <c r="I1531" s="1" t="str">
        <f>"2020-2025年，邓州市范仲淹公学，教师岗"</f>
        <v>2020-2025年，邓州市范仲淹公学，教师岗</v>
      </c>
    </row>
    <row r="1532" spans="1:9">
      <c r="A1532" s="1" t="str">
        <f>"411327199403290044"</f>
        <v>411327199403290044</v>
      </c>
      <c r="B1532" s="1" t="str">
        <f t="shared" si="763"/>
        <v>群众</v>
      </c>
      <c r="C1532" s="1" t="str">
        <f t="shared" si="762"/>
        <v>专科</v>
      </c>
      <c r="D1532" s="1" t="str">
        <f>"20140701"</f>
        <v>20140701</v>
      </c>
      <c r="E1532" s="1" t="str">
        <f>"新疆工程学院"</f>
        <v>新疆工程学院</v>
      </c>
      <c r="F1532" s="1" t="str">
        <f>"市场营销"</f>
        <v>市场营销</v>
      </c>
      <c r="G1532" s="1" t="str">
        <f>"河南省内乡县城关镇罗岗组"</f>
        <v>河南省内乡县城关镇罗岗组</v>
      </c>
      <c r="H1532" s="1" t="str">
        <f>"初级会计"</f>
        <v>初级会计</v>
      </c>
      <c r="I1532" s="1" t="str">
        <f>"201109-201407  新疆工程学院  市场营销  全日制
201401-201403  深圳市佳捷现代物流昌吉办事处  分部财务（实习）
201407-201503  淘宝网点华扬玉器  电商客服
201504-201506  太仓市同维电子有限公司  生产员工
201507-201602  南阳内乡  待业
201603-202503  内乡宝天曼水泥有限公司  财务人员
202504-至今       南阳内乡  待业"</f>
        <v>201109-201407  新疆工程学院  市场营销  全日制
201401-201403  深圳市佳捷现代物流昌吉办事处  分部财务（实习）
201407-201503  淘宝网点华扬玉器  电商客服
201504-201506  太仓市同维电子有限公司  生产员工
201507-201602  南阳内乡  待业
201603-202503  内乡宝天曼水泥有限公司  财务人员
202504-至今       南阳内乡  待业</v>
      </c>
    </row>
    <row r="1533" spans="1:9">
      <c r="A1533" s="1" t="str">
        <f>"411327200110211547"</f>
        <v>411327200110211547</v>
      </c>
      <c r="B1533" s="1" t="str">
        <f>"中共党员"</f>
        <v>中共党员</v>
      </c>
      <c r="C1533" s="1" t="str">
        <f t="shared" ref="C1533:C1546" si="764">"本科"</f>
        <v>本科</v>
      </c>
      <c r="D1533" s="1" t="str">
        <f>"20230701"</f>
        <v>20230701</v>
      </c>
      <c r="E1533" s="1" t="str">
        <f>"中原工学院"</f>
        <v>中原工学院</v>
      </c>
      <c r="F1533" s="1" t="str">
        <f>"网络与新媒体"</f>
        <v>网络与新媒体</v>
      </c>
      <c r="G1533" s="1" t="str">
        <f>"河南省南阳市内乡县湍东镇永发路现代物流"</f>
        <v>河南省南阳市内乡县湍东镇永发路现代物流</v>
      </c>
      <c r="H1533" s="1" t="str">
        <f t="shared" ref="H1533:H1539" si="765">"无"</f>
        <v>无</v>
      </c>
      <c r="I1533" s="1" t="str">
        <f>"201909-202307 中原工学院新闻与传播学院网络与新媒体专业就读，是全日制学历。"</f>
        <v>201909-202307 中原工学院新闻与传播学院网络与新媒体专业就读，是全日制学历。</v>
      </c>
    </row>
    <row r="1534" spans="1:9">
      <c r="A1534" s="1" t="str">
        <f>"411327200101273519"</f>
        <v>411327200101273519</v>
      </c>
      <c r="B1534" s="1" t="str">
        <f t="shared" ref="B1534:B1539" si="766">"共青团员"</f>
        <v>共青团员</v>
      </c>
      <c r="C1534" s="1" t="str">
        <f t="shared" si="764"/>
        <v>本科</v>
      </c>
      <c r="D1534" s="1" t="str">
        <f>"20210701"</f>
        <v>20210701</v>
      </c>
      <c r="E1534" s="1" t="str">
        <f>"河南师范大学"</f>
        <v>河南师范大学</v>
      </c>
      <c r="F1534" s="1" t="str">
        <f>"生态学"</f>
        <v>生态学</v>
      </c>
      <c r="G1534" s="1" t="str">
        <f>"河南省南阳市内乡县"</f>
        <v>河南省南阳市内乡县</v>
      </c>
      <c r="H1534" s="1" t="str">
        <f t="shared" si="765"/>
        <v>无</v>
      </c>
      <c r="I1534" s="1" t="str">
        <f>"201709-202106 河南师范大学生命科学学院生态学专业就读，全日制学历；202108-202407内乡郦都学校就职；202408-202507内乡菊潭学校就职"</f>
        <v>201709-202106 河南师范大学生命科学学院生态学专业就读，全日制学历；202108-202407内乡郦都学校就职；202408-202507内乡菊潭学校就职</v>
      </c>
    </row>
    <row r="1535" spans="1:9">
      <c r="A1535" s="1" t="str">
        <f>"411327200307310020"</f>
        <v>411327200307310020</v>
      </c>
      <c r="B1535" s="1" t="str">
        <f>"中共预备党员"</f>
        <v>中共预备党员</v>
      </c>
      <c r="C1535" s="1" t="str">
        <f t="shared" si="764"/>
        <v>本科</v>
      </c>
      <c r="D1535" s="1" t="str">
        <f>"20250701"</f>
        <v>20250701</v>
      </c>
      <c r="E1535" s="1" t="str">
        <f>"新乡学院"</f>
        <v>新乡学院</v>
      </c>
      <c r="F1535" s="1" t="str">
        <f>"会计学"</f>
        <v>会计学</v>
      </c>
      <c r="G1535" s="1" t="str">
        <f>"河南省南阳市内乡县城关镇宏达路"</f>
        <v>河南省南阳市内乡县城关镇宏达路</v>
      </c>
      <c r="H1535" s="1" t="str">
        <f>"初级会计证书"</f>
        <v>初级会计证书</v>
      </c>
      <c r="I1535" s="1" t="str">
        <f>"202109-202507 新乡学院商学院会计学专业就读，全日制学历。"</f>
        <v>202109-202507 新乡学院商学院会计学专业就读，全日制学历。</v>
      </c>
    </row>
    <row r="1536" spans="1:9">
      <c r="A1536" s="1" t="str">
        <f>"411326200207013620"</f>
        <v>411326200207013620</v>
      </c>
      <c r="B1536" s="1" t="str">
        <f t="shared" si="763"/>
        <v>群众</v>
      </c>
      <c r="C1536" s="1" t="str">
        <f t="shared" si="764"/>
        <v>本科</v>
      </c>
      <c r="D1536" s="1" t="str">
        <f>"20250607"</f>
        <v>20250607</v>
      </c>
      <c r="E1536" s="1" t="str">
        <f>"郑州商学院"</f>
        <v>郑州商学院</v>
      </c>
      <c r="F1536" s="1" t="str">
        <f>"环境设计"</f>
        <v>环境设计</v>
      </c>
      <c r="G1536" s="1" t="str">
        <f>"河南省南阳市南召县伏山路伏金山商住小区"</f>
        <v>河南省南阳市南召县伏山路伏金山商住小区</v>
      </c>
      <c r="H1536" s="1" t="str">
        <f t="shared" si="765"/>
        <v>无</v>
      </c>
      <c r="I1536" s="1" t="str">
        <f>"202109-202506 郑州商学院 艺术学院环境设计专业就读 全日制 本科"</f>
        <v>202109-202506 郑州商学院 艺术学院环境设计专业就读 全日制 本科</v>
      </c>
    </row>
    <row r="1537" spans="1:9">
      <c r="A1537" s="1" t="str">
        <f>"411303199906220020"</f>
        <v>411303199906220020</v>
      </c>
      <c r="B1537" s="1" t="str">
        <f t="shared" si="766"/>
        <v>共青团员</v>
      </c>
      <c r="C1537" s="1" t="str">
        <f t="shared" si="764"/>
        <v>本科</v>
      </c>
      <c r="D1537" s="1" t="str">
        <f>"20210630"</f>
        <v>20210630</v>
      </c>
      <c r="E1537" s="1" t="str">
        <f>"南京艺术学院"</f>
        <v>南京艺术学院</v>
      </c>
      <c r="F1537" s="1" t="str">
        <f>"公共事业管理"</f>
        <v>公共事业管理</v>
      </c>
      <c r="G1537" s="1" t="str">
        <f>"河南省南阳市卧龙区七一路182号"</f>
        <v>河南省南阳市卧龙区七一路182号</v>
      </c>
      <c r="H1537" s="1" t="str">
        <f t="shared" si="765"/>
        <v>无</v>
      </c>
      <c r="I1537" s="1" t="str">
        <f>"201709-202106 南京艺术学院文化产业学院公共事业管理专业就读 全日制本科；
202107-202209 河南省南阳市卧龙区待业；
202209-202406 澳门科技大学人文艺术学院美术学硕士就读 全日制硕士研究生；
202407-202507 河南省南阳市卧龙区待业。"</f>
        <v>201709-202106 南京艺术学院文化产业学院公共事业管理专业就读 全日制本科；
202107-202209 河南省南阳市卧龙区待业；
202209-202406 澳门科技大学人文艺术学院美术学硕士就读 全日制硕士研究生；
202407-202507 河南省南阳市卧龙区待业。</v>
      </c>
    </row>
    <row r="1538" spans="1:9">
      <c r="A1538" s="1" t="str">
        <f>"410923200012243613"</f>
        <v>410923200012243613</v>
      </c>
      <c r="B1538" s="1" t="str">
        <f t="shared" ref="B1538:B1543" si="767">"群众"</f>
        <v>群众</v>
      </c>
      <c r="C1538" s="1" t="str">
        <f t="shared" si="764"/>
        <v>本科</v>
      </c>
      <c r="D1538" s="1" t="str">
        <f>"20230701"</f>
        <v>20230701</v>
      </c>
      <c r="E1538" s="1" t="str">
        <f>"河南科技职业大学"</f>
        <v>河南科技职业大学</v>
      </c>
      <c r="F1538" s="1" t="str">
        <f>"土木工程"</f>
        <v>土木工程</v>
      </c>
      <c r="G1538" s="1" t="str">
        <f>"河南省南乐县杏园村"</f>
        <v>河南省南乐县杏园村</v>
      </c>
      <c r="H1538" s="1" t="str">
        <f t="shared" si="765"/>
        <v>无</v>
      </c>
      <c r="I1538" s="1" t="str">
        <f>"201909-202307  河南科技职业大学土木工程专业就读，全日制学历。
202307–至今  待业。"</f>
        <v>201909-202307  河南科技职业大学土木工程专业就读，全日制学历。
202307–至今  待业。</v>
      </c>
    </row>
    <row r="1539" spans="1:9">
      <c r="A1539" s="1" t="str">
        <f>"411324200009012819"</f>
        <v>411324200009012819</v>
      </c>
      <c r="B1539" s="1" t="str">
        <f t="shared" si="766"/>
        <v>共青团员</v>
      </c>
      <c r="C1539" s="1" t="str">
        <f t="shared" si="764"/>
        <v>本科</v>
      </c>
      <c r="D1539" s="1" t="str">
        <f>"20230701"</f>
        <v>20230701</v>
      </c>
      <c r="E1539" s="1" t="str">
        <f>"郑州商学院"</f>
        <v>郑州商学院</v>
      </c>
      <c r="F1539" s="1" t="str">
        <f>"工程管理"</f>
        <v>工程管理</v>
      </c>
      <c r="G1539" s="1" t="str">
        <f>"河南省南阳市镇平县雪枫街道新城广场小区"</f>
        <v>河南省南阳市镇平县雪枫街道新城广场小区</v>
      </c>
      <c r="H1539" s="1" t="str">
        <f t="shared" si="765"/>
        <v>无</v>
      </c>
      <c r="I1539" s="1" t="str">
        <f>"201809-202107 在郑州工业安全职业学院资源与环境工程系道路桥梁工程技术专业就读，为全日制学历；
202109-202307 在郑州商学院建筑工程学院工程管理专业就读，为全日制学历；
202307-今 在中核华泰建设有限公司工作"</f>
        <v>201809-202107 在郑州工业安全职业学院资源与环境工程系道路桥梁工程技术专业就读，为全日制学历；
202109-202307 在郑州商学院建筑工程学院工程管理专业就读，为全日制学历；
202307-今 在中核华泰建设有限公司工作</v>
      </c>
    </row>
    <row r="1540" spans="1:9">
      <c r="A1540" s="1" t="str">
        <f>"410611200308047513"</f>
        <v>410611200308047513</v>
      </c>
      <c r="B1540" s="1" t="str">
        <f t="shared" si="767"/>
        <v>群众</v>
      </c>
      <c r="C1540" s="1" t="str">
        <f t="shared" si="764"/>
        <v>本科</v>
      </c>
      <c r="D1540" s="1" t="str">
        <f>"20250701"</f>
        <v>20250701</v>
      </c>
      <c r="E1540" s="1" t="str">
        <f>"信阳师范大学"</f>
        <v>信阳师范大学</v>
      </c>
      <c r="F1540" s="1" t="str">
        <f>"国际经济与贸易"</f>
        <v>国际经济与贸易</v>
      </c>
      <c r="G1540" s="1" t="str">
        <f>"河南省鹤壁市淇滨区鹤鸣花园四号楼"</f>
        <v>河南省鹤壁市淇滨区鹤鸣花园四号楼</v>
      </c>
      <c r="H1540" s="1" t="str">
        <f>"初级会计资格证"</f>
        <v>初级会计资格证</v>
      </c>
      <c r="I1540" s="1" t="str">
        <f>"202109-202507 信阳师范大学商学院国际经济与贸易本科班全日制 就读"</f>
        <v>202109-202507 信阳师范大学商学院国际经济与贸易本科班全日制 就读</v>
      </c>
    </row>
    <row r="1541" spans="1:9">
      <c r="A1541" s="1" t="str">
        <f>"411327200110162183"</f>
        <v>411327200110162183</v>
      </c>
      <c r="B1541" s="1" t="str">
        <f>"共青团员"</f>
        <v>共青团员</v>
      </c>
      <c r="C1541" s="1" t="str">
        <f t="shared" si="764"/>
        <v>本科</v>
      </c>
      <c r="D1541" s="1" t="str">
        <f>"20240701"</f>
        <v>20240701</v>
      </c>
      <c r="E1541" s="1" t="str">
        <f>"商丘师范学院"</f>
        <v>商丘师范学院</v>
      </c>
      <c r="F1541" s="1" t="str">
        <f>"历史学"</f>
        <v>历史学</v>
      </c>
      <c r="G1541" s="1" t="str">
        <f>"河南省南阳市内乡县师岗镇东坪村"</f>
        <v>河南省南阳市内乡县师岗镇东坪村</v>
      </c>
      <c r="H1541" s="1" t="str">
        <f t="shared" ref="H1541:H1545" si="768">"无"</f>
        <v>无</v>
      </c>
      <c r="I1541" s="1" t="str">
        <f>"202009-202407于商丘师范学院学校就读
202407至今在家待业"</f>
        <v>202009-202407于商丘师范学院学校就读
202407至今在家待业</v>
      </c>
    </row>
    <row r="1542" spans="1:9">
      <c r="A1542" s="1" t="str">
        <f>"410326199101200050"</f>
        <v>410326199101200050</v>
      </c>
      <c r="B1542" s="1" t="str">
        <f>"中共预备党员"</f>
        <v>中共预备党员</v>
      </c>
      <c r="C1542" s="1" t="str">
        <f t="shared" si="764"/>
        <v>本科</v>
      </c>
      <c r="D1542" s="1" t="str">
        <f>"20160701"</f>
        <v>20160701</v>
      </c>
      <c r="E1542" s="1" t="str">
        <f>"河南科技大学"</f>
        <v>河南科技大学</v>
      </c>
      <c r="F1542" s="1" t="str">
        <f>"园林"</f>
        <v>园林</v>
      </c>
      <c r="G1542" s="1" t="str">
        <f>"河南省洛阳市汝阳县城关镇郜园新村"</f>
        <v>河南省洛阳市汝阳县城关镇郜园新村</v>
      </c>
      <c r="H1542" s="1" t="str">
        <f t="shared" si="768"/>
        <v>无</v>
      </c>
      <c r="I1542" s="1" t="str">
        <f>"2012年9月—2016年7月  在洛阳市河南科技大学林学院园林专业就读是全日制学历
2016年8月—2018年2月  在河南芳园绿化发展观有限公司任景观绿化施工员
2018年3月—2020年6月  在杭州市杭州风尚景观工程有限公司任景观设计师助理
2020年7月—2022年11月 在洛阳市立创园林绿化工程有限公司任景观绿化施工员
2022年12月—至今 在玉瑶文化传媒任主播"</f>
        <v>2012年9月—2016年7月  在洛阳市河南科技大学林学院园林专业就读是全日制学历
2016年8月—2018年2月  在河南芳园绿化发展观有限公司任景观绿化施工员
2018年3月—2020年6月  在杭州市杭州风尚景观工程有限公司任景观设计师助理
2020年7月—2022年11月 在洛阳市立创园林绿化工程有限公司任景观绿化施工员
2022年12月—至今 在玉瑶文化传媒任主播</v>
      </c>
    </row>
    <row r="1543" spans="1:9">
      <c r="A1543" s="1" t="str">
        <f>"410223200104030035"</f>
        <v>410223200104030035</v>
      </c>
      <c r="B1543" s="1" t="str">
        <f t="shared" si="767"/>
        <v>群众</v>
      </c>
      <c r="C1543" s="1" t="str">
        <f t="shared" si="764"/>
        <v>本科</v>
      </c>
      <c r="D1543" s="1" t="str">
        <f>"20250630"</f>
        <v>20250630</v>
      </c>
      <c r="E1543" s="1" t="str">
        <f>"安阳工学院"</f>
        <v>安阳工学院</v>
      </c>
      <c r="F1543" s="1" t="str">
        <f>"城乡规划"</f>
        <v>城乡规划</v>
      </c>
      <c r="G1543" s="1" t="str">
        <f>"河南省尉氏县世纪第一城"</f>
        <v>河南省尉氏县世纪第一城</v>
      </c>
      <c r="H1543" s="1" t="str">
        <f t="shared" si="768"/>
        <v>无</v>
      </c>
      <c r="I1543" s="1" t="str">
        <f>"202009-202506  安阳工学院 土建与交通工程学院 城乡规划专业 就读
全日制学历"</f>
        <v>202009-202506  安阳工学院 土建与交通工程学院 城乡规划专业 就读
全日制学历</v>
      </c>
    </row>
    <row r="1544" spans="1:9">
      <c r="A1544" s="1" t="str">
        <f>"411323199404260044"</f>
        <v>411323199404260044</v>
      </c>
      <c r="B1544" s="1" t="str">
        <f>"中共党员"</f>
        <v>中共党员</v>
      </c>
      <c r="C1544" s="1" t="str">
        <f t="shared" si="764"/>
        <v>本科</v>
      </c>
      <c r="D1544" s="1" t="str">
        <f>"20170701"</f>
        <v>20170701</v>
      </c>
      <c r="E1544" s="1" t="str">
        <f>"黄淮学院"</f>
        <v>黄淮学院</v>
      </c>
      <c r="F1544" s="1" t="str">
        <f>"劳动与社会保障"</f>
        <v>劳动与社会保障</v>
      </c>
      <c r="G1544" s="1" t="str">
        <f>"河南省南阳市淅川县龙城街道小街社区"</f>
        <v>河南省南阳市淅川县龙城街道小街社区</v>
      </c>
      <c r="H1544" s="1" t="str">
        <f t="shared" si="768"/>
        <v>无</v>
      </c>
      <c r="I1544" s="1" t="str">
        <f>"2010.9至2013.9河南省南阳市淅川县一高
2013.9至2017.7黄淮学院大学本科
2017.7至2018.9河南省南阳市淅川县 待业
2018.9至2022.1河南省南阳市淅川县妇联工作(非在编)
2022.1至今河南省南阳市淅川县 待业"</f>
        <v>2010.9至2013.9河南省南阳市淅川县一高
2013.9至2017.7黄淮学院大学本科
2017.7至2018.9河南省南阳市淅川县 待业
2018.9至2022.1河南省南阳市淅川县妇联工作(非在编)
2022.1至今河南省南阳市淅川县 待业</v>
      </c>
    </row>
    <row r="1545" spans="1:9">
      <c r="A1545" s="1" t="str">
        <f>"411327199907030043"</f>
        <v>411327199907030043</v>
      </c>
      <c r="B1545" s="1" t="str">
        <f>"共青团员"</f>
        <v>共青团员</v>
      </c>
      <c r="C1545" s="1" t="str">
        <f t="shared" si="764"/>
        <v>本科</v>
      </c>
      <c r="D1545" s="1" t="str">
        <f>"20210701"</f>
        <v>20210701</v>
      </c>
      <c r="E1545" s="1" t="str">
        <f>"信阳师范学院"</f>
        <v>信阳师范学院</v>
      </c>
      <c r="F1545" s="1" t="str">
        <f>"旅游管理"</f>
        <v>旅游管理</v>
      </c>
      <c r="G1545" s="1" t="str">
        <f>"内乡县范蠡大街45号附4号"</f>
        <v>内乡县范蠡大街45号附4号</v>
      </c>
      <c r="H1545" s="1" t="str">
        <f t="shared" si="768"/>
        <v>无</v>
      </c>
      <c r="I1545" s="1" t="str">
        <f>"201709-202107信阳师范学院旅游管理专业就读
202109-202201 内乡二小代课
202202-202204 待业
202205-至今     内乡郦都学校"</f>
        <v>201709-202107信阳师范学院旅游管理专业就读
202109-202201 内乡二小代课
202202-202204 待业
202205-至今     内乡郦都学校</v>
      </c>
    </row>
    <row r="1546" spans="1:9">
      <c r="A1546" s="1" t="str">
        <f>"411327200109121528"</f>
        <v>411327200109121528</v>
      </c>
      <c r="B1546" s="1" t="str">
        <f t="shared" ref="B1546:B1548" si="769">"群众"</f>
        <v>群众</v>
      </c>
      <c r="C1546" s="1" t="str">
        <f t="shared" si="764"/>
        <v>本科</v>
      </c>
      <c r="D1546" s="1" t="str">
        <f>"20250620"</f>
        <v>20250620</v>
      </c>
      <c r="E1546" s="1" t="str">
        <f>"郑州科技学院"</f>
        <v>郑州科技学院</v>
      </c>
      <c r="F1546" s="1" t="str">
        <f>"财务管理"</f>
        <v>财务管理</v>
      </c>
      <c r="G1546" s="1" t="str">
        <f>"河南省南阳市内乡县湍东镇"</f>
        <v>河南省南阳市内乡县湍东镇</v>
      </c>
      <c r="H1546" s="1" t="str">
        <f>"初级会计专业技术资格证书"</f>
        <v>初级会计专业技术资格证书</v>
      </c>
      <c r="I1546" s="1" t="str">
        <f>"202009-202306焦作大学就读财务管理专业，是全日制学历
202309-202506郑州科技学院就读财务管理专业，是全日制学历"</f>
        <v>202009-202306焦作大学就读财务管理专业，是全日制学历
202309-202506郑州科技学院就读财务管理专业，是全日制学历</v>
      </c>
    </row>
    <row r="1547" spans="1:9">
      <c r="A1547" s="1" t="str">
        <f>"41132719970113252X"</f>
        <v>41132719970113252X</v>
      </c>
      <c r="B1547" s="1" t="str">
        <f t="shared" si="769"/>
        <v>群众</v>
      </c>
      <c r="C1547" s="1" t="str">
        <f t="shared" ref="C1547:C1550" si="770">"专科"</f>
        <v>专科</v>
      </c>
      <c r="D1547" s="1" t="str">
        <f>"20140702"</f>
        <v>20140702</v>
      </c>
      <c r="E1547" s="1" t="str">
        <f>"南阳幼儿师范学校"</f>
        <v>南阳幼儿师范学校</v>
      </c>
      <c r="F1547" s="1" t="str">
        <f>"学前教育"</f>
        <v>学前教育</v>
      </c>
      <c r="G1547" s="1" t="str">
        <f>"南阳市内乡县实验初中"</f>
        <v>南阳市内乡县实验初中</v>
      </c>
      <c r="H1547" s="1" t="str">
        <f t="shared" ref="H1547:H1552" si="771">"无"</f>
        <v>无</v>
      </c>
      <c r="I1547" s="1" t="str">
        <f>"20110902-20140702在南阳幼儿师范学校就读  全日制。         
20140902-20190305在内乡星博幼儿园就业                                                "</f>
        <v>20110902-20140702在南阳幼儿师范学校就读  全日制。         
20140902-20190305在内乡星博幼儿园就业                                                </v>
      </c>
    </row>
    <row r="1548" spans="1:9">
      <c r="A1548" s="1" t="str">
        <f>"411330200407112978"</f>
        <v>411330200407112978</v>
      </c>
      <c r="B1548" s="1" t="str">
        <f t="shared" si="769"/>
        <v>群众</v>
      </c>
      <c r="C1548" s="1" t="str">
        <f t="shared" si="770"/>
        <v>专科</v>
      </c>
      <c r="D1548" s="1" t="str">
        <f>"20250625"</f>
        <v>20250625</v>
      </c>
      <c r="E1548" s="1" t="str">
        <f>"河南职业技术学院"</f>
        <v>河南职业技术学院</v>
      </c>
      <c r="F1548" s="1" t="str">
        <f>"电子信息工程技术（中外联办 ）"</f>
        <v>电子信息工程技术（中外联办 ）</v>
      </c>
      <c r="G1548" s="1" t="str">
        <f>"河南省南阳市西峡县鸿富康花园"</f>
        <v>河南省南阳市西峡县鸿富康花园</v>
      </c>
      <c r="H1548" s="1" t="str">
        <f>"家用电子产品维修工（三级/高级工）"</f>
        <v>家用电子产品维修工（三级/高级工）</v>
      </c>
      <c r="I1548" s="1" t="str">
        <f>"20220910-20250625 河南职业技术学院就读，2022年疫情期间在校担任十五日左右志愿者，校内多项任职，班级心理委员，校广播站新生指导，就业中心助理等，荣获多项省级大学生比赛奖项，如2022挑战杯一项省银，2024挑战杯三项省银，2025年河南省优秀大中专毕业生。"</f>
        <v>20220910-20250625 河南职业技术学院就读，2022年疫情期间在校担任十五日左右志愿者，校内多项任职，班级心理委员，校广播站新生指导，就业中心助理等，荣获多项省级大学生比赛奖项，如2022挑战杯一项省银，2024挑战杯三项省银，2025年河南省优秀大中专毕业生。</v>
      </c>
    </row>
    <row r="1549" spans="1:9">
      <c r="A1549" s="1" t="str">
        <f>"410183200305084321"</f>
        <v>410183200305084321</v>
      </c>
      <c r="B1549" s="1" t="str">
        <f t="shared" ref="B1549:B1554" si="772">"中共党员"</f>
        <v>中共党员</v>
      </c>
      <c r="C1549" s="1" t="str">
        <f t="shared" ref="C1549:C1557" si="773">"本科"</f>
        <v>本科</v>
      </c>
      <c r="D1549" s="1" t="str">
        <f>"20250622"</f>
        <v>20250622</v>
      </c>
      <c r="E1549" s="1" t="str">
        <f>"陕西师范大学"</f>
        <v>陕西师范大学</v>
      </c>
      <c r="F1549" s="1" t="str">
        <f>"秘书学"</f>
        <v>秘书学</v>
      </c>
      <c r="G1549" s="1" t="str">
        <f>"河南省南阳市卧龙区车站街道纺织站家属院"</f>
        <v>河南省南阳市卧龙区车站街道纺织站家属院</v>
      </c>
      <c r="H1549" s="1" t="str">
        <f t="shared" si="771"/>
        <v>无</v>
      </c>
      <c r="I1549" s="1" t="str">
        <f>"2021年8月-2022年6月，陕西师范大学教育学部教育学类专业就读，全日制学历；
2022年6月-2025年6月，转专业至陕西师范大学文学院秘书学专业就读，全日制学历"</f>
        <v>2021年8月-2022年6月，陕西师范大学教育学部教育学类专业就读，全日制学历；
2022年6月-2025年6月，转专业至陕西师范大学文学院秘书学专业就读，全日制学历</v>
      </c>
    </row>
    <row r="1550" spans="1:9">
      <c r="A1550" s="1" t="str">
        <f>"411327200003244933"</f>
        <v>411327200003244933</v>
      </c>
      <c r="B1550" s="1" t="str">
        <f t="shared" ref="B1550:B1552" si="774">"群众"</f>
        <v>群众</v>
      </c>
      <c r="C1550" s="1" t="str">
        <f t="shared" si="770"/>
        <v>专科</v>
      </c>
      <c r="D1550" s="1" t="str">
        <f>"2021年7月1号"</f>
        <v>2021年7月1号</v>
      </c>
      <c r="E1550" s="1" t="str">
        <f>"信阳职业技术学院"</f>
        <v>信阳职业技术学院</v>
      </c>
      <c r="F1550" s="1" t="str">
        <f>"投资与理财"</f>
        <v>投资与理财</v>
      </c>
      <c r="G1550" s="1" t="str">
        <f>"河南省南阳市内乡县灌涨镇幸福花园小区"</f>
        <v>河南省南阳市内乡县灌涨镇幸福花园小区</v>
      </c>
      <c r="H1550" s="1" t="str">
        <f t="shared" si="771"/>
        <v>无</v>
      </c>
      <c r="I1550" s="1" t="str">
        <f>"201809-202107在信阳职业技术学院商学院就读投资与理财专业 全日制学历 202107到202309在长沙戴德梁行上班职位是监控专员202310-至今在家待业"</f>
        <v>201809-202107在信阳职业技术学院商学院就读投资与理财专业 全日制学历 202107到202309在长沙戴德梁行上班职位是监控专员202310-至今在家待业</v>
      </c>
    </row>
    <row r="1551" spans="1:9">
      <c r="A1551" s="1" t="str">
        <f>"411326200011200424"</f>
        <v>411326200011200424</v>
      </c>
      <c r="B1551" s="1" t="str">
        <f t="shared" si="774"/>
        <v>群众</v>
      </c>
      <c r="C1551" s="1" t="str">
        <f t="shared" si="773"/>
        <v>本科</v>
      </c>
      <c r="D1551" s="1" t="str">
        <f>"2023-07-01"</f>
        <v>2023-07-01</v>
      </c>
      <c r="E1551" s="1" t="str">
        <f>"洛阳师范学院"</f>
        <v>洛阳师范学院</v>
      </c>
      <c r="F1551" s="1" t="str">
        <f>"视觉传达设计"</f>
        <v>视觉传达设计</v>
      </c>
      <c r="G1551" s="1" t="str">
        <f>"河南省南阳市南召县城郊乡秦老庄村老窝组"</f>
        <v>河南省南阳市南召县城郊乡秦老庄村老窝组</v>
      </c>
      <c r="H1551" s="1" t="str">
        <f t="shared" si="771"/>
        <v>无</v>
      </c>
      <c r="I1551" s="1" t="str">
        <f>"2007.9—2010.7白土岗镇付庄学校
2010.9—2011.1南阳市兴宛学校
2011.1—2013.7 城关一小
2013.9—2016.7 城关二初中
2016.9—2019.7 南召现代中学
2019.9—2023.7 洛阳师范学院
2023.7—至今 待业"</f>
        <v>2007.9—2010.7白土岗镇付庄学校
2010.9—2011.1南阳市兴宛学校
2011.1—2013.7 城关一小
2013.9—2016.7 城关二初中
2016.9—2019.7 南召现代中学
2019.9—2023.7 洛阳师范学院
2023.7—至今 待业</v>
      </c>
    </row>
    <row r="1552" spans="1:9">
      <c r="A1552" s="1" t="str">
        <f>"411327199010020393"</f>
        <v>411327199010020393</v>
      </c>
      <c r="B1552" s="1" t="str">
        <f t="shared" si="774"/>
        <v>群众</v>
      </c>
      <c r="C1552" s="1" t="str">
        <f t="shared" si="773"/>
        <v>本科</v>
      </c>
      <c r="D1552" s="1" t="str">
        <f>"20140710"</f>
        <v>20140710</v>
      </c>
      <c r="E1552" s="1" t="str">
        <f>"沈阳化工大学"</f>
        <v>沈阳化工大学</v>
      </c>
      <c r="F1552" s="1" t="str">
        <f>"电气工程及其自动化"</f>
        <v>电气工程及其自动化</v>
      </c>
      <c r="G1552" s="1" t="str">
        <f>"河南省郑州市金水区金融智谷"</f>
        <v>河南省郑州市金水区金融智谷</v>
      </c>
      <c r="H1552" s="1" t="str">
        <f t="shared" si="771"/>
        <v>无</v>
      </c>
      <c r="I1552" s="1" t="str">
        <f>"201009-201407在沈阳化工大学信息工程系电气工程及其自动化专业就读，全日制本科；201407-201512内乡县待业；201512-201902河南正弘物业管理有限公司任维修工；201903-201904郑州市待业；201905-202503河南浩昶企业管理咨询有限公司员工；202504-至今河南人才发展服务有限公司员工"</f>
        <v>201009-201407在沈阳化工大学信息工程系电气工程及其自动化专业就读，全日制本科；201407-201512内乡县待业；201512-201902河南正弘物业管理有限公司任维修工；201903-201904郑州市待业；201905-202503河南浩昶企业管理咨询有限公司员工；202504-至今河南人才发展服务有限公司员工</v>
      </c>
    </row>
    <row r="1553" spans="1:9">
      <c r="A1553" s="1" t="str">
        <f>"41292619930708204X"</f>
        <v>41292619930708204X</v>
      </c>
      <c r="B1553" s="1" t="str">
        <f t="shared" si="772"/>
        <v>中共党员</v>
      </c>
      <c r="C1553" s="1" t="str">
        <f t="shared" si="773"/>
        <v>本科</v>
      </c>
      <c r="D1553" s="1" t="str">
        <f>"2015.06"</f>
        <v>2015.06</v>
      </c>
      <c r="E1553" s="1" t="str">
        <f>"长沙理工大学城南学院"</f>
        <v>长沙理工大学城南学院</v>
      </c>
      <c r="F1553" s="1" t="str">
        <f>"财务管理"</f>
        <v>财务管理</v>
      </c>
      <c r="G1553" s="1" t="str">
        <f>"河南省南阳市内乡县天春苑小区"</f>
        <v>河南省南阳市内乡县天春苑小区</v>
      </c>
      <c r="H1553" s="1" t="str">
        <f>"会计从业资格证"</f>
        <v>会计从业资格证</v>
      </c>
      <c r="I1553" s="1" t="str">
        <f>"2011.9-2015.6长沙理工大学城南学院 经济与管理二系财务管理专业就读，全日制学历；
2015.7-2017.2社旗牧原股份有限公司任会计；
2017.2-2018.9内乡郦都学校任教师；
2018.9至今内乡县第一小学 任教师
"</f>
        <v>2011.9-2015.6长沙理工大学城南学院 经济与管理二系财务管理专业就读，全日制学历；
2015.7-2017.2社旗牧原股份有限公司任会计；
2017.2-2018.9内乡郦都学校任教师；
2018.9至今内乡县第一小学 任教师
</v>
      </c>
    </row>
    <row r="1554" spans="1:9">
      <c r="A1554" s="1" t="str">
        <f>"411326200307070032"</f>
        <v>411326200307070032</v>
      </c>
      <c r="B1554" s="1" t="str">
        <f t="shared" si="772"/>
        <v>中共党员</v>
      </c>
      <c r="C1554" s="1" t="str">
        <f t="shared" si="773"/>
        <v>本科</v>
      </c>
      <c r="D1554" s="1" t="str">
        <f>"2025年7月1日"</f>
        <v>2025年7月1日</v>
      </c>
      <c r="E1554" s="1" t="str">
        <f>"黄河交通学院"</f>
        <v>黄河交通学院</v>
      </c>
      <c r="F1554" s="1" t="str">
        <f>"电气工程及其自动化"</f>
        <v>电气工程及其自动化</v>
      </c>
      <c r="G1554" s="1" t="str">
        <f>"河南省南阳市南召县人民路鑫泰广场四单元1103"</f>
        <v>河南省南阳市南召县人民路鑫泰广场四单元1103</v>
      </c>
      <c r="H1554" s="1" t="str">
        <f>"电工三级证 高压电工证"</f>
        <v>电工三级证 高压电工证</v>
      </c>
      <c r="I1554" s="1" t="str">
        <f>"202109-202507 黄河交通学院就读"</f>
        <v>202109-202507 黄河交通学院就读</v>
      </c>
    </row>
    <row r="1555" spans="1:9">
      <c r="A1555" s="1" t="str">
        <f>"411327200103163145"</f>
        <v>411327200103163145</v>
      </c>
      <c r="B1555" s="1" t="str">
        <f t="shared" ref="B1555:B1558" si="775">"群众"</f>
        <v>群众</v>
      </c>
      <c r="C1555" s="1" t="str">
        <f t="shared" si="773"/>
        <v>本科</v>
      </c>
      <c r="D1555" s="1" t="str">
        <f>"20230701"</f>
        <v>20230701</v>
      </c>
      <c r="E1555" s="1" t="str">
        <f>"信阳学院"</f>
        <v>信阳学院</v>
      </c>
      <c r="F1555" s="1" t="str">
        <f>"音乐学"</f>
        <v>音乐学</v>
      </c>
      <c r="G1555" s="1" t="str">
        <f>"河南省南阳市内乡县夏馆镇"</f>
        <v>河南省南阳市内乡县夏馆镇</v>
      </c>
      <c r="H1555" s="1" t="str">
        <f t="shared" ref="H1555:H1560" si="776">"无"</f>
        <v>无</v>
      </c>
      <c r="I1555" s="1" t="str">
        <f>"无"</f>
        <v>无</v>
      </c>
    </row>
    <row r="1556" spans="1:9">
      <c r="A1556" s="1" t="str">
        <f>"411323199704010063"</f>
        <v>411323199704010063</v>
      </c>
      <c r="B1556" s="1" t="str">
        <f t="shared" si="775"/>
        <v>群众</v>
      </c>
      <c r="C1556" s="1" t="str">
        <f t="shared" si="773"/>
        <v>本科</v>
      </c>
      <c r="D1556" s="1" t="str">
        <f>"2020年7月"</f>
        <v>2020年7月</v>
      </c>
      <c r="E1556" s="1" t="str">
        <f>"郑州升达经贸管理学院"</f>
        <v>郑州升达经贸管理学院</v>
      </c>
      <c r="F1556" s="1" t="str">
        <f>"工商管理"</f>
        <v>工商管理</v>
      </c>
      <c r="G1556" s="1" t="str">
        <f>"淅川县龙城花园1期5号楼1单元201"</f>
        <v>淅川县龙城花园1期5号楼1单元201</v>
      </c>
      <c r="H1556" s="1" t="str">
        <f t="shared" si="776"/>
        <v>无</v>
      </c>
      <c r="I1556" s="1" t="str">
        <f>"2015年9月一2018年7月南阳理工学院经济贸易学院会计专业学生
2018年9月一2020年7月郑州升达经贸管理学院管理学院工商管理专业学生
2020年7月一2022年9月待业
2022年9月一2023年9月内乡县王店镇人民政府试用期职员
2023年9月一至今内乡县王店镇人民政府正式职员"</f>
        <v>2015年9月一2018年7月南阳理工学院经济贸易学院会计专业学生
2018年9月一2020年7月郑州升达经贸管理学院管理学院工商管理专业学生
2020年7月一2022年9月待业
2022年9月一2023年9月内乡县王店镇人民政府试用期职员
2023年9月一至今内乡县王店镇人民政府正式职员</v>
      </c>
    </row>
    <row r="1557" spans="1:9">
      <c r="A1557" s="1" t="str">
        <f>"411324200108182506"</f>
        <v>411324200108182506</v>
      </c>
      <c r="B1557" s="1" t="str">
        <f t="shared" ref="B1557:B1562" si="777">"共青团员"</f>
        <v>共青团员</v>
      </c>
      <c r="C1557" s="1" t="str">
        <f t="shared" si="773"/>
        <v>本科</v>
      </c>
      <c r="D1557" s="1" t="str">
        <f>"20250701"</f>
        <v>20250701</v>
      </c>
      <c r="E1557" s="1" t="str">
        <f>"安阳工学院"</f>
        <v>安阳工学院</v>
      </c>
      <c r="F1557" s="1" t="str">
        <f>"会计"</f>
        <v>会计</v>
      </c>
      <c r="G1557" s="1" t="str">
        <f>"河南省南阳市镇平县高丘镇徐营村徐营7号"</f>
        <v>河南省南阳市镇平县高丘镇徐营村徐营7号</v>
      </c>
      <c r="H1557" s="1" t="str">
        <f>"初级会计资格证"</f>
        <v>初级会计资格证</v>
      </c>
      <c r="I1557" s="1" t="str">
        <f>"202009-202306信阳师范大学会计学专业全日制学历，202309-202506安阳工学院会计学专业全日制学历"</f>
        <v>202009-202306信阳师范大学会计学专业全日制学历，202309-202506安阳工学院会计学专业全日制学历</v>
      </c>
    </row>
    <row r="1558" spans="1:9">
      <c r="A1558" s="1" t="str">
        <f>"411328199810116162"</f>
        <v>411328199810116162</v>
      </c>
      <c r="B1558" s="1" t="str">
        <f t="shared" si="775"/>
        <v>群众</v>
      </c>
      <c r="C1558" s="1" t="str">
        <f>"专科"</f>
        <v>专科</v>
      </c>
      <c r="D1558" s="1" t="str">
        <f>"20180701"</f>
        <v>20180701</v>
      </c>
      <c r="E1558" s="1" t="str">
        <f>"南阳农业职业学院"</f>
        <v>南阳农业职业学院</v>
      </c>
      <c r="F1558" s="1" t="str">
        <f>"会计"</f>
        <v>会计</v>
      </c>
      <c r="G1558" s="1" t="str">
        <f>"河南省南阳市新野县汉城街道百宁街交通面馆"</f>
        <v>河南省南阳市新野县汉城街道百宁街交通面馆</v>
      </c>
      <c r="H1558" s="1" t="str">
        <f>"初级会计职称资格证书"</f>
        <v>初级会计职称资格证书</v>
      </c>
      <c r="I1558" s="1" t="str">
        <f>"201609-201807南阳农业职业学院会计全日制大专就读 
201808-201901在家待业
201902-202002河南华福包装科技有限公司任往来会计
202003-202004在家待业
202005-202208木林软件有限公司任会计助理
202209-202301在家待业
202302-202304新野豫天新能源有限公司任出纳
202103-202307河南科技学院会计学非全本科就读
202305-至今在家待业"</f>
        <v>201609-201807南阳农业职业学院会计全日制大专就读 
201808-201901在家待业
201902-202002河南华福包装科技有限公司任往来会计
202003-202004在家待业
202005-202208木林软件有限公司任会计助理
202209-202301在家待业
202302-202304新野豫天新能源有限公司任出纳
202103-202307河南科技学院会计学非全本科就读
202305-至今在家待业</v>
      </c>
    </row>
    <row r="1559" spans="1:9">
      <c r="A1559" s="1" t="str">
        <f>"411327200002234522"</f>
        <v>411327200002234522</v>
      </c>
      <c r="B1559" s="1" t="str">
        <f t="shared" si="777"/>
        <v>共青团员</v>
      </c>
      <c r="C1559" s="1" t="str">
        <f>"硕士研究生"</f>
        <v>硕士研究生</v>
      </c>
      <c r="D1559" s="1" t="str">
        <f>"20240625"</f>
        <v>20240625</v>
      </c>
      <c r="E1559" s="1" t="str">
        <f>"大连外国语大学"</f>
        <v>大连外国语大学</v>
      </c>
      <c r="F1559" s="1" t="str">
        <f>"德语笔译"</f>
        <v>德语笔译</v>
      </c>
      <c r="G1559" s="1" t="str">
        <f>"河南省南阳市内乡县赵店乡"</f>
        <v>河南省南阳市内乡县赵店乡</v>
      </c>
      <c r="H1559" s="1" t="str">
        <f t="shared" si="776"/>
        <v>无</v>
      </c>
      <c r="I1559" s="1" t="str">
        <f>"201809-202207 郑州商学院 就读 德语 全日制
202209-202406 大连外国语大学 就读 德语笔译 全日制
202202-202507 山东外事职业大学 就业 德语教师"</f>
        <v>201809-202207 郑州商学院 就读 德语 全日制
202209-202406 大连外国语大学 就读 德语笔译 全日制
202202-202507 山东外事职业大学 就业 德语教师</v>
      </c>
    </row>
    <row r="1560" spans="1:9">
      <c r="A1560" s="1" t="str">
        <f>"411082199305201253"</f>
        <v>411082199305201253</v>
      </c>
      <c r="B1560" s="1" t="str">
        <f t="shared" ref="B1560:B1564" si="778">"群众"</f>
        <v>群众</v>
      </c>
      <c r="C1560" s="1" t="str">
        <f t="shared" ref="C1560:C1565" si="779">"本科"</f>
        <v>本科</v>
      </c>
      <c r="D1560" s="1" t="str">
        <f>"20220701"</f>
        <v>20220701</v>
      </c>
      <c r="E1560" s="1" t="str">
        <f>"河南农业大学"</f>
        <v>河南农业大学</v>
      </c>
      <c r="F1560" s="1" t="str">
        <f>"行政管理"</f>
        <v>行政管理</v>
      </c>
      <c r="G1560" s="1" t="str">
        <f>"河南省长葛市金桥路城市花园"</f>
        <v>河南省长葛市金桥路城市花园</v>
      </c>
      <c r="H1560" s="1" t="str">
        <f t="shared" si="776"/>
        <v>无</v>
      </c>
      <c r="I1560" s="1" t="str">
        <f>" 2013.09-2016.07 河南职业技术学院 计算机多媒体技术专业
2020.03-2022.07 河南农业大学 行政管理专业"</f>
        <v> 2013.09-2016.07 河南职业技术学院 计算机多媒体技术专业
2020.03-2022.07 河南农业大学 行政管理专业</v>
      </c>
    </row>
    <row r="1561" spans="1:9">
      <c r="A1561" s="1" t="str">
        <f>"41132720020507002X"</f>
        <v>41132720020507002X</v>
      </c>
      <c r="B1561" s="1" t="str">
        <f t="shared" si="777"/>
        <v>共青团员</v>
      </c>
      <c r="C1561" s="1" t="str">
        <f t="shared" si="779"/>
        <v>本科</v>
      </c>
      <c r="D1561" s="1" t="str">
        <f>"20240607"</f>
        <v>20240607</v>
      </c>
      <c r="E1561" s="1" t="str">
        <f>"信阳农林学院"</f>
        <v>信阳农林学院</v>
      </c>
      <c r="F1561" s="1" t="str">
        <f>"林学"</f>
        <v>林学</v>
      </c>
      <c r="G1561" s="1" t="str">
        <f>"河南省南阳市内乡县城关镇书院村书院南路196号"</f>
        <v>河南省南阳市内乡县城关镇书院村书院南路196号</v>
      </c>
      <c r="H1561" s="1" t="str">
        <f>"林木种苗工  三级/高级工"</f>
        <v>林木种苗工  三级/高级工</v>
      </c>
      <c r="I1561" s="1" t="str">
        <f>"202009-202406于信阳农林学院林学院林学专业就读。是全日制本科学历。202406毕业后在家待业未曾就业"</f>
        <v>202009-202406于信阳农林学院林学院林学专业就读。是全日制本科学历。202406毕业后在家待业未曾就业</v>
      </c>
    </row>
    <row r="1562" spans="1:9">
      <c r="A1562" s="1" t="str">
        <f>"41062220011226702X"</f>
        <v>41062220011226702X</v>
      </c>
      <c r="B1562" s="1" t="str">
        <f t="shared" si="777"/>
        <v>共青团员</v>
      </c>
      <c r="C1562" s="1" t="str">
        <f t="shared" si="779"/>
        <v>本科</v>
      </c>
      <c r="D1562" s="1" t="str">
        <f>"20250630"</f>
        <v>20250630</v>
      </c>
      <c r="E1562" s="1" t="str">
        <f>"安阳工学院"</f>
        <v>安阳工学院</v>
      </c>
      <c r="F1562" s="1" t="str">
        <f>"市场营销"</f>
        <v>市场营销</v>
      </c>
      <c r="G1562" s="1" t="str">
        <f>"河南省鹤壁市淇县新城国际小区"</f>
        <v>河南省鹤壁市淇县新城国际小区</v>
      </c>
      <c r="H1562" s="1" t="str">
        <f t="shared" ref="H1562:H1568" si="780">"无"</f>
        <v>无</v>
      </c>
      <c r="I1562" s="1" t="str">
        <f>"20210901-20250630 安阳工学院就读 商学院市场营销 全日制"</f>
        <v>20210901-20250630 安阳工学院就读 商学院市场营销 全日制</v>
      </c>
    </row>
    <row r="1563" spans="1:9">
      <c r="A1563" s="1" t="str">
        <f>"411327200102040012"</f>
        <v>411327200102040012</v>
      </c>
      <c r="B1563" s="1" t="str">
        <f t="shared" si="778"/>
        <v>群众</v>
      </c>
      <c r="C1563" s="1" t="str">
        <f t="shared" si="779"/>
        <v>本科</v>
      </c>
      <c r="D1563" s="1" t="str">
        <f>"2023.0601"</f>
        <v>2023.0601</v>
      </c>
      <c r="E1563" s="1" t="str">
        <f>"河南财经政法大学"</f>
        <v>河南财经政法大学</v>
      </c>
      <c r="F1563" s="1" t="str">
        <f>"计算机科学与技术"</f>
        <v>计算机科学与技术</v>
      </c>
      <c r="G1563" s="1" t="str">
        <f>"河南省南阳市内乡县天春园小区"</f>
        <v>河南省南阳市内乡县天春园小区</v>
      </c>
      <c r="H1563" s="1" t="str">
        <f>"英语四级"</f>
        <v>英语四级</v>
      </c>
      <c r="I1563" s="1" t="str">
        <f>"20190901-20230901 河南财经政法大学计算机科学与技术专业就读，全日制学历
20230901-今   内乡县菊潭高级中学工作
"</f>
        <v>20190901-20230901 河南财经政法大学计算机科学与技术专业就读，全日制学历
20230901-今   内乡县菊潭高级中学工作
</v>
      </c>
    </row>
    <row r="1564" spans="1:9">
      <c r="A1564" s="1" t="str">
        <f>"411327199611261184"</f>
        <v>411327199611261184</v>
      </c>
      <c r="B1564" s="1" t="str">
        <f t="shared" si="778"/>
        <v>群众</v>
      </c>
      <c r="C1564" s="1" t="str">
        <f t="shared" si="779"/>
        <v>本科</v>
      </c>
      <c r="D1564" s="1" t="str">
        <f>"20190701"</f>
        <v>20190701</v>
      </c>
      <c r="E1564" s="1" t="str">
        <f>"平顶山学院"</f>
        <v>平顶山学院</v>
      </c>
      <c r="F1564" s="1" t="str">
        <f>"护理学"</f>
        <v>护理学</v>
      </c>
      <c r="G1564" s="1" t="str">
        <f>"河南省南阳市内乡县湍东镇建业森林半岛二期20号楼1单元202室"</f>
        <v>河南省南阳市内乡县湍东镇建业森林半岛二期20号楼1单元202室</v>
      </c>
      <c r="H1564" s="1" t="str">
        <f>"护士资格证"</f>
        <v>护士资格证</v>
      </c>
      <c r="I1564" s="1" t="str">
        <f>"2015年9月至2019年7月在平顶山学院，医学院，护理学专业就读，是全日制学历，2019年10月至2019年12月在内乡县第二人民医院从事护士职业，2020年6月至今在内乡县司法局从事司法基层工作。"</f>
        <v>2015年9月至2019年7月在平顶山学院，医学院，护理学专业就读，是全日制学历，2019年10月至2019年12月在内乡县第二人民医院从事护士职业，2020年6月至今在内乡县司法局从事司法基层工作。</v>
      </c>
    </row>
    <row r="1565" spans="1:9">
      <c r="A1565" s="1" t="str">
        <f>"411329200104043121"</f>
        <v>411329200104043121</v>
      </c>
      <c r="B1565" s="1" t="str">
        <f t="shared" ref="B1565:B1570" si="781">"中共党员"</f>
        <v>中共党员</v>
      </c>
      <c r="C1565" s="1" t="str">
        <f t="shared" si="779"/>
        <v>本科</v>
      </c>
      <c r="D1565" s="1" t="str">
        <f>"20230616"</f>
        <v>20230616</v>
      </c>
      <c r="E1565" s="1" t="str">
        <f>"云南大学滇池学院"</f>
        <v>云南大学滇池学院</v>
      </c>
      <c r="F1565" s="1" t="str">
        <f>"汉语言文学"</f>
        <v>汉语言文学</v>
      </c>
      <c r="G1565" s="1" t="str">
        <f>"河南省南阳市宛城区建业凯旋广场十号楼1201"</f>
        <v>河南省南阳市宛城区建业凯旋广场十号楼1201</v>
      </c>
      <c r="H1565" s="1" t="str">
        <f t="shared" si="780"/>
        <v>无</v>
      </c>
      <c r="I1565" s="1" t="str">
        <f>"201909-20230616 云南大学滇池学院就读"</f>
        <v>201909-20230616 云南大学滇池学院就读</v>
      </c>
    </row>
    <row r="1566" spans="1:9">
      <c r="A1566" s="1" t="str">
        <f>"411323199607250057"</f>
        <v>411323199607250057</v>
      </c>
      <c r="B1566" s="1" t="str">
        <f t="shared" ref="B1566:B1569" si="782">"群众"</f>
        <v>群众</v>
      </c>
      <c r="C1566" s="1" t="str">
        <f>"专科"</f>
        <v>专科</v>
      </c>
      <c r="D1566" s="1" t="str">
        <f>"20180701"</f>
        <v>20180701</v>
      </c>
      <c r="E1566" s="1" t="str">
        <f>"焦作大学  "</f>
        <v>焦作大学  </v>
      </c>
      <c r="F1566" s="1" t="str">
        <f>"经济管理"</f>
        <v>经济管理</v>
      </c>
      <c r="G1566" s="1" t="str">
        <f>"河南省南阳市淅川县人民路一初中向东一百米"</f>
        <v>河南省南阳市淅川县人民路一初中向东一百米</v>
      </c>
      <c r="H1566" s="1" t="str">
        <f t="shared" si="780"/>
        <v>无</v>
      </c>
      <c r="I1566" s="1" t="str">
        <f>"201509-201807在焦作大学经管学院经济管理专业就读，是全日制学历
201807-201908在南阳待业
201908-202108在淅川县公安局担任辅警
202108-至今在家待业"</f>
        <v>201509-201807在焦作大学经管学院经济管理专业就读，是全日制学历
201807-201908在南阳待业
201908-202108在淅川县公安局担任辅警
202108-至今在家待业</v>
      </c>
    </row>
    <row r="1567" spans="1:9">
      <c r="A1567" s="1" t="str">
        <f>"411381199607272612"</f>
        <v>411381199607272612</v>
      </c>
      <c r="B1567" s="1" t="str">
        <f t="shared" si="781"/>
        <v>中共党员</v>
      </c>
      <c r="C1567" s="1" t="str">
        <f t="shared" ref="C1567:C1574" si="783">"本科"</f>
        <v>本科</v>
      </c>
      <c r="D1567" s="1" t="str">
        <f>"20220701"</f>
        <v>20220701</v>
      </c>
      <c r="E1567" s="1" t="str">
        <f>"南阳师范学院"</f>
        <v>南阳师范学院</v>
      </c>
      <c r="F1567" s="1" t="str">
        <f>"工商管理"</f>
        <v>工商管理</v>
      </c>
      <c r="G1567" s="1" t="str">
        <f>"河南省邓州市夏集乡程集村老庙"</f>
        <v>河南省邓州市夏集乡程集村老庙</v>
      </c>
      <c r="H1567" s="1" t="str">
        <f t="shared" si="780"/>
        <v>无</v>
      </c>
      <c r="I1567" s="1" t="str">
        <f>"201509-201807  郑州城市职业学院机电一体化技术专业 就读，全日制专科。
201807-201810  在河南省邓州市夏集乡程集村老庙家中待业。
201810-至今  在河南省邓州市古城街道世纪花园社区居委会上班。
202003-202207 南阳师范学院工商管理专业就读，函授本科。"</f>
        <v>201509-201807  郑州城市职业学院机电一体化技术专业 就读，全日制专科。
201807-201810  在河南省邓州市夏集乡程集村老庙家中待业。
201810-至今  在河南省邓州市古城街道世纪花园社区居委会上班。
202003-202207 南阳师范学院工商管理专业就读，函授本科。</v>
      </c>
    </row>
    <row r="1568" spans="1:9">
      <c r="A1568" s="1" t="str">
        <f>"410728199902233033"</f>
        <v>410728199902233033</v>
      </c>
      <c r="B1568" s="1" t="str">
        <f t="shared" si="782"/>
        <v>群众</v>
      </c>
      <c r="C1568" s="1" t="str">
        <f t="shared" si="783"/>
        <v>本科</v>
      </c>
      <c r="D1568" s="1" t="str">
        <f>"20220701"</f>
        <v>20220701</v>
      </c>
      <c r="E1568" s="1" t="str">
        <f>"许昌学院"</f>
        <v>许昌学院</v>
      </c>
      <c r="F1568" s="1" t="str">
        <f>"人力资源管理"</f>
        <v>人力资源管理</v>
      </c>
      <c r="G1568" s="1" t="str">
        <f>"河南省新乡市长垣县南蒲街道单堤村"</f>
        <v>河南省新乡市长垣县南蒲街道单堤村</v>
      </c>
      <c r="H1568" s="1" t="str">
        <f t="shared" si="780"/>
        <v>无</v>
      </c>
      <c r="I1568" s="1" t="str">
        <f>"201809-202207 许昌学院国际教育学院人力资源管理专业全日制就读 
202207-202507 长垣待业
"</f>
        <v>201809-202207 许昌学院国际教育学院人力资源管理专业全日制就读 
202207-202507 长垣待业
</v>
      </c>
    </row>
    <row r="1569" spans="1:9">
      <c r="A1569" s="1" t="str">
        <f>"411327199808030320"</f>
        <v>411327199808030320</v>
      </c>
      <c r="B1569" s="1" t="str">
        <f t="shared" si="782"/>
        <v>群众</v>
      </c>
      <c r="C1569" s="1" t="str">
        <f>"专科"</f>
        <v>专科</v>
      </c>
      <c r="D1569" s="1" t="str">
        <f>"20230701"</f>
        <v>20230701</v>
      </c>
      <c r="E1569" s="1" t="str">
        <f>"南阳理工学院"</f>
        <v>南阳理工学院</v>
      </c>
      <c r="F1569" s="1" t="str">
        <f>"护理"</f>
        <v>护理</v>
      </c>
      <c r="G1569" s="1" t="str">
        <f>"河南省南阳市内乡县大桥乡建设村一组"</f>
        <v>河南省南阳市内乡县大桥乡建设村一组</v>
      </c>
      <c r="H1569" s="1" t="str">
        <f>"护士"</f>
        <v>护士</v>
      </c>
      <c r="I1569" s="1" t="str">
        <f>"201209-201506  南阳医学高等专科学校  全日制中专
201506-至今   大桥乡卫生院  护士
202103-202307  南阳理工学院  护理  非全日制大专"</f>
        <v>201209-201506  南阳医学高等专科学校  全日制中专
201506-至今   大桥乡卫生院  护士
202103-202307  南阳理工学院  护理  非全日制大专</v>
      </c>
    </row>
    <row r="1570" spans="1:9">
      <c r="A1570" s="1" t="str">
        <f>"411327199805173940"</f>
        <v>411327199805173940</v>
      </c>
      <c r="B1570" s="1" t="str">
        <f t="shared" si="781"/>
        <v>中共党员</v>
      </c>
      <c r="C1570" s="1" t="str">
        <f t="shared" si="783"/>
        <v>本科</v>
      </c>
      <c r="D1570" s="1" t="str">
        <f>"2021.06.21"</f>
        <v>2021.06.21</v>
      </c>
      <c r="E1570" s="1" t="str">
        <f>"河南科技学院"</f>
        <v>河南科技学院</v>
      </c>
      <c r="F1570" s="1" t="str">
        <f>"学前教育专业"</f>
        <v>学前教育专业</v>
      </c>
      <c r="G1570" s="1" t="str">
        <f>"南阳市内乡县湍东镇白云小区西三排"</f>
        <v>南阳市内乡县湍东镇白云小区西三排</v>
      </c>
      <c r="H1570" s="1" t="str">
        <f t="shared" ref="H1570:H1575" si="784">"无"</f>
        <v>无</v>
      </c>
      <c r="I1570" s="1" t="str">
        <f>"201709-202106河南科技学院 教育科学学院 学前教育专业就读 全日制
202109-202306 郑州市青草地国际幼儿园
202309-202406 郑州航空工业管理学院幼儿园
202409-至今 内乡菊潭学校"</f>
        <v>201709-202106河南科技学院 教育科学学院 学前教育专业就读 全日制
202109-202306 郑州市青草地国际幼儿园
202309-202406 郑州航空工业管理学院幼儿园
202409-至今 内乡菊潭学校</v>
      </c>
    </row>
    <row r="1571" spans="1:9">
      <c r="A1571" s="1" t="str">
        <f>"411327199803150016"</f>
        <v>411327199803150016</v>
      </c>
      <c r="B1571" s="1" t="str">
        <f t="shared" ref="B1571:B1576" si="785">"群众"</f>
        <v>群众</v>
      </c>
      <c r="C1571" s="1" t="str">
        <f t="shared" si="783"/>
        <v>本科</v>
      </c>
      <c r="D1571" s="1" t="str">
        <f>"20200601"</f>
        <v>20200601</v>
      </c>
      <c r="E1571" s="1" t="str">
        <f>"河南科技学院"</f>
        <v>河南科技学院</v>
      </c>
      <c r="F1571" s="1" t="str">
        <f>"园艺"</f>
        <v>园艺</v>
      </c>
      <c r="G1571" s="1" t="str">
        <f>"河南省南阳市内乡县"</f>
        <v>河南省南阳市内乡县</v>
      </c>
      <c r="H1571" s="1" t="str">
        <f>"普通话二级乙"</f>
        <v>普通话二级乙</v>
      </c>
      <c r="I1571" s="1" t="str">
        <f>"201609-202006 河南科技学院就读"</f>
        <v>201609-202006 河南科技学院就读</v>
      </c>
    </row>
    <row r="1572" spans="1:9">
      <c r="A1572" s="1" t="str">
        <f>"411327200206064238"</f>
        <v>411327200206064238</v>
      </c>
      <c r="B1572" s="1" t="str">
        <f t="shared" si="785"/>
        <v>群众</v>
      </c>
      <c r="C1572" s="1" t="str">
        <f t="shared" si="783"/>
        <v>本科</v>
      </c>
      <c r="D1572" s="1" t="str">
        <f>"2025-08-31"</f>
        <v>2025-08-31</v>
      </c>
      <c r="E1572" s="1" t="str">
        <f>"中原科技学院"</f>
        <v>中原科技学院</v>
      </c>
      <c r="F1572" s="1" t="str">
        <f>"汉语国际教育"</f>
        <v>汉语国际教育</v>
      </c>
      <c r="G1572" s="1" t="str">
        <f>"内乡县余关镇李沟村李家6号"</f>
        <v>内乡县余关镇李沟村李家6号</v>
      </c>
      <c r="H1572" s="1" t="str">
        <f t="shared" si="784"/>
        <v>无</v>
      </c>
      <c r="I1572" s="1" t="str">
        <f>"2021.09-2025.06于中原科技学院汉语国际教育就读"</f>
        <v>2021.09-2025.06于中原科技学院汉语国际教育就读</v>
      </c>
    </row>
    <row r="1573" spans="1:9">
      <c r="A1573" s="1" t="str">
        <f>"411326200209290437"</f>
        <v>411326200209290437</v>
      </c>
      <c r="B1573" s="1" t="str">
        <f>"中共党员"</f>
        <v>中共党员</v>
      </c>
      <c r="C1573" s="1" t="str">
        <f t="shared" si="783"/>
        <v>本科</v>
      </c>
      <c r="D1573" s="1" t="str">
        <f>"20250605"</f>
        <v>20250605</v>
      </c>
      <c r="E1573" s="1" t="str">
        <f>"郑州工商学院"</f>
        <v>郑州工商学院</v>
      </c>
      <c r="F1573" s="1" t="str">
        <f>"计算机科学与技术"</f>
        <v>计算机科学与技术</v>
      </c>
      <c r="G1573" s="1" t="str">
        <f>"河南省南阳市南召县城郊乡前庄村侯家庄组10号"</f>
        <v>河南省南阳市南召县城郊乡前庄村侯家庄组10号</v>
      </c>
      <c r="H1573" s="1" t="str">
        <f t="shared" si="784"/>
        <v>无</v>
      </c>
      <c r="I1573" s="1" t="str">
        <f>"202109-202506 郑州工商学院 就读，全日制本科。"</f>
        <v>202109-202506 郑州工商学院 就读，全日制本科。</v>
      </c>
    </row>
    <row r="1574" spans="1:9">
      <c r="A1574" s="1" t="str">
        <f>"411327200201070647"</f>
        <v>411327200201070647</v>
      </c>
      <c r="B1574" s="1" t="str">
        <f t="shared" ref="B1574:B1578" si="786">"共青团员"</f>
        <v>共青团员</v>
      </c>
      <c r="C1574" s="1" t="str">
        <f t="shared" si="783"/>
        <v>本科</v>
      </c>
      <c r="D1574" s="1" t="str">
        <f>"20230615"</f>
        <v>20230615</v>
      </c>
      <c r="E1574" s="1" t="str">
        <f>"黄河科技学院"</f>
        <v>黄河科技学院</v>
      </c>
      <c r="F1574" s="1" t="str">
        <f>"网络工程"</f>
        <v>网络工程</v>
      </c>
      <c r="G1574" s="1" t="str">
        <f>"南阳市内乡县马山口镇大寨村"</f>
        <v>南阳市内乡县马山口镇大寨村</v>
      </c>
      <c r="H1574" s="1" t="str">
        <f t="shared" si="784"/>
        <v>无</v>
      </c>
      <c r="I1574" s="1" t="str">
        <f>"201909-202306 黄河科技学院就读 全日制"</f>
        <v>201909-202306 黄河科技学院就读 全日制</v>
      </c>
    </row>
    <row r="1575" spans="1:9">
      <c r="A1575" s="1" t="str">
        <f>"411327200011140026"</f>
        <v>411327200011140026</v>
      </c>
      <c r="B1575" s="1" t="str">
        <f t="shared" si="786"/>
        <v>共青团员</v>
      </c>
      <c r="C1575" s="1" t="str">
        <f>"硕士研究生"</f>
        <v>硕士研究生</v>
      </c>
      <c r="D1575" s="1" t="str">
        <f>"20240118"</f>
        <v>20240118</v>
      </c>
      <c r="E1575" s="1" t="str">
        <f>"埃森经济与管理应用技术大学"</f>
        <v>埃森经济与管理应用技术大学</v>
      </c>
      <c r="F1575" s="1" t="str">
        <f>"会计与金融管理"</f>
        <v>会计与金融管理</v>
      </c>
      <c r="G1575" s="1" t="str">
        <f>"河南省内乡县第五小学西公园里璟庭"</f>
        <v>河南省内乡县第五小学西公园里璟庭</v>
      </c>
      <c r="H1575" s="1" t="str">
        <f t="shared" si="784"/>
        <v>无</v>
      </c>
      <c r="I1575" s="1" t="str">
        <f>"201809-202206 郑州大学西亚斯国际学院 国际经济与贸易专业 全日制本科学历。
202206-202211 在家待业
202211-202401 德国埃森经济与管理应用技术大学 会计与金融管理专业 全日制硕士研究生学历"</f>
        <v>201809-202206 郑州大学西亚斯国际学院 国际经济与贸易专业 全日制本科学历。
202206-202211 在家待业
202211-202401 德国埃森经济与管理应用技术大学 会计与金融管理专业 全日制硕士研究生学历</v>
      </c>
    </row>
    <row r="1576" spans="1:9">
      <c r="A1576" s="1" t="str">
        <f>"411224200304283501"</f>
        <v>411224200304283501</v>
      </c>
      <c r="B1576" s="1" t="str">
        <f t="shared" si="785"/>
        <v>群众</v>
      </c>
      <c r="C1576" s="1" t="str">
        <f t="shared" ref="C1576:C1585" si="787">"本科"</f>
        <v>本科</v>
      </c>
      <c r="D1576" s="1" t="str">
        <f>"20250701"</f>
        <v>20250701</v>
      </c>
      <c r="E1576" s="1" t="str">
        <f>"郑州商学院"</f>
        <v>郑州商学院</v>
      </c>
      <c r="F1576" s="1" t="str">
        <f>"学前教育（师范）"</f>
        <v>学前教育（师范）</v>
      </c>
      <c r="G1576" s="1" t="str">
        <f>"河南省三门峡市卢氏县"</f>
        <v>河南省三门峡市卢氏县</v>
      </c>
      <c r="H1576" s="1" t="str">
        <f>"保育师 幼儿教师资格证"</f>
        <v>保育师 幼儿教师资格证</v>
      </c>
      <c r="I1576" s="1" t="str">
        <f>"202109—202307洛阳师范学院就读学前教育（师范）专业。
202309—202507郑州商学院就读学前教育（师范）专业"</f>
        <v>202109—202307洛阳师范学院就读学前教育（师范）专业。
202309—202507郑州商学院就读学前教育（师范）专业</v>
      </c>
    </row>
    <row r="1577" spans="1:9">
      <c r="A1577" s="1" t="str">
        <f>"411327200212083734"</f>
        <v>411327200212083734</v>
      </c>
      <c r="B1577" s="1" t="str">
        <f t="shared" si="786"/>
        <v>共青团员</v>
      </c>
      <c r="C1577" s="1" t="str">
        <f t="shared" si="787"/>
        <v>本科</v>
      </c>
      <c r="D1577" s="1" t="str">
        <f>"20250701"</f>
        <v>20250701</v>
      </c>
      <c r="E1577" s="1" t="str">
        <f>"安阳工学院"</f>
        <v>安阳工学院</v>
      </c>
      <c r="F1577" s="1" t="str">
        <f>"信息与计算科学"</f>
        <v>信息与计算科学</v>
      </c>
      <c r="G1577" s="1" t="str">
        <f>"河南省南阳市内乡县桃溪镇"</f>
        <v>河南省南阳市内乡县桃溪镇</v>
      </c>
      <c r="H1577" s="1" t="str">
        <f t="shared" ref="H1577:H1581" si="788">"无"</f>
        <v>无</v>
      </c>
      <c r="I1577" s="1" t="str">
        <f>"202109-202507 安阳工学院 数学与信息科学学院 信息与计算科学专业 就读，是全日制"</f>
        <v>202109-202507 安阳工学院 数学与信息科学学院 信息与计算科学专业 就读，是全日制</v>
      </c>
    </row>
    <row r="1578" spans="1:9">
      <c r="A1578" s="1" t="str">
        <f>"411081200303288358"</f>
        <v>411081200303288358</v>
      </c>
      <c r="B1578" s="1" t="str">
        <f t="shared" si="786"/>
        <v>共青团员</v>
      </c>
      <c r="C1578" s="1" t="str">
        <f t="shared" si="787"/>
        <v>本科</v>
      </c>
      <c r="D1578" s="1" t="str">
        <f>"2025-07-01"</f>
        <v>2025-07-01</v>
      </c>
      <c r="E1578" s="1" t="str">
        <f>"郑州工商学院"</f>
        <v>郑州工商学院</v>
      </c>
      <c r="F1578" s="1" t="str">
        <f>"工商管理"</f>
        <v>工商管理</v>
      </c>
      <c r="G1578" s="1" t="str">
        <f>"河南省禹州市山林街35号"</f>
        <v>河南省禹州市山林街35号</v>
      </c>
      <c r="H1578" s="1" t="str">
        <f t="shared" si="788"/>
        <v>无</v>
      </c>
      <c r="I1578" s="1" t="str">
        <f>"202109-202506 郑州工商学院 商学院 工商管理专业就读 全日制本科学历"</f>
        <v>202109-202506 郑州工商学院 商学院 工商管理专业就读 全日制本科学历</v>
      </c>
    </row>
    <row r="1579" spans="1:9">
      <c r="A1579" s="1" t="str">
        <f>"41132719940610258X"</f>
        <v>41132719940610258X</v>
      </c>
      <c r="B1579" s="1" t="str">
        <f t="shared" ref="B1579:B1583" si="789">"群众"</f>
        <v>群众</v>
      </c>
      <c r="C1579" s="1" t="str">
        <f t="shared" si="787"/>
        <v>本科</v>
      </c>
      <c r="D1579" s="1" t="str">
        <f>"20220701"</f>
        <v>20220701</v>
      </c>
      <c r="E1579" s="1" t="str">
        <f>"南阳师范学院"</f>
        <v>南阳师范学院</v>
      </c>
      <c r="F1579" s="1" t="str">
        <f>"教育学"</f>
        <v>教育学</v>
      </c>
      <c r="G1579" s="1" t="str">
        <f>"河南省南阳市内乡县王店镇"</f>
        <v>河南省南阳市内乡县王店镇</v>
      </c>
      <c r="H1579" s="1" t="str">
        <f t="shared" si="788"/>
        <v>无</v>
      </c>
      <c r="I1579" s="1" t="str">
        <f>"201409-201706  南阳师范学院 就读英语教育  专科
201706-202008  南阳市起航国际教育任职
202003-202207  南阳师范学院  就读教育学   成人函授
202009至今河南省南阳市内乡县师岗镇西岗中心小学任职"</f>
        <v>201409-201706  南阳师范学院 就读英语教育  专科
201706-202008  南阳市起航国际教育任职
202003-202207  南阳师范学院  就读教育学   成人函授
202009至今河南省南阳市内乡县师岗镇西岗中心小学任职</v>
      </c>
    </row>
    <row r="1580" spans="1:9">
      <c r="A1580" s="1" t="str">
        <f>"411325200208164950"</f>
        <v>411325200208164950</v>
      </c>
      <c r="B1580" s="1" t="str">
        <f>"共青团员"</f>
        <v>共青团员</v>
      </c>
      <c r="C1580" s="1" t="str">
        <f t="shared" si="787"/>
        <v>本科</v>
      </c>
      <c r="D1580" s="1" t="str">
        <f>"20240701"</f>
        <v>20240701</v>
      </c>
      <c r="E1580" s="1" t="str">
        <f>"平顶山学院"</f>
        <v>平顶山学院</v>
      </c>
      <c r="F1580" s="1" t="str">
        <f>"数学与应用数学"</f>
        <v>数学与应用数学</v>
      </c>
      <c r="G1580" s="1" t="str">
        <f>"河南省南阳市内乡县灌涨镇山底村"</f>
        <v>河南省南阳市内乡县灌涨镇山底村</v>
      </c>
      <c r="H1580" s="1" t="str">
        <f t="shared" si="788"/>
        <v>无</v>
      </c>
      <c r="I1580" s="1" t="str">
        <f>"202009-202407 平顶山学院就读
202409-202507 叶县燕山中学教学"</f>
        <v>202009-202407 平顶山学院就读
202409-202507 叶县燕山中学教学</v>
      </c>
    </row>
    <row r="1581" spans="1:9">
      <c r="A1581" s="1" t="str">
        <f>"411329200307225072"</f>
        <v>411329200307225072</v>
      </c>
      <c r="B1581" s="1" t="str">
        <f t="shared" si="789"/>
        <v>群众</v>
      </c>
      <c r="C1581" s="1" t="str">
        <f t="shared" si="787"/>
        <v>本科</v>
      </c>
      <c r="D1581" s="1" t="str">
        <f>"2024-07-01"</f>
        <v>2024-07-01</v>
      </c>
      <c r="E1581" s="1" t="str">
        <f>"郑州升达经贸管理学院"</f>
        <v>郑州升达经贸管理学院</v>
      </c>
      <c r="F1581" s="1" t="str">
        <f>"土木工程"</f>
        <v>土木工程</v>
      </c>
      <c r="G1581" s="1" t="str">
        <f>"河南省南阳市社旗县利民小区六单元十楼东"</f>
        <v>河南省南阳市社旗县利民小区六单元十楼东</v>
      </c>
      <c r="H1581" s="1" t="str">
        <f t="shared" si="788"/>
        <v>无</v>
      </c>
      <c r="I1581" s="1" t="str">
        <f>"202009-202407 郑州升达经贸管理学院就读，全日制本科"</f>
        <v>202009-202407 郑州升达经贸管理学院就读，全日制本科</v>
      </c>
    </row>
    <row r="1582" spans="1:9">
      <c r="A1582" s="1" t="str">
        <f>"411327200104220623"</f>
        <v>411327200104220623</v>
      </c>
      <c r="B1582" s="1" t="str">
        <f t="shared" si="789"/>
        <v>群众</v>
      </c>
      <c r="C1582" s="1" t="str">
        <f t="shared" si="787"/>
        <v>本科</v>
      </c>
      <c r="D1582" s="1" t="str">
        <f>"2025-06-08"</f>
        <v>2025-06-08</v>
      </c>
      <c r="E1582" s="1" t="str">
        <f>"中原科技学院"</f>
        <v>中原科技学院</v>
      </c>
      <c r="F1582" s="1" t="str">
        <f>"汉语言文学"</f>
        <v>汉语言文学</v>
      </c>
      <c r="G1582" s="1" t="str">
        <f>"河南省南阳市内乡县马山口镇樊岗村"</f>
        <v>河南省南阳市内乡县马山口镇樊岗村</v>
      </c>
      <c r="H1582" s="1" t="str">
        <f>"无 "</f>
        <v>无 </v>
      </c>
      <c r="I1582" s="1" t="str">
        <f>"202209-202306 商丘职业技术学院 汉语言文学学院 语文教育专业就读
202309-202506中原科技学院 文学与传媒学院 汉语言文学专业就读"</f>
        <v>202209-202306 商丘职业技术学院 汉语言文学学院 语文教育专业就读
202309-202506中原科技学院 文学与传媒学院 汉语言文学专业就读</v>
      </c>
    </row>
    <row r="1583" spans="1:9">
      <c r="A1583" s="1" t="str">
        <f>"411327200008160042"</f>
        <v>411327200008160042</v>
      </c>
      <c r="B1583" s="1" t="str">
        <f t="shared" si="789"/>
        <v>群众</v>
      </c>
      <c r="C1583" s="1" t="str">
        <f t="shared" si="787"/>
        <v>本科</v>
      </c>
      <c r="D1583" s="1" t="str">
        <f>"20220607"</f>
        <v>20220607</v>
      </c>
      <c r="E1583" s="1" t="str">
        <f>"商丘学院"</f>
        <v>商丘学院</v>
      </c>
      <c r="F1583" s="1" t="str">
        <f>"会计学"</f>
        <v>会计学</v>
      </c>
      <c r="G1583" s="1" t="str">
        <f>"河南省南阳市内乡县三里桥锦绣佳苑"</f>
        <v>河南省南阳市内乡县三里桥锦绣佳苑</v>
      </c>
      <c r="H1583" s="1" t="str">
        <f t="shared" ref="H1583:H1587" si="790">"无"</f>
        <v>无</v>
      </c>
      <c r="I1583" s="1" t="str">
        <f>"201809-202206商丘学院就读"</f>
        <v>201809-202206商丘学院就读</v>
      </c>
    </row>
    <row r="1584" spans="1:9">
      <c r="A1584" s="1" t="str">
        <f>"430481199607196371"</f>
        <v>430481199607196371</v>
      </c>
      <c r="B1584" s="1" t="str">
        <f>"中共党员"</f>
        <v>中共党员</v>
      </c>
      <c r="C1584" s="1" t="str">
        <f t="shared" si="787"/>
        <v>本科</v>
      </c>
      <c r="D1584" s="1" t="str">
        <f>"2022-07-01"</f>
        <v>2022-07-01</v>
      </c>
      <c r="E1584" s="1" t="str">
        <f>"河南工业大学"</f>
        <v>河南工业大学</v>
      </c>
      <c r="F1584" s="1" t="str">
        <f>"工商管理"</f>
        <v>工商管理</v>
      </c>
      <c r="G1584" s="1" t="str">
        <f>"河南省南阳市邓州市电力花园"</f>
        <v>河南省南阳市邓州市电力花园</v>
      </c>
      <c r="H1584" s="1" t="str">
        <f t="shared" si="790"/>
        <v>无</v>
      </c>
      <c r="I1584" s="1" t="str">
        <f>"201609-201907 郑州升达经贸管理学院 商学院 市场营销 专科 全日制
201907-202003 河南赛多多有限公司 员工
202003-202207 河南工业大学 管理学院 工商管理 非全日制
202207至今 河南省南阳市邓州市刘集镇双渠李 待业"</f>
        <v>201609-201907 郑州升达经贸管理学院 商学院 市场营销 专科 全日制
201907-202003 河南赛多多有限公司 员工
202003-202207 河南工业大学 管理学院 工商管理 非全日制
202207至今 河南省南阳市邓州市刘集镇双渠李 待业</v>
      </c>
    </row>
    <row r="1585" spans="1:9">
      <c r="A1585" s="1" t="str">
        <f>"411327200103193117"</f>
        <v>411327200103193117</v>
      </c>
      <c r="B1585" s="1" t="str">
        <f t="shared" ref="B1585:B1592" si="791">"共青团员"</f>
        <v>共青团员</v>
      </c>
      <c r="C1585" s="1" t="str">
        <f t="shared" si="787"/>
        <v>本科</v>
      </c>
      <c r="D1585" s="1" t="str">
        <f>"20230614"</f>
        <v>20230614</v>
      </c>
      <c r="E1585" s="1" t="str">
        <f>"天津农学院"</f>
        <v>天津农学院</v>
      </c>
      <c r="F1585" s="1" t="str">
        <f>"新能源科学与工程"</f>
        <v>新能源科学与工程</v>
      </c>
      <c r="G1585" s="1" t="str">
        <f>"河南省内乡县夏馆镇十字街大众服饰"</f>
        <v>河南省内乡县夏馆镇十字街大众服饰</v>
      </c>
      <c r="H1585" s="1" t="str">
        <f t="shared" si="790"/>
        <v>无</v>
      </c>
      <c r="I1585" s="1" t="str">
        <f>"2019年9月1日至2023年6月14日在天津农学院工程技术学院新能源科学与工程专业就读，全日制学历"</f>
        <v>2019年9月1日至2023年6月14日在天津农学院工程技术学院新能源科学与工程专业就读，全日制学历</v>
      </c>
    </row>
    <row r="1586" spans="1:9">
      <c r="A1586" s="1" t="str">
        <f>"411325200301091143"</f>
        <v>411325200301091143</v>
      </c>
      <c r="B1586" s="1" t="str">
        <f t="shared" si="791"/>
        <v>共青团员</v>
      </c>
      <c r="C1586" s="1" t="str">
        <f>"专科"</f>
        <v>专科</v>
      </c>
      <c r="D1586" s="1" t="str">
        <f>"2025-06-20"</f>
        <v>2025-06-20</v>
      </c>
      <c r="E1586" s="1" t="str">
        <f>"许昌职业技术学院"</f>
        <v>许昌职业技术学院</v>
      </c>
      <c r="F1586" s="1" t="str">
        <f>"音乐教育"</f>
        <v>音乐教育</v>
      </c>
      <c r="G1586" s="1" t="str">
        <f>"河南省南阳市内乡县赤眉镇"</f>
        <v>河南省南阳市内乡县赤眉镇</v>
      </c>
      <c r="H1586" s="1" t="str">
        <f t="shared" si="790"/>
        <v>无</v>
      </c>
      <c r="I1586" s="1" t="str">
        <f>"202209-202506 许昌职业技术学院艺术系音乐教育专业就读 是全日制学历"</f>
        <v>202209-202506 许昌职业技术学院艺术系音乐教育专业就读 是全日制学历</v>
      </c>
    </row>
    <row r="1587" spans="1:9">
      <c r="A1587" s="1" t="str">
        <f>"41132720010928006X"</f>
        <v>41132720010928006X</v>
      </c>
      <c r="B1587" s="1" t="str">
        <f t="shared" ref="B1587:B1589" si="792">"群众"</f>
        <v>群众</v>
      </c>
      <c r="C1587" s="1" t="str">
        <f>"专科"</f>
        <v>专科</v>
      </c>
      <c r="D1587" s="1" t="str">
        <f>"20220630"</f>
        <v>20220630</v>
      </c>
      <c r="E1587" s="1" t="str">
        <f>"南阳农业职业学院"</f>
        <v>南阳农业职业学院</v>
      </c>
      <c r="F1587" s="1" t="str">
        <f>"音乐表演"</f>
        <v>音乐表演</v>
      </c>
      <c r="G1587" s="1" t="str">
        <f>"河南省南阳市内乡县城关镇菊潭大街226号"</f>
        <v>河南省南阳市内乡县城关镇菊潭大街226号</v>
      </c>
      <c r="H1587" s="1" t="str">
        <f t="shared" si="790"/>
        <v>无</v>
      </c>
      <c r="I1587" s="1" t="str">
        <f>"201909-202206南阳农业职业学院 就读音乐表演专业 
是全日制学历"</f>
        <v>201909-202206南阳农业职业学院 就读音乐表演专业 
是全日制学历</v>
      </c>
    </row>
    <row r="1588" spans="1:9">
      <c r="A1588" s="1" t="str">
        <f>"411330200006100044"</f>
        <v>411330200006100044</v>
      </c>
      <c r="B1588" s="1" t="str">
        <f t="shared" si="792"/>
        <v>群众</v>
      </c>
      <c r="C1588" s="1" t="str">
        <f t="shared" ref="C1588:C1592" si="793">"本科"</f>
        <v>本科</v>
      </c>
      <c r="D1588" s="1" t="str">
        <f>"20230701"</f>
        <v>20230701</v>
      </c>
      <c r="E1588" s="1" t="str">
        <f>"郑州升达经贸管理学院"</f>
        <v>郑州升达经贸管理学院</v>
      </c>
      <c r="F1588" s="1" t="str">
        <f>"汉语言文学"</f>
        <v>汉语言文学</v>
      </c>
      <c r="G1588" s="1" t="str">
        <f>"河南省南阳市西峡白羽北路金海棠小区"</f>
        <v>河南省南阳市西峡白羽北路金海棠小区</v>
      </c>
      <c r="H1588" s="1" t="str">
        <f>"英语四级证书"</f>
        <v>英语四级证书</v>
      </c>
      <c r="I1588" s="1" t="str">
        <f>"201809-202107河南师范大学新联学院语文教育
202109-202307郑州升达经贸管理学院汉语言文学
全日制学历"</f>
        <v>201809-202107河南师范大学新联学院语文教育
202109-202307郑州升达经贸管理学院汉语言文学
全日制学历</v>
      </c>
    </row>
    <row r="1589" spans="1:9">
      <c r="A1589" s="1" t="str">
        <f>"410727199908226516"</f>
        <v>410727199908226516</v>
      </c>
      <c r="B1589" s="1" t="str">
        <f t="shared" si="792"/>
        <v>群众</v>
      </c>
      <c r="C1589" s="1" t="str">
        <f t="shared" si="793"/>
        <v>本科</v>
      </c>
      <c r="D1589" s="1" t="str">
        <f>"20220701"</f>
        <v>20220701</v>
      </c>
      <c r="E1589" s="1" t="str">
        <f>"河南工业大学"</f>
        <v>河南工业大学</v>
      </c>
      <c r="F1589" s="1" t="str">
        <f>"测控技术与仪器"</f>
        <v>测控技术与仪器</v>
      </c>
      <c r="G1589" s="1" t="str">
        <f>"河南省新乡市封丘县留光镇"</f>
        <v>河南省新乡市封丘县留光镇</v>
      </c>
      <c r="H1589" s="1" t="str">
        <f t="shared" ref="H1589:H1593" si="794">"无"</f>
        <v>无</v>
      </c>
      <c r="I1589" s="1" t="str">
        <f>"20180901-20220701 河南工业大学在测控技术仪器专业就读
20220701-至今待业"</f>
        <v>20180901-20220701 河南工业大学在测控技术仪器专业就读
20220701-至今待业</v>
      </c>
    </row>
    <row r="1590" spans="1:9">
      <c r="A1590" s="1" t="str">
        <f>"411121200007150011"</f>
        <v>411121200007150011</v>
      </c>
      <c r="B1590" s="1" t="str">
        <f t="shared" si="791"/>
        <v>共青团员</v>
      </c>
      <c r="C1590" s="1" t="str">
        <f t="shared" si="793"/>
        <v>本科</v>
      </c>
      <c r="D1590" s="1" t="str">
        <f>"20230630"</f>
        <v>20230630</v>
      </c>
      <c r="E1590" s="1" t="str">
        <f>"郑州西亚斯学院"</f>
        <v>郑州西亚斯学院</v>
      </c>
      <c r="F1590" s="1" t="str">
        <f>"工商管理"</f>
        <v>工商管理</v>
      </c>
      <c r="G1590" s="1" t="str">
        <f>"河南省漯河市舞阳县人民中路146号"</f>
        <v>河南省漯河市舞阳县人民中路146号</v>
      </c>
      <c r="H1590" s="1" t="str">
        <f t="shared" si="794"/>
        <v>无</v>
      </c>
      <c r="I1590" s="1" t="str">
        <f>"201809-202107 郑州商学院商学院金融管理专业就读全日制专科。
202109-202306郑州西亚斯学院商学院工商管理专业就读全日制本科，学士学位。
202306-至今 待业。"</f>
        <v>201809-202107 郑州商学院商学院金融管理专业就读全日制专科。
202109-202306郑州西亚斯学院商学院工商管理专业就读全日制本科，学士学位。
202306-至今 待业。</v>
      </c>
    </row>
    <row r="1591" spans="1:9">
      <c r="A1591" s="1" t="str">
        <f>"420682200002070013"</f>
        <v>420682200002070013</v>
      </c>
      <c r="B1591" s="1" t="str">
        <f t="shared" si="791"/>
        <v>共青团员</v>
      </c>
      <c r="C1591" s="1" t="str">
        <f t="shared" si="793"/>
        <v>本科</v>
      </c>
      <c r="D1591" s="1" t="str">
        <f>"2023-06-07"</f>
        <v>2023-06-07</v>
      </c>
      <c r="E1591" s="1" t="str">
        <f>"武汉晴川学院"</f>
        <v>武汉晴川学院</v>
      </c>
      <c r="F1591" s="1" t="str">
        <f>"软件工程"</f>
        <v>软件工程</v>
      </c>
      <c r="G1591" s="1" t="str">
        <f>"湖北省老河口市交通路431号"</f>
        <v>湖北省老河口市交通路431号</v>
      </c>
      <c r="H1591" s="1" t="str">
        <f t="shared" si="794"/>
        <v>无</v>
      </c>
      <c r="I1591" s="1" t="str">
        <f>"201909-202306  武汉晴川学院 计算机学院 软件工程专业 全日制就读 
202306-202507  湖北省老河口市待业"</f>
        <v>201909-202306  武汉晴川学院 计算机学院 软件工程专业 全日制就读 
202306-202507  湖北省老河口市待业</v>
      </c>
    </row>
    <row r="1592" spans="1:9">
      <c r="A1592" s="1" t="str">
        <f>"41132420010313242X"</f>
        <v>41132420010313242X</v>
      </c>
      <c r="B1592" s="1" t="str">
        <f t="shared" si="791"/>
        <v>共青团员</v>
      </c>
      <c r="C1592" s="1" t="str">
        <f t="shared" si="793"/>
        <v>本科</v>
      </c>
      <c r="D1592" s="1" t="str">
        <f>"2025.6.17"</f>
        <v>2025.6.17</v>
      </c>
      <c r="E1592" s="1" t="str">
        <f>"商丘学院"</f>
        <v>商丘学院</v>
      </c>
      <c r="F1592" s="1" t="str">
        <f>"小学教育（师范）"</f>
        <v>小学教育（师范）</v>
      </c>
      <c r="G1592" s="1" t="str">
        <f>"河南省南阳市镇平县袜厂洗浴中心对面"</f>
        <v>河南省南阳市镇平县袜厂洗浴中心对面</v>
      </c>
      <c r="H1592" s="1" t="str">
        <f t="shared" si="794"/>
        <v>无</v>
      </c>
      <c r="I1592" s="1" t="str">
        <f>"2020.09—2023.06 信阳师范大学 学前教育 全日制本科
2023.09—2025.06 商丘学院 小学教育(师范) 全日制本科"</f>
        <v>2020.09—2023.06 信阳师范大学 学前教育 全日制本科
2023.09—2025.06 商丘学院 小学教育(师范) 全日制本科</v>
      </c>
    </row>
    <row r="1593" spans="1:9">
      <c r="A1593" s="1" t="str">
        <f>"411327200002081546"</f>
        <v>411327200002081546</v>
      </c>
      <c r="B1593" s="1" t="str">
        <f>"群众"</f>
        <v>群众</v>
      </c>
      <c r="C1593" s="1" t="str">
        <f>"硕士研究生"</f>
        <v>硕士研究生</v>
      </c>
      <c r="D1593" s="1" t="str">
        <f>"20250630"</f>
        <v>20250630</v>
      </c>
      <c r="E1593" s="1" t="str">
        <f>"西南大学"</f>
        <v>西南大学</v>
      </c>
      <c r="F1593" s="1" t="str">
        <f>"农艺与种业"</f>
        <v>农艺与种业</v>
      </c>
      <c r="G1593" s="1" t="str">
        <f>"河南省南阳市内乡县"</f>
        <v>河南省南阳市内乡县</v>
      </c>
      <c r="H1593" s="1" t="str">
        <f t="shared" si="794"/>
        <v>无</v>
      </c>
      <c r="I1593" s="1" t="str">
        <f>"201809-202207 河南科技学院园林专业就读
202209-202507 西南大学农艺与种业专业就读"</f>
        <v>201809-202207 河南科技学院园林专业就读
202209-202507 西南大学农艺与种业专业就读</v>
      </c>
    </row>
    <row r="1594" spans="1:9">
      <c r="A1594" s="1" t="str">
        <f>"411323200109270544"</f>
        <v>411323200109270544</v>
      </c>
      <c r="B1594" s="1" t="str">
        <f t="shared" ref="B1594:B1597" si="795">"共青团员"</f>
        <v>共青团员</v>
      </c>
      <c r="C1594" s="1" t="str">
        <f t="shared" ref="C1594:C1611" si="796">"本科"</f>
        <v>本科</v>
      </c>
      <c r="D1594" s="1" t="str">
        <f>"20230605"</f>
        <v>20230605</v>
      </c>
      <c r="E1594" s="1" t="str">
        <f>"上海杉达学院"</f>
        <v>上海杉达学院</v>
      </c>
      <c r="F1594" s="1" t="str">
        <f>"财务管理"</f>
        <v>财务管理</v>
      </c>
      <c r="G1594" s="1" t="str">
        <f>"河南省淅川县新城润园14号楼一单元302"</f>
        <v>河南省淅川县新城润园14号楼一单元302</v>
      </c>
      <c r="H1594" s="1" t="str">
        <f>"初级会计"</f>
        <v>初级会计</v>
      </c>
      <c r="I1594" s="1" t="str">
        <f>"201909-202306 上海杉达学院 胜祥商学院 财务管理专业就读 全日制本科
202306-至今 在河南省淅川县待业"</f>
        <v>201909-202306 上海杉达学院 胜祥商学院 财务管理专业就读 全日制本科
202306-至今 在河南省淅川县待业</v>
      </c>
    </row>
    <row r="1595" spans="1:9">
      <c r="A1595" s="1" t="str">
        <f>"411329200403151931"</f>
        <v>411329200403151931</v>
      </c>
      <c r="B1595" s="1" t="str">
        <f t="shared" si="795"/>
        <v>共青团员</v>
      </c>
      <c r="C1595" s="1" t="str">
        <f t="shared" si="796"/>
        <v>本科</v>
      </c>
      <c r="D1595" s="1" t="str">
        <f>"20250701"</f>
        <v>20250701</v>
      </c>
      <c r="E1595" s="1" t="str">
        <f>"河南科技学院"</f>
        <v>河南科技学院</v>
      </c>
      <c r="F1595" s="1" t="str">
        <f>"旅游管理"</f>
        <v>旅游管理</v>
      </c>
      <c r="G1595" s="1" t="str">
        <f>"河南省南阳市社旗县李店镇半坡村"</f>
        <v>河南省南阳市社旗县李店镇半坡村</v>
      </c>
      <c r="H1595" s="1" t="str">
        <f>"教师资格证、导游证"</f>
        <v>教师资格证、导游证</v>
      </c>
      <c r="I1595" s="1" t="str">
        <f>"202109-202507河南科技学院就读，全日制学历。"</f>
        <v>202109-202507河南科技学院就读，全日制学历。</v>
      </c>
    </row>
    <row r="1596" spans="1:9">
      <c r="A1596" s="1" t="str">
        <f>"412827199708268022"</f>
        <v>412827199708268022</v>
      </c>
      <c r="B1596" s="1" t="str">
        <f>"群众"</f>
        <v>群众</v>
      </c>
      <c r="C1596" s="1" t="str">
        <f>"专科"</f>
        <v>专科</v>
      </c>
      <c r="D1596" s="1" t="str">
        <f>" 20250701"</f>
        <v> 20250701</v>
      </c>
      <c r="E1596" s="1" t="str">
        <f>"河南艺术职业学院"</f>
        <v>河南艺术职业学院</v>
      </c>
      <c r="F1596" s="1" t="str">
        <f>"学前教育"</f>
        <v>学前教育</v>
      </c>
      <c r="G1596" s="1" t="str">
        <f>"南阳市卧龙区卧龙西路红枫苑小区"</f>
        <v>南阳市卧龙区卧龙西路红枫苑小区</v>
      </c>
      <c r="H1596" s="1" t="str">
        <f t="shared" ref="H1596:H1601" si="797">"无"</f>
        <v>无</v>
      </c>
      <c r="I1596" s="1" t="str">
        <f>"本人于202303-202507在河南艺术职业学院学前教育专业函授学习，修完专科教学计划规定的全部课程成绩合格，准予毕业。"</f>
        <v>本人于202303-202507在河南艺术职业学院学前教育专业函授学习，修完专科教学计划规定的全部课程成绩合格，准予毕业。</v>
      </c>
    </row>
    <row r="1597" spans="1:9">
      <c r="A1597" s="1" t="str">
        <f>"411381200112260615"</f>
        <v>411381200112260615</v>
      </c>
      <c r="B1597" s="1" t="str">
        <f t="shared" si="795"/>
        <v>共青团员</v>
      </c>
      <c r="C1597" s="1" t="str">
        <f t="shared" si="796"/>
        <v>本科</v>
      </c>
      <c r="D1597" s="1" t="str">
        <f>"20240618"</f>
        <v>20240618</v>
      </c>
      <c r="E1597" s="1" t="str">
        <f>"河南农业大学"</f>
        <v>河南农业大学</v>
      </c>
      <c r="F1597" s="1" t="str">
        <f>"土地整治工程"</f>
        <v>土地整治工程</v>
      </c>
      <c r="G1597" s="1" t="str">
        <f>"邓州市花洲街道花洲路162巷76号"</f>
        <v>邓州市花洲街道花洲路162巷76号</v>
      </c>
      <c r="H1597" s="1" t="str">
        <f t="shared" si="797"/>
        <v>无</v>
      </c>
      <c r="I1597" s="1" t="str">
        <f>"202009-202406 河南农业大学 资源与环境学院 土地整治工程专业就读"</f>
        <v>202009-202406 河南农业大学 资源与环境学院 土地整治工程专业就读</v>
      </c>
    </row>
    <row r="1598" spans="1:9">
      <c r="A1598" s="1" t="str">
        <f>"411302200206010283"</f>
        <v>411302200206010283</v>
      </c>
      <c r="B1598" s="1" t="str">
        <f t="shared" ref="B1598:B1601" si="798">"中共党员"</f>
        <v>中共党员</v>
      </c>
      <c r="C1598" s="1" t="str">
        <f t="shared" si="796"/>
        <v>本科</v>
      </c>
      <c r="D1598" s="1" t="str">
        <f>"20240606"</f>
        <v>20240606</v>
      </c>
      <c r="E1598" s="1" t="str">
        <f>"河南大学"</f>
        <v>河南大学</v>
      </c>
      <c r="F1598" s="1" t="str">
        <f>"戏剧影视文学"</f>
        <v>戏剧影视文学</v>
      </c>
      <c r="G1598" s="1" t="str">
        <f>"河南省南阳市宛城区油田大庆新区"</f>
        <v>河南省南阳市宛城区油田大庆新区</v>
      </c>
      <c r="H1598" s="1" t="str">
        <f t="shared" si="797"/>
        <v>无</v>
      </c>
      <c r="I1598" s="1" t="str">
        <f>"202009-202406 河南大学文学院戏剧影视文学专业就读 是全日制学历
202406-至今 待业"</f>
        <v>202009-202406 河南大学文学院戏剧影视文学专业就读 是全日制学历
202406-至今 待业</v>
      </c>
    </row>
    <row r="1599" spans="1:9">
      <c r="A1599" s="1" t="str">
        <f>"410527200201099853"</f>
        <v>410527200201099853</v>
      </c>
      <c r="B1599" s="1" t="str">
        <f t="shared" si="798"/>
        <v>中共党员</v>
      </c>
      <c r="C1599" s="1" t="str">
        <f t="shared" si="796"/>
        <v>本科</v>
      </c>
      <c r="D1599" s="1" t="str">
        <f>"20230626"</f>
        <v>20230626</v>
      </c>
      <c r="E1599" s="1" t="str">
        <f>"辽宁大学"</f>
        <v>辽宁大学</v>
      </c>
      <c r="F1599" s="1" t="str">
        <f>"应用化学"</f>
        <v>应用化学</v>
      </c>
      <c r="G1599" s="1" t="str">
        <f>"河南省安阳市内黄县万福小区"</f>
        <v>河南省安阳市内黄县万福小区</v>
      </c>
      <c r="H1599" s="1" t="str">
        <f t="shared" si="797"/>
        <v>无</v>
      </c>
      <c r="I1599" s="1" t="str">
        <f>"201909-202306 辽宁大学化学院应用化学专业就读，全日制学历
202306-202507 内黄县待业"</f>
        <v>201909-202306 辽宁大学化学院应用化学专业就读，全日制学历
202306-202507 内黄县待业</v>
      </c>
    </row>
    <row r="1600" spans="1:9">
      <c r="A1600" s="1" t="str">
        <f>"412822200210150477"</f>
        <v>412822200210150477</v>
      </c>
      <c r="B1600" s="1" t="str">
        <f t="shared" ref="B1600:B1605" si="799">"群众"</f>
        <v>群众</v>
      </c>
      <c r="C1600" s="1" t="str">
        <f t="shared" si="796"/>
        <v>本科</v>
      </c>
      <c r="D1600" s="1" t="str">
        <f>"20240630"</f>
        <v>20240630</v>
      </c>
      <c r="E1600" s="1" t="str">
        <f>"南华大学"</f>
        <v>南华大学</v>
      </c>
      <c r="F1600" s="1" t="str">
        <f>"人工智能"</f>
        <v>人工智能</v>
      </c>
      <c r="G1600" s="1" t="str">
        <f>"河南省驻马店市泌阳县花园乡香菇市场北大门十字路口"</f>
        <v>河南省驻马店市泌阳县花园乡香菇市场北大门十字路口</v>
      </c>
      <c r="H1600" s="1" t="str">
        <f t="shared" si="797"/>
        <v>无</v>
      </c>
      <c r="I1600" s="1" t="str">
        <f>"202009-202406 南华大学计算机学院人工智能专业 全日制学历 就读。
202406-至今 河南省驻马店市泌阳县 待业。"</f>
        <v>202009-202406 南华大学计算机学院人工智能专业 全日制学历 就读。
202406-至今 河南省驻马店市泌阳县 待业。</v>
      </c>
    </row>
    <row r="1601" spans="1:9">
      <c r="A1601" s="1" t="str">
        <f>"411327200104102547"</f>
        <v>411327200104102547</v>
      </c>
      <c r="B1601" s="1" t="str">
        <f t="shared" si="798"/>
        <v>中共党员</v>
      </c>
      <c r="C1601" s="1" t="str">
        <f t="shared" si="796"/>
        <v>本科</v>
      </c>
      <c r="D1601" s="1" t="str">
        <f>"2024-06-20"</f>
        <v>2024-06-20</v>
      </c>
      <c r="E1601" s="1" t="str">
        <f>"六盘水师范学院"</f>
        <v>六盘水师范学院</v>
      </c>
      <c r="F1601" s="1" t="str">
        <f>"体育教育"</f>
        <v>体育教育</v>
      </c>
      <c r="G1601" s="1" t="str">
        <f>"河南省南阳市内乡县"</f>
        <v>河南省南阳市内乡县</v>
      </c>
      <c r="H1601" s="1" t="str">
        <f t="shared" si="797"/>
        <v>无</v>
      </c>
      <c r="I1601" s="1" t="str">
        <f>"202009—202406就读于六盘水师范学院体育教育专业，为全日制学历；"</f>
        <v>202009—202406就读于六盘水师范学院体育教育专业，为全日制学历；</v>
      </c>
    </row>
    <row r="1602" spans="1:9">
      <c r="A1602" s="1" t="str">
        <f>"41132720021025451X"</f>
        <v>41132720021025451X</v>
      </c>
      <c r="B1602" s="1" t="str">
        <f t="shared" si="799"/>
        <v>群众</v>
      </c>
      <c r="C1602" s="1" t="str">
        <f t="shared" si="796"/>
        <v>本科</v>
      </c>
      <c r="D1602" s="1" t="str">
        <f>"20250607"</f>
        <v>20250607</v>
      </c>
      <c r="E1602" s="1" t="str">
        <f>"郑州商学院"</f>
        <v>郑州商学院</v>
      </c>
      <c r="F1602" s="1" t="str">
        <f>"机械设计制造及其自动化"</f>
        <v>机械设计制造及其自动化</v>
      </c>
      <c r="G1602" s="1" t="str">
        <f>"河南省南阳市内乡县城关镇技术监督局对面"</f>
        <v>河南省南阳市内乡县城关镇技术监督局对面</v>
      </c>
      <c r="H1602" s="1" t="str">
        <f>"制图员三级证"</f>
        <v>制图员三级证</v>
      </c>
      <c r="I1602" s="1" t="str">
        <f>"202109—202506在郑州商学院就读，机电工程学院，机械设计制造及其自动化专业，全日制学历"</f>
        <v>202109—202506在郑州商学院就读，机电工程学院，机械设计制造及其自动化专业，全日制学历</v>
      </c>
    </row>
    <row r="1603" spans="1:9">
      <c r="A1603" s="1" t="str">
        <f>"411326199709014847"</f>
        <v>411326199709014847</v>
      </c>
      <c r="B1603" s="1" t="str">
        <f t="shared" si="799"/>
        <v>群众</v>
      </c>
      <c r="C1603" s="1" t="str">
        <f t="shared" si="796"/>
        <v>本科</v>
      </c>
      <c r="D1603" s="1" t="str">
        <f>"20200701"</f>
        <v>20200701</v>
      </c>
      <c r="E1603" s="1" t="str">
        <f>"郑州升达经贸管理学院"</f>
        <v>郑州升达经贸管理学院</v>
      </c>
      <c r="F1603" s="1" t="str">
        <f>"人力资源管理"</f>
        <v>人力资源管理</v>
      </c>
      <c r="G1603" s="1" t="str">
        <f>"河南省南阳市南召县板山坪镇"</f>
        <v>河南省南阳市南召县板山坪镇</v>
      </c>
      <c r="H1603" s="1" t="str">
        <f t="shared" ref="H1603:H1607" si="800">"无"</f>
        <v>无</v>
      </c>
      <c r="I1603" s="1" t="str">
        <f>"201509-201807河南牧业经济学院连锁经营管理专业，全日制
201809-202007郑州升达经贸管理学院人力资源管理专业，全日制
202007-202102 板山坪镇人民政府实习、上班
202102-至今 待业"</f>
        <v>201509-201807河南牧业经济学院连锁经营管理专业，全日制
201809-202007郑州升达经贸管理学院人力资源管理专业，全日制
202007-202102 板山坪镇人民政府实习、上班
202102-至今 待业</v>
      </c>
    </row>
    <row r="1604" spans="1:9">
      <c r="A1604" s="1" t="str">
        <f>"411327200301283922"</f>
        <v>411327200301283922</v>
      </c>
      <c r="B1604" s="1" t="str">
        <f t="shared" si="799"/>
        <v>群众</v>
      </c>
      <c r="C1604" s="1" t="str">
        <f t="shared" si="796"/>
        <v>本科</v>
      </c>
      <c r="D1604" s="1" t="str">
        <f>"20250606"</f>
        <v>20250606</v>
      </c>
      <c r="E1604" s="1" t="str">
        <f>"信阳学院"</f>
        <v>信阳学院</v>
      </c>
      <c r="F1604" s="1" t="str">
        <f>"会计学"</f>
        <v>会计学</v>
      </c>
      <c r="G1604" s="1" t="str">
        <f>"河南省南阳市内乡县乍曲镇"</f>
        <v>河南省南阳市内乡县乍曲镇</v>
      </c>
      <c r="H1604" s="1" t="str">
        <f t="shared" si="800"/>
        <v>无</v>
      </c>
      <c r="I1604" s="1" t="str">
        <f>"202009-202306焦作师范高等专科学校经济管理学院大数据与会计专业就读，是全日制学历
202309-202506信阳学院商学院会计学就读，是全日制学历"</f>
        <v>202009-202306焦作师范高等专科学校经济管理学院大数据与会计专业就读，是全日制学历
202309-202506信阳学院商学院会计学就读，是全日制学历</v>
      </c>
    </row>
    <row r="1605" spans="1:9">
      <c r="A1605" s="1" t="str">
        <f>"411327199709220022"</f>
        <v>411327199709220022</v>
      </c>
      <c r="B1605" s="1" t="str">
        <f t="shared" si="799"/>
        <v>群众</v>
      </c>
      <c r="C1605" s="1" t="str">
        <f t="shared" si="796"/>
        <v>本科</v>
      </c>
      <c r="D1605" s="1" t="str">
        <f>"202007"</f>
        <v>202007</v>
      </c>
      <c r="E1605" s="1" t="str">
        <f>"河南财经政法大学"</f>
        <v>河南财经政法大学</v>
      </c>
      <c r="F1605" s="1" t="str">
        <f>"公共事业管理"</f>
        <v>公共事业管理</v>
      </c>
      <c r="G1605" s="1" t="str">
        <f>"河南省南阳市内乡县南园村"</f>
        <v>河南省南阳市内乡县南园村</v>
      </c>
      <c r="H1605" s="1" t="str">
        <f t="shared" si="800"/>
        <v>无</v>
      </c>
      <c r="I1605" s="1" t="str">
        <f>"201609-202007 河南财经政法大学 公共管理学院公共事业管理专业就读 全日制学历
202008-202102 牧原食品股份有限公司 人力资源管理岗
202210-至今  湍东镇人民政府  事业单位编制"</f>
        <v>201609-202007 河南财经政法大学 公共管理学院公共事业管理专业就读 全日制学历
202008-202102 牧原食品股份有限公司 人力资源管理岗
202210-至今  湍东镇人民政府  事业单位编制</v>
      </c>
    </row>
    <row r="1606" spans="1:9">
      <c r="A1606" s="1" t="str">
        <f>"411302200102200824"</f>
        <v>411302200102200824</v>
      </c>
      <c r="B1606" s="1" t="str">
        <f t="shared" ref="B1606:B1609" si="801">"中共党员"</f>
        <v>中共党员</v>
      </c>
      <c r="C1606" s="1" t="str">
        <f t="shared" si="796"/>
        <v>本科</v>
      </c>
      <c r="D1606" s="1" t="str">
        <f>"20230701"</f>
        <v>20230701</v>
      </c>
      <c r="E1606" s="1" t="str">
        <f t="shared" ref="E1606:E1611" si="802">"河南科技大学"</f>
        <v>河南科技大学</v>
      </c>
      <c r="F1606" s="1" t="str">
        <f>"环境设计"</f>
        <v>环境设计</v>
      </c>
      <c r="G1606" s="1" t="str">
        <f>"河南省南阳市城乡一体化示范区长江路"</f>
        <v>河南省南阳市城乡一体化示范区长江路</v>
      </c>
      <c r="H1606" s="1" t="str">
        <f t="shared" si="800"/>
        <v>无</v>
      </c>
      <c r="I1606" s="1" t="str">
        <f>"201909-202307 河南科技大学艺术与设计学院环境设计专业 全日制本科 就读
202308-至今 河南省南阳市 待业"</f>
        <v>201909-202307 河南科技大学艺术与设计学院环境设计专业 全日制本科 就读
202308-至今 河南省南阳市 待业</v>
      </c>
    </row>
    <row r="1607" spans="1:9">
      <c r="A1607" s="1" t="str">
        <f>"411330200104251524"</f>
        <v>411330200104251524</v>
      </c>
      <c r="B1607" s="1" t="str">
        <f>"共青团员"</f>
        <v>共青团员</v>
      </c>
      <c r="C1607" s="1" t="str">
        <f t="shared" si="796"/>
        <v>本科</v>
      </c>
      <c r="D1607" s="1" t="str">
        <f>"20230601"</f>
        <v>20230601</v>
      </c>
      <c r="E1607" s="1" t="str">
        <f t="shared" si="802"/>
        <v>河南科技大学</v>
      </c>
      <c r="F1607" s="1" t="str">
        <f>"经济学"</f>
        <v>经济学</v>
      </c>
      <c r="G1607" s="1" t="str">
        <f>"河南省西峡县五里桥龙翔小区"</f>
        <v>河南省西峡县五里桥龙翔小区</v>
      </c>
      <c r="H1607" s="1" t="str">
        <f t="shared" si="800"/>
        <v>无</v>
      </c>
      <c r="I1607" s="1" t="str">
        <f>"201909-202306 河南科技大学商学院经济学专业就读
202306至今  河南省西峡县待业"</f>
        <v>201909-202306 河南科技大学商学院经济学专业就读
202306至今  河南省西峡县待业</v>
      </c>
    </row>
    <row r="1608" spans="1:9">
      <c r="A1608" s="1" t="str">
        <f>"411325200007210068"</f>
        <v>411325200007210068</v>
      </c>
      <c r="B1608" s="1" t="str">
        <f t="shared" si="801"/>
        <v>中共党员</v>
      </c>
      <c r="C1608" s="1" t="str">
        <f t="shared" si="796"/>
        <v>本科</v>
      </c>
      <c r="D1608" s="1" t="str">
        <f>"20220701"</f>
        <v>20220701</v>
      </c>
      <c r="E1608" s="1" t="str">
        <f>"信阳师范学院"</f>
        <v>信阳师范学院</v>
      </c>
      <c r="F1608" s="1" t="str">
        <f>"思想政治教育"</f>
        <v>思想政治教育</v>
      </c>
      <c r="G1608" s="1" t="str">
        <f>"河南省南阳市内乡县城关镇县衙路660"</f>
        <v>河南省南阳市内乡县城关镇县衙路660</v>
      </c>
      <c r="H1608" s="1" t="str">
        <f>"中小学二级教师"</f>
        <v>中小学二级教师</v>
      </c>
      <c r="I1608" s="1" t="str">
        <f>"201809—202207在信阳师范学院就读，全日制学历；202209—202406在唐河县第一高级中学任职；202406—202507在家待业"</f>
        <v>201809—202207在信阳师范学院就读，全日制学历；202209—202406在唐河县第一高级中学任职；202406—202507在家待业</v>
      </c>
    </row>
    <row r="1609" spans="1:9">
      <c r="A1609" s="1" t="str">
        <f>"41132719920920152X"</f>
        <v>41132719920920152X</v>
      </c>
      <c r="B1609" s="1" t="str">
        <f t="shared" si="801"/>
        <v>中共党员</v>
      </c>
      <c r="C1609" s="1" t="str">
        <f t="shared" si="796"/>
        <v>本科</v>
      </c>
      <c r="D1609" s="1" t="str">
        <f>"20140701"</f>
        <v>20140701</v>
      </c>
      <c r="E1609" s="1" t="str">
        <f>"郑州华信学院"</f>
        <v>郑州华信学院</v>
      </c>
      <c r="F1609" s="1" t="str">
        <f>"护理学"</f>
        <v>护理学</v>
      </c>
      <c r="G1609" s="1" t="str">
        <f>"河南省南阳市内乡县湍东镇北符营村屯土屯南组"</f>
        <v>河南省南阳市内乡县湍东镇北符营村屯土屯南组</v>
      </c>
      <c r="H1609" s="1" t="str">
        <f>"主管护师"</f>
        <v>主管护师</v>
      </c>
      <c r="I1609" s="1" t="str">
        <f>"201009-201407郑州华信学院护理系护理学专业，全日制本科学历
201407-至今在内乡县人民医院工作"</f>
        <v>201009-201407郑州华信学院护理系护理学专业，全日制本科学历
201407-至今在内乡县人民医院工作</v>
      </c>
    </row>
    <row r="1610" spans="1:9">
      <c r="A1610" s="1" t="str">
        <f>"411325200012162988"</f>
        <v>411325200012162988</v>
      </c>
      <c r="B1610" s="1" t="str">
        <f t="shared" ref="B1610:B1615" si="803">"共青团员"</f>
        <v>共青团员</v>
      </c>
      <c r="C1610" s="1" t="str">
        <f t="shared" si="796"/>
        <v>本科</v>
      </c>
      <c r="D1610" s="1" t="str">
        <f>"20210615"</f>
        <v>20210615</v>
      </c>
      <c r="E1610" s="1" t="str">
        <f>"石河子大学"</f>
        <v>石河子大学</v>
      </c>
      <c r="F1610" s="1" t="str">
        <f>"工商管理"</f>
        <v>工商管理</v>
      </c>
      <c r="G1610" s="1" t="str">
        <f>"河南省南阳市内乡县"</f>
        <v>河南省南阳市内乡县</v>
      </c>
      <c r="H1610" s="1" t="str">
        <f t="shared" ref="H1610:H1624" si="804">"无"</f>
        <v>无</v>
      </c>
      <c r="I1610" s="1" t="str">
        <f>"201709-202106 就读于石河子大学经济与管理学院工商管理专业，全日制学历；
202107-202209 待业
202210至今 内乡县人民检察院书记员"</f>
        <v>201709-202106 就读于石河子大学经济与管理学院工商管理专业，全日制学历；
202107-202209 待业
202210至今 内乡县人民检察院书记员</v>
      </c>
    </row>
    <row r="1611" spans="1:9">
      <c r="A1611" s="1" t="str">
        <f>"411327200207121521"</f>
        <v>411327200207121521</v>
      </c>
      <c r="B1611" s="1" t="str">
        <f t="shared" ref="B1611:B1616" si="805">"群众"</f>
        <v>群众</v>
      </c>
      <c r="C1611" s="1" t="str">
        <f t="shared" si="796"/>
        <v>本科</v>
      </c>
      <c r="D1611" s="1" t="str">
        <f>"20230630"</f>
        <v>20230630</v>
      </c>
      <c r="E1611" s="1" t="str">
        <f t="shared" si="802"/>
        <v>河南科技大学</v>
      </c>
      <c r="F1611" s="1" t="str">
        <f>"会计学"</f>
        <v>会计学</v>
      </c>
      <c r="G1611" s="1" t="str">
        <f>"河南省南阳市内乡县湍东镇"</f>
        <v>河南省南阳市内乡县湍东镇</v>
      </c>
      <c r="H1611" s="1" t="str">
        <f t="shared" si="804"/>
        <v>无</v>
      </c>
      <c r="I1611" s="1" t="str">
        <f>"201909-202306 河南科技大学商学院会计学专业就读 全日制学历
202307 南阳市内乡县待业
202308至今 内乡县卫生监督所公益性岗位就业"</f>
        <v>201909-202306 河南科技大学商学院会计学专业就读 全日制学历
202307 南阳市内乡县待业
202308至今 内乡县卫生监督所公益性岗位就业</v>
      </c>
    </row>
    <row r="1612" spans="1:9">
      <c r="A1612" s="1" t="str">
        <f>"411327200208142025"</f>
        <v>411327200208142025</v>
      </c>
      <c r="B1612" s="1" t="str">
        <f t="shared" si="805"/>
        <v>群众</v>
      </c>
      <c r="C1612" s="1" t="str">
        <f>"专科"</f>
        <v>专科</v>
      </c>
      <c r="D1612" s="1" t="str">
        <f>"20240630"</f>
        <v>20240630</v>
      </c>
      <c r="E1612" s="1" t="str">
        <f>"驻马店幼儿师范高等专科学校"</f>
        <v>驻马店幼儿师范高等专科学校</v>
      </c>
      <c r="F1612" s="1" t="str">
        <f>"学前教育专业"</f>
        <v>学前教育专业</v>
      </c>
      <c r="G1612" s="1" t="str">
        <f>"河南省南阳市内乡县师岗镇王营村"</f>
        <v>河南省南阳市内乡县师岗镇王营村</v>
      </c>
      <c r="H1612" s="1" t="str">
        <f t="shared" si="804"/>
        <v>无</v>
      </c>
      <c r="I1612" s="1" t="str">
        <f>"202109-202406 驻马店幼儿师范高等专科学校学前教育专业 全日制就读
201809-202106 南阳幼儿师范学校学前教育专业 全日制就读
201709-201805 内乡实验高中 全日制就读
201409-201706 师岗镇一初中 全日制就读
200809-201406 师岗镇中心小学 全日制就读"</f>
        <v>202109-202406 驻马店幼儿师范高等专科学校学前教育专业 全日制就读
201809-202106 南阳幼儿师范学校学前教育专业 全日制就读
201709-201805 内乡实验高中 全日制就读
201409-201706 师岗镇一初中 全日制就读
200809-201406 师岗镇中心小学 全日制就读</v>
      </c>
    </row>
    <row r="1613" spans="1:9">
      <c r="A1613" s="1" t="str">
        <f>"41050220020223006X"</f>
        <v>41050220020223006X</v>
      </c>
      <c r="B1613" s="1" t="str">
        <f t="shared" si="803"/>
        <v>共青团员</v>
      </c>
      <c r="C1613" s="1" t="str">
        <f t="shared" ref="C1613:C1617" si="806">"本科"</f>
        <v>本科</v>
      </c>
      <c r="D1613" s="1" t="str">
        <f>"20240630"</f>
        <v>20240630</v>
      </c>
      <c r="E1613" s="1" t="str">
        <f>"武汉工程科技学院"</f>
        <v>武汉工程科技学院</v>
      </c>
      <c r="F1613" s="1" t="str">
        <f>"汉语言文学"</f>
        <v>汉语言文学</v>
      </c>
      <c r="G1613" s="1" t="str">
        <f>"河南省安阳市文峰区德隆街相东小区西区"</f>
        <v>河南省安阳市文峰区德隆街相东小区西区</v>
      </c>
      <c r="H1613" s="1" t="str">
        <f t="shared" si="804"/>
        <v>无</v>
      </c>
      <c r="I1613" s="1" t="str">
        <f>"202009-202406 武汉工程科技学院 就读人文学院汉语言文学专业 全日制学历
202406-至今待业"</f>
        <v>202009-202406 武汉工程科技学院 就读人文学院汉语言文学专业 全日制学历
202406-至今待业</v>
      </c>
    </row>
    <row r="1614" spans="1:9">
      <c r="A1614" s="1" t="str">
        <f>"412822199507203415"</f>
        <v>412822199507203415</v>
      </c>
      <c r="B1614" s="1" t="str">
        <f>"中共党员"</f>
        <v>中共党员</v>
      </c>
      <c r="C1614" s="1" t="str">
        <f t="shared" si="806"/>
        <v>本科</v>
      </c>
      <c r="D1614" s="1" t="str">
        <f>"20210701"</f>
        <v>20210701</v>
      </c>
      <c r="E1614" s="1" t="str">
        <f>"信阳学院"</f>
        <v>信阳学院</v>
      </c>
      <c r="F1614" s="1" t="str">
        <f>"汉语言文学"</f>
        <v>汉语言文学</v>
      </c>
      <c r="G1614" s="1" t="str">
        <f>"河南省驻马店市泌阳县黄山口乡下罗村委庙湾"</f>
        <v>河南省驻马店市泌阳县黄山口乡下罗村委庙湾</v>
      </c>
      <c r="H1614" s="1" t="str">
        <f t="shared" si="804"/>
        <v>无</v>
      </c>
      <c r="I1614" s="1" t="str">
        <f>"201709-202107 信阳学院 文学院 汉语言文学专业 就读 全日制。
202107-202109  杭州自如  租房管家。
202110-202306  在家待业。
202307-202311  郑州高途  课程顾问。
202312-202502  在家待业。
202503-202504  广州新东方，课程顾问。
202505-至今   在家待业"</f>
        <v>201709-202107 信阳学院 文学院 汉语言文学专业 就读 全日制。
202107-202109  杭州自如  租房管家。
202110-202306  在家待业。
202307-202311  郑州高途  课程顾问。
202312-202502  在家待业。
202503-202504  广州新东方，课程顾问。
202505-至今   在家待业</v>
      </c>
    </row>
    <row r="1615" spans="1:9">
      <c r="A1615" s="1" t="str">
        <f>"411330200101032027"</f>
        <v>411330200101032027</v>
      </c>
      <c r="B1615" s="1" t="str">
        <f t="shared" si="803"/>
        <v>共青团员</v>
      </c>
      <c r="C1615" s="1" t="str">
        <f t="shared" ref="C1615:C1619" si="807">"专科"</f>
        <v>专科</v>
      </c>
      <c r="D1615" s="1" t="str">
        <f>"2024-07-03"</f>
        <v>2024-07-03</v>
      </c>
      <c r="E1615" s="1" t="str">
        <f>"信阳航空职业学院"</f>
        <v>信阳航空职业学院</v>
      </c>
      <c r="F1615" s="1" t="str">
        <f>"空中乘务"</f>
        <v>空中乘务</v>
      </c>
      <c r="G1615" s="1" t="str">
        <f>"河南省南阳市西峡县五里桥封湾"</f>
        <v>河南省南阳市西峡县五里桥封湾</v>
      </c>
      <c r="H1615" s="1" t="str">
        <f t="shared" si="804"/>
        <v>无</v>
      </c>
      <c r="I1615" s="1" t="str">
        <f>"2021年9月-2024年7月 信阳航空职业学院就读 是全日制"</f>
        <v>2021年9月-2024年7月 信阳航空职业学院就读 是全日制</v>
      </c>
    </row>
    <row r="1616" spans="1:9">
      <c r="A1616" s="1" t="str">
        <f>"152627200408140511"</f>
        <v>152627200408140511</v>
      </c>
      <c r="B1616" s="1" t="str">
        <f t="shared" si="805"/>
        <v>群众</v>
      </c>
      <c r="C1616" s="1" t="str">
        <f t="shared" si="806"/>
        <v>本科</v>
      </c>
      <c r="D1616" s="1" t="str">
        <f>"20260701"</f>
        <v>20260701</v>
      </c>
      <c r="E1616" s="1" t="str">
        <f>"南阳理工学院"</f>
        <v>南阳理工学院</v>
      </c>
      <c r="F1616" s="1" t="str">
        <f>"音乐学"</f>
        <v>音乐学</v>
      </c>
      <c r="G1616" s="1" t="str">
        <f>"河南省南阳市宛城区森林半岛"</f>
        <v>河南省南阳市宛城区森林半岛</v>
      </c>
      <c r="H1616" s="1" t="str">
        <f t="shared" si="804"/>
        <v>无</v>
      </c>
      <c r="I1616" s="1" t="str">
        <f>"202209-202607南阳理工学院教师教育学院音乐学专业就读"</f>
        <v>202209-202607南阳理工学院教师教育学院音乐学专业就读</v>
      </c>
    </row>
    <row r="1617" spans="1:9">
      <c r="A1617" s="1" t="str">
        <f>"411327200108164964"</f>
        <v>411327200108164964</v>
      </c>
      <c r="B1617" s="1" t="str">
        <f>"共青团员"</f>
        <v>共青团员</v>
      </c>
      <c r="C1617" s="1" t="str">
        <f t="shared" si="806"/>
        <v>本科</v>
      </c>
      <c r="D1617" s="1" t="str">
        <f>"20240606"</f>
        <v>20240606</v>
      </c>
      <c r="E1617" s="1" t="str">
        <f>"信阳学院"</f>
        <v>信阳学院</v>
      </c>
      <c r="F1617" s="1" t="str">
        <f>"小学教育"</f>
        <v>小学教育</v>
      </c>
      <c r="G1617" s="1" t="str">
        <f>"河南省南阳市内乡县灌涨镇杨岗村"</f>
        <v>河南省南阳市内乡县灌涨镇杨岗村</v>
      </c>
      <c r="H1617" s="1" t="str">
        <f t="shared" si="804"/>
        <v>无</v>
      </c>
      <c r="I1617" s="1" t="str">
        <f>"202009-202406  信阳学院教育学院小学教育专业 就读 是全日制学历
202406-202507  河南省南阳市内乡县待业"</f>
        <v>202009-202406  信阳学院教育学院小学教育专业 就读 是全日制学历
202406-202507  河南省南阳市内乡县待业</v>
      </c>
    </row>
    <row r="1618" spans="1:9">
      <c r="A1618" s="1" t="str">
        <f>"410102199907310097"</f>
        <v>410102199907310097</v>
      </c>
      <c r="B1618" s="1" t="str">
        <f t="shared" ref="B1618:B1623" si="808">"中共党员"</f>
        <v>中共党员</v>
      </c>
      <c r="C1618" s="1" t="str">
        <f t="shared" si="807"/>
        <v>专科</v>
      </c>
      <c r="D1618" s="1" t="str">
        <f>"202400701"</f>
        <v>202400701</v>
      </c>
      <c r="E1618" s="1" t="str">
        <f>"济源职业技术学校"</f>
        <v>济源职业技术学校</v>
      </c>
      <c r="F1618" s="1" t="str">
        <f>"会计"</f>
        <v>会计</v>
      </c>
      <c r="G1618" s="1" t="str">
        <f>"河南省郑州高新区翠竹东街石佛祥园"</f>
        <v>河南省郑州高新区翠竹东街石佛祥园</v>
      </c>
      <c r="H1618" s="1" t="str">
        <f t="shared" si="804"/>
        <v>无</v>
      </c>
      <c r="I1618" s="1" t="str">
        <f>"202109-202407 在济源职业技术学院经济管理学院会计专业就读全日制大专
2024至今在家备考"</f>
        <v>202109-202407 在济源职业技术学院经济管理学院会计专业就读全日制大专
2024至今在家备考</v>
      </c>
    </row>
    <row r="1619" spans="1:9">
      <c r="A1619" s="1" t="str">
        <f>"411327199508050012"</f>
        <v>411327199508050012</v>
      </c>
      <c r="B1619" s="1" t="str">
        <f t="shared" ref="B1619:B1627" si="809">"群众"</f>
        <v>群众</v>
      </c>
      <c r="C1619" s="1" t="str">
        <f t="shared" si="807"/>
        <v>专科</v>
      </c>
      <c r="D1619" s="1" t="str">
        <f>"20210701"</f>
        <v>20210701</v>
      </c>
      <c r="E1619" s="1" t="str">
        <f>"河南建筑职业技术学院"</f>
        <v>河南建筑职业技术学院</v>
      </c>
      <c r="F1619" s="1" t="str">
        <f>"建筑工程技术"</f>
        <v>建筑工程技术</v>
      </c>
      <c r="G1619" s="1" t="str">
        <f>"河南省南阳市内乡县东湖家园"</f>
        <v>河南省南阳市内乡县东湖家园</v>
      </c>
      <c r="H1619" s="1" t="str">
        <f t="shared" si="804"/>
        <v>无</v>
      </c>
      <c r="I1619" s="1" t="str">
        <f>"20130901-20140901 河南建筑职业技术学院就读 建筑工程技术专业 全日制
20140905-20150401于天津装备训练基地 学兵
20150402-20190830于石家庄飞行学院第四训练旅第三中队 特设员
20190901-20210701河南建筑职业技术学院就读  建筑工程技术专业 全日制
20210701-20250729内乡待业"</f>
        <v>20130901-20140901 河南建筑职业技术学院就读 建筑工程技术专业 全日制
20140905-20150401于天津装备训练基地 学兵
20150402-20190830于石家庄飞行学院第四训练旅第三中队 特设员
20190901-20210701河南建筑职业技术学院就读  建筑工程技术专业 全日制
20210701-20250729内乡待业</v>
      </c>
    </row>
    <row r="1620" spans="1:9">
      <c r="A1620" s="1" t="str">
        <f>"410822200101029000"</f>
        <v>410822200101029000</v>
      </c>
      <c r="B1620" s="1" t="str">
        <f t="shared" si="808"/>
        <v>中共党员</v>
      </c>
      <c r="C1620" s="1" t="str">
        <f t="shared" ref="C1620:C1629" si="810">"本科"</f>
        <v>本科</v>
      </c>
      <c r="D1620" s="1" t="str">
        <f>"20240630"</f>
        <v>20240630</v>
      </c>
      <c r="E1620" s="1" t="str">
        <f>"郑州师范学院"</f>
        <v>郑州师范学院</v>
      </c>
      <c r="F1620" s="1" t="str">
        <f>"应用心理学"</f>
        <v>应用心理学</v>
      </c>
      <c r="G1620" s="1" t="str">
        <f>"河南省焦作市博爱县磨头镇南十字村"</f>
        <v>河南省焦作市博爱县磨头镇南十字村</v>
      </c>
      <c r="H1620" s="1" t="str">
        <f t="shared" si="804"/>
        <v>无</v>
      </c>
      <c r="I1620" s="1" t="str">
        <f>"201909-202206   河南财政金融学院  教育科学学院 心理咨询
202209-202406    郑州师范学院       教育科学学院 应用心理学"</f>
        <v>201909-202206   河南财政金融学院  教育科学学院 心理咨询
202209-202406    郑州师范学院       教育科学学院 应用心理学</v>
      </c>
    </row>
    <row r="1621" spans="1:9">
      <c r="A1621" s="1" t="str">
        <f>"41132720030225332X"</f>
        <v>41132720030225332X</v>
      </c>
      <c r="B1621" s="1" t="str">
        <f t="shared" si="809"/>
        <v>群众</v>
      </c>
      <c r="C1621" s="1" t="str">
        <f>"专科"</f>
        <v>专科</v>
      </c>
      <c r="D1621" s="1" t="str">
        <f>"20250629"</f>
        <v>20250629</v>
      </c>
      <c r="E1621" s="1" t="str">
        <f>"郑州卫生健康职业学院"</f>
        <v>郑州卫生健康职业学院</v>
      </c>
      <c r="F1621" s="1" t="str">
        <f>"康复治疗技术"</f>
        <v>康复治疗技术</v>
      </c>
      <c r="G1621" s="1" t="str">
        <f>"河南省南阳市内乡县七里坪乡后会村"</f>
        <v>河南省南阳市内乡县七里坪乡后会村</v>
      </c>
      <c r="H1621" s="1" t="str">
        <f t="shared" si="804"/>
        <v>无</v>
      </c>
      <c r="I1621" s="1" t="str">
        <f>"202209-202506在郑州卫生健康职业学院康复系康复治疗技术专业就读，全日制学历。"</f>
        <v>202209-202506在郑州卫生健康职业学院康复系康复治疗技术专业就读，全日制学历。</v>
      </c>
    </row>
    <row r="1622" spans="1:9">
      <c r="A1622" s="1" t="str">
        <f>"411327200209020628"</f>
        <v>411327200209020628</v>
      </c>
      <c r="B1622" s="1" t="str">
        <f>"共青团员"</f>
        <v>共青团员</v>
      </c>
      <c r="C1622" s="1" t="str">
        <f>"专科"</f>
        <v>专科</v>
      </c>
      <c r="D1622" s="1" t="str">
        <f>"20240701"</f>
        <v>20240701</v>
      </c>
      <c r="E1622" s="1" t="str">
        <f>"河南林业职业学院"</f>
        <v>河南林业职业学院</v>
      </c>
      <c r="F1622" s="1" t="str">
        <f>"园艺技术"</f>
        <v>园艺技术</v>
      </c>
      <c r="G1622" s="1" t="str">
        <f>"河南省南阳市内乡县马山口镇花北村杨池沟"</f>
        <v>河南省南阳市内乡县马山口镇花北村杨池沟</v>
      </c>
      <c r="H1622" s="1" t="str">
        <f t="shared" si="804"/>
        <v>无</v>
      </c>
      <c r="I1622" s="1" t="str">
        <f>"202109-202407在河南林业职业学院园林系园艺技术专业就读，全日制学历"</f>
        <v>202109-202407在河南林业职业学院园林系园艺技术专业就读，全日制学历</v>
      </c>
    </row>
    <row r="1623" spans="1:9">
      <c r="A1623" s="1" t="str">
        <f>"412829200008270058"</f>
        <v>412829200008270058</v>
      </c>
      <c r="B1623" s="1" t="str">
        <f t="shared" si="808"/>
        <v>中共党员</v>
      </c>
      <c r="C1623" s="1" t="str">
        <f t="shared" si="810"/>
        <v>本科</v>
      </c>
      <c r="D1623" s="1" t="str">
        <f>"20250701"</f>
        <v>20250701</v>
      </c>
      <c r="E1623" s="1" t="str">
        <f>"河南师范大学"</f>
        <v>河南师范大学</v>
      </c>
      <c r="F1623" s="1" t="str">
        <f>"法学"</f>
        <v>法学</v>
      </c>
      <c r="G1623" s="1" t="str">
        <f>"河南省驻马店市正阳县"</f>
        <v>河南省驻马店市正阳县</v>
      </c>
      <c r="H1623" s="1" t="str">
        <f t="shared" si="804"/>
        <v>无</v>
      </c>
      <c r="I1623" s="1" t="str">
        <f>"201909-202206  郑州理工职业学院学前教育学院学前教育专业就读全日制.202309-202507 河南师范大学法学院法学专业就读非全日制"</f>
        <v>201909-202206  郑州理工职业学院学前教育学院学前教育专业就读全日制.202309-202507 河南师范大学法学院法学专业就读非全日制</v>
      </c>
    </row>
    <row r="1624" spans="1:9">
      <c r="A1624" s="1" t="str">
        <f>"411330200105061511"</f>
        <v>411330200105061511</v>
      </c>
      <c r="B1624" s="1" t="str">
        <f t="shared" si="809"/>
        <v>群众</v>
      </c>
      <c r="C1624" s="1" t="str">
        <f t="shared" si="810"/>
        <v>本科</v>
      </c>
      <c r="D1624" s="1" t="str">
        <f>"2023-07-01"</f>
        <v>2023-07-01</v>
      </c>
      <c r="E1624" s="1" t="str">
        <f>"长春师范大学"</f>
        <v>长春师范大学</v>
      </c>
      <c r="F1624" s="1" t="str">
        <f>"数据科学与大数据技术"</f>
        <v>数据科学与大数据技术</v>
      </c>
      <c r="G1624" s="1" t="str">
        <f>"河南省南阳市西峡县白羽路"</f>
        <v>河南省南阳市西峡县白羽路</v>
      </c>
      <c r="H1624" s="1" t="str">
        <f t="shared" si="804"/>
        <v>无</v>
      </c>
      <c r="I1624" s="1" t="str">
        <f>"2019.09-2023.06就读于长春师范大学数据科学与大数据技术专业，全日制本科学历；
2023.07至今考研考公"</f>
        <v>2019.09-2023.06就读于长春师范大学数据科学与大数据技术专业，全日制本科学历；
2023.07至今考研考公</v>
      </c>
    </row>
    <row r="1625" spans="1:9">
      <c r="A1625" s="1" t="str">
        <f>"411325200202010045"</f>
        <v>411325200202010045</v>
      </c>
      <c r="B1625" s="1" t="str">
        <f t="shared" si="809"/>
        <v>群众</v>
      </c>
      <c r="C1625" s="1" t="str">
        <f t="shared" si="810"/>
        <v>本科</v>
      </c>
      <c r="D1625" s="1" t="str">
        <f>"20240625"</f>
        <v>20240625</v>
      </c>
      <c r="E1625" s="1" t="str">
        <f>"河南财政金融学院"</f>
        <v>河南财政金融学院</v>
      </c>
      <c r="F1625" s="1" t="str">
        <f>"信用风险管理与法律防控"</f>
        <v>信用风险管理与法律防控</v>
      </c>
      <c r="G1625" s="1" t="str">
        <f>"河南省南阳市内乡县郦都大道郦都花园16号楼附155号"</f>
        <v>河南省南阳市内乡县郦都大道郦都花园16号楼附155号</v>
      </c>
      <c r="H1625" s="1" t="str">
        <f>"法律职业资格证书a证"</f>
        <v>法律职业资格证书a证</v>
      </c>
      <c r="I1625" s="1" t="str">
        <f>"202009-202406河南财政金融学院法学院信用风险管理与法律防控专业就读；202406-202507河南省南阳市内乡县待业"</f>
        <v>202009-202406河南财政金融学院法学院信用风险管理与法律防控专业就读；202406-202507河南省南阳市内乡县待业</v>
      </c>
    </row>
    <row r="1626" spans="1:9">
      <c r="A1626" s="1" t="str">
        <f>"411327199905301567"</f>
        <v>411327199905301567</v>
      </c>
      <c r="B1626" s="1" t="str">
        <f t="shared" si="809"/>
        <v>群众</v>
      </c>
      <c r="C1626" s="1" t="str">
        <f t="shared" si="810"/>
        <v>本科</v>
      </c>
      <c r="D1626" s="1" t="str">
        <f>"2022.07"</f>
        <v>2022.07</v>
      </c>
      <c r="E1626" s="1" t="str">
        <f>"商丘工学院"</f>
        <v>商丘工学院</v>
      </c>
      <c r="F1626" s="1" t="str">
        <f>"产品设计"</f>
        <v>产品设计</v>
      </c>
      <c r="G1626" s="1" t="str">
        <f>"河南省南阳市内乡县湍东镇罗岗村"</f>
        <v>河南省南阳市内乡县湍东镇罗岗村</v>
      </c>
      <c r="H1626" s="1" t="str">
        <f>"高中美术教师资格证"</f>
        <v>高中美术教师资格证</v>
      </c>
      <c r="I1626" s="1" t="str">
        <f>"201809-202206商丘工学院就读产品设计专业，全日制
202209-202506内乡郦都初中任教道法学科教师"</f>
        <v>201809-202206商丘工学院就读产品设计专业，全日制
202209-202506内乡郦都初中任教道法学科教师</v>
      </c>
    </row>
    <row r="1627" spans="1:9">
      <c r="A1627" s="1" t="str">
        <f>"370724199908090311"</f>
        <v>370724199908090311</v>
      </c>
      <c r="B1627" s="1" t="str">
        <f t="shared" si="809"/>
        <v>群众</v>
      </c>
      <c r="C1627" s="1" t="str">
        <f t="shared" si="810"/>
        <v>本科</v>
      </c>
      <c r="D1627" s="1" t="str">
        <f>"2023-06-20"</f>
        <v>2023-06-20</v>
      </c>
      <c r="E1627" s="1" t="str">
        <f>"山东青年政治学院"</f>
        <v>山东青年政治学院</v>
      </c>
      <c r="F1627" s="1" t="str">
        <f>"物业管理"</f>
        <v>物业管理</v>
      </c>
      <c r="G1627" s="1" t="str">
        <f>"山东省滨州市沾化区水岸龙居46-401"</f>
        <v>山东省滨州市沾化区水岸龙居46-401</v>
      </c>
      <c r="H1627" s="1" t="str">
        <f t="shared" ref="H1627:H1632" si="811">"无"</f>
        <v>无</v>
      </c>
      <c r="I1627" s="1" t="str">
        <f>"201809-202106 青岛理工大学管理工程系建设工程管理专业 专科 全日制
202109-202306 山东青年政治学院现代服务管理学院物业管理专业 本科 全日制
202307-202309 雨润物业服务有限公司 客服
202309-202506 山东省潍坊市临朐县冶源街道涌泉家园待业
202506-至今 滨州益谦人力资源有限公司派遣至滨州市生态环境局沾化分局"</f>
        <v>201809-202106 青岛理工大学管理工程系建设工程管理专业 专科 全日制
202109-202306 山东青年政治学院现代服务管理学院物业管理专业 本科 全日制
202307-202309 雨润物业服务有限公司 客服
202309-202506 山东省潍坊市临朐县冶源街道涌泉家园待业
202506-至今 滨州益谦人力资源有限公司派遣至滨州市生态环境局沾化分局</v>
      </c>
    </row>
    <row r="1628" spans="1:9">
      <c r="A1628" s="1" t="str">
        <f>"411327199105160014"</f>
        <v>411327199105160014</v>
      </c>
      <c r="B1628" s="1" t="str">
        <f>"中共党员"</f>
        <v>中共党员</v>
      </c>
      <c r="C1628" s="1" t="str">
        <f t="shared" si="810"/>
        <v>本科</v>
      </c>
      <c r="D1628" s="1" t="str">
        <f>"20230701"</f>
        <v>20230701</v>
      </c>
      <c r="E1628" s="1" t="str">
        <f>"河南农业大学"</f>
        <v>河南农业大学</v>
      </c>
      <c r="F1628" s="1" t="str">
        <f>"园林"</f>
        <v>园林</v>
      </c>
      <c r="G1628" s="1" t="str">
        <f>"河南省南阳市卧龙区车站南路淯滨花园"</f>
        <v>河南省南阳市卧龙区车站南路淯滨花园</v>
      </c>
      <c r="H1628" s="1" t="str">
        <f>"林业助理工程师"</f>
        <v>林业助理工程师</v>
      </c>
      <c r="I1628" s="1" t="str">
        <f>"200909-201107 南阳师范学院动漫设计与制作专业 全日制专科学历
201107-201301 毕业待分配
201301至今    国有南阳市黄石庵林场工作  人事代理（期间：202103-202307 河南农业大学园林专业 非全日制本科学历） "</f>
        <v>200909-201107 南阳师范学院动漫设计与制作专业 全日制专科学历
201107-201301 毕业待分配
201301至今    国有南阳市黄石庵林场工作  人事代理（期间：202103-202307 河南农业大学园林专业 非全日制本科学历） </v>
      </c>
    </row>
    <row r="1629" spans="1:9">
      <c r="A1629" s="1" t="str">
        <f>"410421200210290023"</f>
        <v>410421200210290023</v>
      </c>
      <c r="B1629" s="1" t="str">
        <f t="shared" ref="B1629:B1633" si="812">"共青团员"</f>
        <v>共青团员</v>
      </c>
      <c r="C1629" s="1" t="str">
        <f t="shared" si="810"/>
        <v>本科</v>
      </c>
      <c r="D1629" s="1" t="str">
        <f>"20240701"</f>
        <v>20240701</v>
      </c>
      <c r="E1629" s="1" t="str">
        <f>"河南科技大学"</f>
        <v>河南科技大学</v>
      </c>
      <c r="F1629" s="1" t="str">
        <f>"林学"</f>
        <v>林学</v>
      </c>
      <c r="G1629" s="1" t="str">
        <f>"河南省平顶山市宝丰县城关镇"</f>
        <v>河南省平顶山市宝丰县城关镇</v>
      </c>
      <c r="H1629" s="1" t="str">
        <f t="shared" si="811"/>
        <v>无</v>
      </c>
      <c r="I1629" s="1" t="str">
        <f>"202009-202407在河南科技大学园艺与植物保护学院林学专业就读，是全日制"</f>
        <v>202009-202407在河南科技大学园艺与植物保护学院林学专业就读，是全日制</v>
      </c>
    </row>
    <row r="1630" spans="1:9">
      <c r="A1630" s="1" t="str">
        <f>"411327200403304528"</f>
        <v>411327200403304528</v>
      </c>
      <c r="B1630" s="1" t="str">
        <f t="shared" si="812"/>
        <v>共青团员</v>
      </c>
      <c r="C1630" s="1" t="str">
        <f>"专科"</f>
        <v>专科</v>
      </c>
      <c r="D1630" s="1" t="str">
        <f t="shared" ref="D1630:D1634" si="813">"20250701"</f>
        <v>20250701</v>
      </c>
      <c r="E1630" s="1" t="str">
        <f>"河南检察职业学院"</f>
        <v>河南检察职业学院</v>
      </c>
      <c r="F1630" s="1" t="str">
        <f>"法律事务"</f>
        <v>法律事务</v>
      </c>
      <c r="G1630" s="1" t="str">
        <f>"河南省南阳市内乡县武装部院内"</f>
        <v>河南省南阳市内乡县武装部院内</v>
      </c>
      <c r="H1630" s="1" t="str">
        <f t="shared" si="811"/>
        <v>无</v>
      </c>
      <c r="I1630" s="1" t="str">
        <f>"202209-202506在河南检察职业学院法律系法律事务专业就读，是全日制学历"</f>
        <v>202209-202506在河南检察职业学院法律系法律事务专业就读，是全日制学历</v>
      </c>
    </row>
    <row r="1631" spans="1:9">
      <c r="A1631" s="1" t="str">
        <f>"411327200302100622"</f>
        <v>411327200302100622</v>
      </c>
      <c r="B1631" s="1" t="str">
        <f>"群众"</f>
        <v>群众</v>
      </c>
      <c r="C1631" s="1" t="str">
        <f t="shared" ref="C1631:C1644" si="814">"本科"</f>
        <v>本科</v>
      </c>
      <c r="D1631" s="1" t="str">
        <f t="shared" si="813"/>
        <v>20250701</v>
      </c>
      <c r="E1631" s="1" t="str">
        <f>"南阳理工学院"</f>
        <v>南阳理工学院</v>
      </c>
      <c r="F1631" s="1" t="str">
        <f>"广播电视编导"</f>
        <v>广播电视编导</v>
      </c>
      <c r="G1631" s="1" t="str">
        <f>"河南省南阳市内乡县马山口镇新通街4号"</f>
        <v>河南省南阳市内乡县马山口镇新通街4号</v>
      </c>
      <c r="H1631" s="1" t="str">
        <f t="shared" si="811"/>
        <v>无</v>
      </c>
      <c r="I1631" s="1" t="str">
        <f>"202109-202507南阳理工学院传媒学院广播电视编导专业就读"</f>
        <v>202109-202507南阳理工学院传媒学院广播电视编导专业就读</v>
      </c>
    </row>
    <row r="1632" spans="1:9">
      <c r="A1632" s="1" t="str">
        <f>"411326200009290037"</f>
        <v>411326200009290037</v>
      </c>
      <c r="B1632" s="1" t="str">
        <f t="shared" ref="B1632:B1637" si="815">"中共党员"</f>
        <v>中共党员</v>
      </c>
      <c r="C1632" s="1" t="str">
        <f t="shared" si="814"/>
        <v>本科</v>
      </c>
      <c r="D1632" s="1" t="str">
        <f>"20220701"</f>
        <v>20220701</v>
      </c>
      <c r="E1632" s="1" t="str">
        <f>"黄河科技学院"</f>
        <v>黄河科技学院</v>
      </c>
      <c r="F1632" s="1" t="str">
        <f>"土木工程"</f>
        <v>土木工程</v>
      </c>
      <c r="G1632" s="1" t="str">
        <f>"河南省南阳市南召县城关镇伏山路3号"</f>
        <v>河南省南阳市南召县城关镇伏山路3号</v>
      </c>
      <c r="H1632" s="1" t="str">
        <f t="shared" si="811"/>
        <v>无</v>
      </c>
      <c r="I1632" s="1" t="str">
        <f>"201809-202207  黄河科技学院 应用技术学院 土木工程专业就读  全日制学历
202207-202212  泛化保险公估有限公司河南分公司就职
202301-202304  在南召县待业
202304-至今       南召县蚕菌中心公益性岗位"</f>
        <v>201809-202207  黄河科技学院 应用技术学院 土木工程专业就读  全日制学历
202207-202212  泛化保险公估有限公司河南分公司就职
202301-202304  在南召县待业
202304-至今       南召县蚕菌中心公益性岗位</v>
      </c>
    </row>
    <row r="1633" spans="1:9">
      <c r="A1633" s="1" t="str">
        <f>"411325199910091987"</f>
        <v>411325199910091987</v>
      </c>
      <c r="B1633" s="1" t="str">
        <f t="shared" si="812"/>
        <v>共青团员</v>
      </c>
      <c r="C1633" s="1" t="str">
        <f t="shared" si="814"/>
        <v>本科</v>
      </c>
      <c r="D1633" s="1" t="str">
        <f>"20220602"</f>
        <v>20220602</v>
      </c>
      <c r="E1633" s="1" t="str">
        <f>"三江学院"</f>
        <v>三江学院</v>
      </c>
      <c r="F1633" s="1" t="str">
        <f>"财务管理"</f>
        <v>财务管理</v>
      </c>
      <c r="G1633" s="1" t="str">
        <f>"河南省南阳市宛城区仲景街道医圣祠街上岗社区449巷10号"</f>
        <v>河南省南阳市宛城区仲景街道医圣祠街上岗社区449巷10号</v>
      </c>
      <c r="H1633" s="1" t="str">
        <f>"初级会计师"</f>
        <v>初级会计师</v>
      </c>
      <c r="I1633" s="1" t="str">
        <f>"201809-202206 三江学院就读财务管理，全日制
202207-202301 待业
202302-202308 河南华必信会计事务所审计助理
202309-202402杭州仁源汽配有限公司采购助理
202403-202411杭州漋海科技有限公司订单员
202412-202504杭州枣树供应链有限公司业务助理
202504-202507待业"</f>
        <v>201809-202206 三江学院就读财务管理，全日制
202207-202301 待业
202302-202308 河南华必信会计事务所审计助理
202309-202402杭州仁源汽配有限公司采购助理
202403-202411杭州漋海科技有限公司订单员
202412-202504杭州枣树供应链有限公司业务助理
202504-202507待业</v>
      </c>
    </row>
    <row r="1634" spans="1:9">
      <c r="A1634" s="1" t="str">
        <f>"411328200005184635"</f>
        <v>411328200005184635</v>
      </c>
      <c r="B1634" s="1" t="str">
        <f t="shared" si="815"/>
        <v>中共党员</v>
      </c>
      <c r="C1634" s="1" t="str">
        <f t="shared" si="814"/>
        <v>本科</v>
      </c>
      <c r="D1634" s="1" t="str">
        <f t="shared" si="813"/>
        <v>20250701</v>
      </c>
      <c r="E1634" s="1" t="str">
        <f>"河南财经政法大学"</f>
        <v>河南财经政法大学</v>
      </c>
      <c r="F1634" s="1" t="str">
        <f>"工商管理"</f>
        <v>工商管理</v>
      </c>
      <c r="G1634" s="1" t="str">
        <f>"河南省南阳市新野县樊集乡"</f>
        <v>河南省南阳市新野县樊集乡</v>
      </c>
      <c r="H1634" s="1" t="str">
        <f t="shared" ref="H1634:H1641" si="816">"无"</f>
        <v>无</v>
      </c>
      <c r="I1634" s="1" t="str">
        <f>"2017.09-202007 河南交通职业技术学院就读（全日制）
202007-202312在家待业
202312-202405南阳市公安局辅警
202405-至今南水北调干部学院任教
"</f>
        <v>2017.09-202007 河南交通职业技术学院就读（全日制）
202007-202312在家待业
202312-202405南阳市公安局辅警
202405-至今南水北调干部学院任教
</v>
      </c>
    </row>
    <row r="1635" spans="1:9">
      <c r="A1635" s="1" t="str">
        <f>"142427200303206315"</f>
        <v>142427200303206315</v>
      </c>
      <c r="B1635" s="1" t="str">
        <f>"共青团员"</f>
        <v>共青团员</v>
      </c>
      <c r="C1635" s="1" t="str">
        <f t="shared" si="814"/>
        <v>本科</v>
      </c>
      <c r="D1635" s="1" t="str">
        <f>"20250625"</f>
        <v>20250625</v>
      </c>
      <c r="E1635" s="1" t="str">
        <f>"山西工商学院"</f>
        <v>山西工商学院</v>
      </c>
      <c r="F1635" s="1" t="str">
        <f>"人工智能"</f>
        <v>人工智能</v>
      </c>
      <c r="G1635" s="1" t="str">
        <f>"山西省晋中市榆次区新晋世家"</f>
        <v>山西省晋中市榆次区新晋世家</v>
      </c>
      <c r="H1635" s="1" t="str">
        <f t="shared" si="816"/>
        <v>无</v>
      </c>
      <c r="I1635" s="1" t="str">
        <f>"202109-202506在山西工商学院计算机信息工程学院人工智能专业就读"</f>
        <v>202109-202506在山西工商学院计算机信息工程学院人工智能专业就读</v>
      </c>
    </row>
    <row r="1636" spans="1:9">
      <c r="A1636" s="1" t="str">
        <f>"411327199504234519"</f>
        <v>411327199504234519</v>
      </c>
      <c r="B1636" s="1" t="str">
        <f t="shared" ref="B1636:B1639" si="817">"群众"</f>
        <v>群众</v>
      </c>
      <c r="C1636" s="1" t="str">
        <f t="shared" si="814"/>
        <v>本科</v>
      </c>
      <c r="D1636" s="1" t="str">
        <f>"2020.07"</f>
        <v>2020.07</v>
      </c>
      <c r="E1636" s="1" t="str">
        <f>"黑龙江大学"</f>
        <v>黑龙江大学</v>
      </c>
      <c r="F1636" s="1" t="str">
        <f>"市场营销"</f>
        <v>市场营销</v>
      </c>
      <c r="G1636" s="1" t="str">
        <f>"河南省内乡县湍东镇六颗松小区12A一单元402"</f>
        <v>河南省内乡县湍东镇六颗松小区12A一单元402</v>
      </c>
      <c r="H1636" s="1" t="str">
        <f t="shared" si="816"/>
        <v>无</v>
      </c>
      <c r="I1636" s="1" t="str">
        <f>"2014.9-2018.7 黑龙江大学就读
2018.10-2020.10 美的公司豫南分公司客户经理
2020.12-2022.5重庆智飞科技生物制品股份有限公司区域业务经理
2022.6-2024.9在家待业
2024.9-至今中誉国信能源有限公司发展建设部职员"</f>
        <v>2014.9-2018.7 黑龙江大学就读
2018.10-2020.10 美的公司豫南分公司客户经理
2020.12-2022.5重庆智飞科技生物制品股份有限公司区域业务经理
2022.6-2024.9在家待业
2024.9-至今中誉国信能源有限公司发展建设部职员</v>
      </c>
    </row>
    <row r="1637" spans="1:9">
      <c r="A1637" s="1" t="str">
        <f>"41048220000325003X"</f>
        <v>41048220000325003X</v>
      </c>
      <c r="B1637" s="1" t="str">
        <f t="shared" si="815"/>
        <v>中共党员</v>
      </c>
      <c r="C1637" s="1" t="str">
        <f t="shared" si="814"/>
        <v>本科</v>
      </c>
      <c r="D1637" s="1" t="str">
        <f>"20220620"</f>
        <v>20220620</v>
      </c>
      <c r="E1637" s="1" t="str">
        <f>"浙江科技学院"</f>
        <v>浙江科技学院</v>
      </c>
      <c r="F1637" s="1" t="str">
        <f>"能源与环境系统工程"</f>
        <v>能源与环境系统工程</v>
      </c>
      <c r="G1637" s="1" t="str">
        <f>"河南省平顶山市汝州市风穴路街道康复街1号平外家属院"</f>
        <v>河南省平顶山市汝州市风穴路街道康复街1号平外家属院</v>
      </c>
      <c r="H1637" s="1" t="str">
        <f t="shared" si="816"/>
        <v>无</v>
      </c>
      <c r="I1637" s="1" t="str">
        <f>"201809-202206 浙江科技学院 就读
202206-202507 在家待业备考"</f>
        <v>201809-202206 浙江科技学院 就读
202206-202507 在家待业备考</v>
      </c>
    </row>
    <row r="1638" spans="1:9">
      <c r="A1638" s="1" t="str">
        <f>"411327200005190051"</f>
        <v>411327200005190051</v>
      </c>
      <c r="B1638" s="1" t="str">
        <f t="shared" si="817"/>
        <v>群众</v>
      </c>
      <c r="C1638" s="1" t="str">
        <f t="shared" si="814"/>
        <v>本科</v>
      </c>
      <c r="D1638" s="1" t="str">
        <f t="shared" ref="D1638:D1640" si="818">"20220701"</f>
        <v>20220701</v>
      </c>
      <c r="E1638" s="1" t="str">
        <f>"河南工学院"</f>
        <v>河南工学院</v>
      </c>
      <c r="F1638" s="1" t="str">
        <f>"机械设计制造及其自动化"</f>
        <v>机械设计制造及其自动化</v>
      </c>
      <c r="G1638" s="1" t="str">
        <f>"河南省南阳市内乡县城关镇宏达北路29巷1号"</f>
        <v>河南省南阳市内乡县城关镇宏达北路29巷1号</v>
      </c>
      <c r="H1638" s="1" t="str">
        <f t="shared" si="816"/>
        <v>无</v>
      </c>
      <c r="I1638" s="1" t="str">
        <f>"201809-202207 河南工学院机械学院机械设计制造及其自动化就读 全日制本科学历
202207-202209 河南省南阳市内乡县待业
202209-202405 内乡县人民法院 聘用制书记员
202405-202407 河南省南阳市内乡县待业
202407-202506 内乡县公安局看护大队 看护辅警
202506至今 河南省南阳市内乡县待业"</f>
        <v>201809-202207 河南工学院机械学院机械设计制造及其自动化就读 全日制本科学历
202207-202209 河南省南阳市内乡县待业
202209-202405 内乡县人民法院 聘用制书记员
202405-202407 河南省南阳市内乡县待业
202407-202506 内乡县公安局看护大队 看护辅警
202506至今 河南省南阳市内乡县待业</v>
      </c>
    </row>
    <row r="1639" spans="1:9">
      <c r="A1639" s="1" t="str">
        <f>"411121199906020039"</f>
        <v>411121199906020039</v>
      </c>
      <c r="B1639" s="1" t="str">
        <f t="shared" si="817"/>
        <v>群众</v>
      </c>
      <c r="C1639" s="1" t="str">
        <f t="shared" si="814"/>
        <v>本科</v>
      </c>
      <c r="D1639" s="1" t="str">
        <f t="shared" si="818"/>
        <v>20220701</v>
      </c>
      <c r="E1639" s="1" t="str">
        <f>"信阳学院"</f>
        <v>信阳学院</v>
      </c>
      <c r="F1639" s="1" t="str">
        <f>"经济学"</f>
        <v>经济学</v>
      </c>
      <c r="G1639" s="1" t="str">
        <f>"漯河市舞阳县北京路南段"</f>
        <v>漯河市舞阳县北京路南段</v>
      </c>
      <c r="H1639" s="1" t="str">
        <f t="shared" si="816"/>
        <v>无</v>
      </c>
      <c r="I1639" s="1" t="str">
        <f>"2018年9月至2022年7月在信阳学院商学院经济学专业就读；
2022年7月至2023年5月待业在家；
2023年5月至2025年7月在舞阳县妇幼保健院劳务合同工作"</f>
        <v>2018年9月至2022年7月在信阳学院商学院经济学专业就读；
2022年7月至2023年5月待业在家；
2023年5月至2025年7月在舞阳县妇幼保健院劳务合同工作</v>
      </c>
    </row>
    <row r="1640" spans="1:9">
      <c r="A1640" s="1" t="str">
        <f>"140522200003222024"</f>
        <v>140522200003222024</v>
      </c>
      <c r="B1640" s="1" t="str">
        <f>"中共党员"</f>
        <v>中共党员</v>
      </c>
      <c r="C1640" s="1" t="str">
        <f t="shared" si="814"/>
        <v>本科</v>
      </c>
      <c r="D1640" s="1" t="str">
        <f t="shared" si="818"/>
        <v>20220701</v>
      </c>
      <c r="E1640" s="1" t="str">
        <f>"山西农业大学信息学院"</f>
        <v>山西农业大学信息学院</v>
      </c>
      <c r="F1640" s="1" t="str">
        <f>"行政管理"</f>
        <v>行政管理</v>
      </c>
      <c r="G1640" s="1" t="str">
        <f>"山西省晋城市阳城县凤城镇上孔村河滨南区八号"</f>
        <v>山西省晋城市阳城县凤城镇上孔村河滨南区八号</v>
      </c>
      <c r="H1640" s="1" t="str">
        <f t="shared" si="816"/>
        <v>无</v>
      </c>
      <c r="I1640" s="1" t="str">
        <f>"201809-202207 全日制学历 山西农业大学信息学院淬炼商学院行政管理专业 就读；202207-202411 在家待业；202411-202503 在阳城县蓝煜热力有限公司就业；202503-202506 在家待业；202506-至今在蓝煜热力滨河所就业。"</f>
        <v>201809-202207 全日制学历 山西农业大学信息学院淬炼商学院行政管理专业 就读；202207-202411 在家待业；202411-202503 在阳城县蓝煜热力有限公司就业；202503-202506 在家待业；202506-至今在蓝煜热力滨河所就业。</v>
      </c>
    </row>
    <row r="1641" spans="1:9">
      <c r="A1641" s="1" t="str">
        <f>"411327200111200102"</f>
        <v>411327200111200102</v>
      </c>
      <c r="B1641" s="1" t="str">
        <f t="shared" ref="B1641:B1646" si="819">"群众"</f>
        <v>群众</v>
      </c>
      <c r="C1641" s="1" t="str">
        <f t="shared" si="814"/>
        <v>本科</v>
      </c>
      <c r="D1641" s="1" t="str">
        <f>"20240628"</f>
        <v>20240628</v>
      </c>
      <c r="E1641" s="1" t="str">
        <f>"新乡学院"</f>
        <v>新乡学院</v>
      </c>
      <c r="F1641" s="1" t="str">
        <f>"轨道交通信号与控制"</f>
        <v>轨道交通信号与控制</v>
      </c>
      <c r="G1641" s="1" t="str">
        <f>"河南省南阳市内乡县梨苑山庄香樟园"</f>
        <v>河南省南阳市内乡县梨苑山庄香樟园</v>
      </c>
      <c r="H1641" s="1" t="str">
        <f t="shared" si="816"/>
        <v>无</v>
      </c>
      <c r="I1641" s="1" t="str">
        <f>"202009—202406 新乡学院就读
202406至今 待业"</f>
        <v>202009—202406 新乡学院就读
202406至今 待业</v>
      </c>
    </row>
    <row r="1642" spans="1:9">
      <c r="A1642" s="1" t="str">
        <f>"411524199811208021"</f>
        <v>411524199811208021</v>
      </c>
      <c r="B1642" s="1" t="str">
        <f>"共青团员"</f>
        <v>共青团员</v>
      </c>
      <c r="C1642" s="1" t="str">
        <f t="shared" si="814"/>
        <v>本科</v>
      </c>
      <c r="D1642" s="1" t="str">
        <f>"20200701"</f>
        <v>20200701</v>
      </c>
      <c r="E1642" s="1" t="str">
        <f>"许昌学院"</f>
        <v>许昌学院</v>
      </c>
      <c r="F1642" s="1" t="str">
        <f>"人力资源管理"</f>
        <v>人力资源管理</v>
      </c>
      <c r="G1642" s="1" t="str">
        <f>"河南省信阳市商城县达权店镇黄泥榜村"</f>
        <v>河南省信阳市商城县达权店镇黄泥榜村</v>
      </c>
      <c r="H1642" s="1" t="str">
        <f>"高级育婴师三级"</f>
        <v>高级育婴师三级</v>
      </c>
      <c r="I1642" s="1" t="str">
        <f>"学习经历：
201309-201606 达权店高级中学
201606-202007许昌学院 商学院 人力资源管理专业
工作经历 
202103-202110 苏州燕南飞建筑装饰工程有限公司
202112-202304 苏州启行信融信息科技有限公司
202308-202309 苏州滋养堂药业有限公司
2023年-至今 待业"</f>
        <v>学习经历：
201309-201606 达权店高级中学
201606-202007许昌学院 商学院 人力资源管理专业
工作经历 
202103-202110 苏州燕南飞建筑装饰工程有限公司
202112-202304 苏州启行信融信息科技有限公司
202308-202309 苏州滋养堂药业有限公司
2023年-至今 待业</v>
      </c>
    </row>
    <row r="1643" spans="1:9">
      <c r="A1643" s="1" t="str">
        <f>"411326200010050022"</f>
        <v>411326200010050022</v>
      </c>
      <c r="B1643" s="1" t="str">
        <f>"中共党员"</f>
        <v>中共党员</v>
      </c>
      <c r="C1643" s="1" t="str">
        <f t="shared" si="814"/>
        <v>本科</v>
      </c>
      <c r="D1643" s="1" t="str">
        <f>"20220701"</f>
        <v>20220701</v>
      </c>
      <c r="E1643" s="1" t="str">
        <f>"南阳师范学院"</f>
        <v>南阳师范学院</v>
      </c>
      <c r="F1643" s="1" t="str">
        <f>"土木工程"</f>
        <v>土木工程</v>
      </c>
      <c r="G1643" s="1" t="str">
        <f>"河南省南召县人民路兴达小区"</f>
        <v>河南省南召县人民路兴达小区</v>
      </c>
      <c r="H1643" s="1" t="str">
        <f t="shared" ref="H1643:H1652" si="820">"无"</f>
        <v>无</v>
      </c>
      <c r="I1643" s="1" t="str">
        <f>"201809-202207 南阳师范学院 土木建筑工程学院 土木工程专业 全日制
202208-202310 待业
202311-至今 南召县文学艺术界联合会（公益性岗位 编外人员）"</f>
        <v>201809-202207 南阳师范学院 土木建筑工程学院 土木工程专业 全日制
202208-202310 待业
202311-至今 南召县文学艺术界联合会（公益性岗位 编外人员）</v>
      </c>
    </row>
    <row r="1644" spans="1:9">
      <c r="A1644" s="1" t="str">
        <f>"411327199807100024"</f>
        <v>411327199807100024</v>
      </c>
      <c r="B1644" s="1" t="str">
        <f>"共青团员"</f>
        <v>共青团员</v>
      </c>
      <c r="C1644" s="1" t="str">
        <f t="shared" si="814"/>
        <v>本科</v>
      </c>
      <c r="D1644" s="1" t="str">
        <f>"20210701"</f>
        <v>20210701</v>
      </c>
      <c r="E1644" s="1" t="str">
        <f>"郑州商学院"</f>
        <v>郑州商学院</v>
      </c>
      <c r="F1644" s="1" t="str">
        <f>"新闻学"</f>
        <v>新闻学</v>
      </c>
      <c r="G1644" s="1" t="str">
        <f>"河南省南阳市内乡县东关天府佳苑3号楼"</f>
        <v>河南省南阳市内乡县东关天府佳苑3号楼</v>
      </c>
      <c r="H1644" s="1" t="str">
        <f t="shared" si="820"/>
        <v>无</v>
      </c>
      <c r="I1644" s="1" t="str">
        <f>"201709-202107 郑州商学院就读。 
2017年9月至2021年7月在文学与新闻传播学院新闻学专业就读，为全日制本科学历。"</f>
        <v>201709-202107 郑州商学院就读。 
2017年9月至2021年7月在文学与新闻传播学院新闻学专业就读，为全日制本科学历。</v>
      </c>
    </row>
    <row r="1645" spans="1:9">
      <c r="A1645" s="1" t="str">
        <f>"41282219900630201X"</f>
        <v>41282219900630201X</v>
      </c>
      <c r="B1645" s="1" t="str">
        <f t="shared" si="819"/>
        <v>群众</v>
      </c>
      <c r="C1645" s="1" t="str">
        <f>"专科"</f>
        <v>专科</v>
      </c>
      <c r="D1645" s="1" t="str">
        <f>"201406020"</f>
        <v>201406020</v>
      </c>
      <c r="E1645" s="1" t="str">
        <f>"天津职业大学"</f>
        <v>天津职业大学</v>
      </c>
      <c r="F1645" s="1" t="str">
        <f>"宝玉石鉴定与加工技术"</f>
        <v>宝玉石鉴定与加工技术</v>
      </c>
      <c r="G1645" s="1" t="str">
        <f>"河南省驻马店市泌阳县官庄镇"</f>
        <v>河南省驻马店市泌阳县官庄镇</v>
      </c>
      <c r="H1645" s="1" t="str">
        <f t="shared" si="820"/>
        <v>无</v>
      </c>
      <c r="I1645" s="1" t="str">
        <f>"2025年7月到2022年7月   郑州待业
2020年3月到2022年7月  吉林师范大学  数学与数学应用   否全日制
2014年6月到2020年3月   家里待业
2011年9月到2014年6月   天津职业大学   宝玉石鉴定与加工技术  全日制
2008年9月到2011年6月    泌阳第二高级中学
"</f>
        <v>2025年7月到2022年7月   郑州待业
2020年3月到2022年7月  吉林师范大学  数学与数学应用   否全日制
2014年6月到2020年3月   家里待业
2011年9月到2014年6月   天津职业大学   宝玉石鉴定与加工技术  全日制
2008年9月到2011年6月    泌阳第二高级中学
</v>
      </c>
    </row>
    <row r="1646" spans="1:9">
      <c r="A1646" s="1" t="str">
        <f>"411327200111260025"</f>
        <v>411327200111260025</v>
      </c>
      <c r="B1646" s="1" t="str">
        <f t="shared" si="819"/>
        <v>群众</v>
      </c>
      <c r="C1646" s="1" t="str">
        <f t="shared" ref="C1646:C1653" si="821">"本科"</f>
        <v>本科</v>
      </c>
      <c r="D1646" s="1" t="str">
        <f>"2040701"</f>
        <v>2040701</v>
      </c>
      <c r="E1646" s="1" t="str">
        <f>"郑州工业应用技术学院"</f>
        <v>郑州工业应用技术学院</v>
      </c>
      <c r="F1646" s="1" t="str">
        <f>"学前教育"</f>
        <v>学前教育</v>
      </c>
      <c r="G1646" s="1" t="str">
        <f>"河南省南阳市内乡县新民路二巷三号"</f>
        <v>河南省南阳市内乡县新民路二巷三号</v>
      </c>
      <c r="H1646" s="1" t="str">
        <f t="shared" si="820"/>
        <v>无</v>
      </c>
      <c r="I1646" s="1" t="str">
        <f>"201909–202206 郑州幼儿师范高等专科学校 特殊教育专业 全日制专科
202209–202407 郑州工业应用技术学院         学前教育专业 全日制本科"</f>
        <v>201909–202206 郑州幼儿师范高等专科学校 特殊教育专业 全日制专科
202209–202407 郑州工业应用技术学院         学前教育专业 全日制本科</v>
      </c>
    </row>
    <row r="1647" spans="1:9">
      <c r="A1647" s="1" t="str">
        <f>"411327200010112023"</f>
        <v>411327200010112023</v>
      </c>
      <c r="B1647" s="1" t="str">
        <f>"中共党员"</f>
        <v>中共党员</v>
      </c>
      <c r="C1647" s="1" t="str">
        <f t="shared" si="821"/>
        <v>本科</v>
      </c>
      <c r="D1647" s="1" t="str">
        <f>"202207"</f>
        <v>202207</v>
      </c>
      <c r="E1647" s="1" t="str">
        <f>"河南财政金融学院"</f>
        <v>河南财政金融学院</v>
      </c>
      <c r="F1647" s="1" t="str">
        <f>"软件工程"</f>
        <v>软件工程</v>
      </c>
      <c r="G1647" s="1" t="str">
        <f>"河南省南阳市内乡县师岗镇付湾村"</f>
        <v>河南省南阳市内乡县师岗镇付湾村</v>
      </c>
      <c r="H1647" s="1" t="str">
        <f t="shared" si="820"/>
        <v>无</v>
      </c>
      <c r="I1647" s="1" t="str">
        <f>"201809-202207河南财政金融学院 软件学院 软件工程专业就读 全日制学历
202208-202312 内乡县师岗镇付湾村待业
202401-至今内乡县企业养老保险管理局"</f>
        <v>201809-202207河南财政金融学院 软件学院 软件工程专业就读 全日制学历
202208-202312 内乡县师岗镇付湾村待业
202401-至今内乡县企业养老保险管理局</v>
      </c>
    </row>
    <row r="1648" spans="1:9">
      <c r="A1648" s="1" t="str">
        <f>"411324200310061513"</f>
        <v>411324200310061513</v>
      </c>
      <c r="B1648" s="1" t="str">
        <f t="shared" ref="B1648:B1652" si="822">"群众"</f>
        <v>群众</v>
      </c>
      <c r="C1648" s="1" t="str">
        <f>"专科"</f>
        <v>专科</v>
      </c>
      <c r="D1648" s="1" t="str">
        <f>"20250601"</f>
        <v>20250601</v>
      </c>
      <c r="E1648" s="1" t="str">
        <f>"广西工程职业学院"</f>
        <v>广西工程职业学院</v>
      </c>
      <c r="F1648" s="1" t="str">
        <f>"学前教育"</f>
        <v>学前教育</v>
      </c>
      <c r="G1648" s="1" t="str">
        <f>"河南省镇平县石佛寺村中华楼"</f>
        <v>河南省镇平县石佛寺村中华楼</v>
      </c>
      <c r="H1648" s="1" t="str">
        <f t="shared" si="820"/>
        <v>无</v>
      </c>
      <c r="I1648" s="1" t="str">
        <f>"202209-202506 广西工程职业学院就读教育学院学前教育专业，全日制学历。"</f>
        <v>202209-202506 广西工程职业学院就读教育学院学前教育专业，全日制学历。</v>
      </c>
    </row>
    <row r="1649" spans="1:9">
      <c r="A1649" s="1" t="str">
        <f>"41132719960216151X"</f>
        <v>41132719960216151X</v>
      </c>
      <c r="B1649" s="1" t="str">
        <f t="shared" si="822"/>
        <v>群众</v>
      </c>
      <c r="C1649" s="1" t="str">
        <f>"硕士研究生"</f>
        <v>硕士研究生</v>
      </c>
      <c r="D1649" s="1" t="str">
        <f>"20210623"</f>
        <v>20210623</v>
      </c>
      <c r="E1649" s="1" t="str">
        <f>"长安大学"</f>
        <v>长安大学</v>
      </c>
      <c r="F1649" s="1" t="str">
        <f>"交通运输工程"</f>
        <v>交通运输工程</v>
      </c>
      <c r="G1649" s="1" t="str">
        <f>"河南省南阳市内乡县湍东镇"</f>
        <v>河南省南阳市内乡县湍东镇</v>
      </c>
      <c r="H1649" s="1" t="str">
        <f t="shared" si="820"/>
        <v>无</v>
      </c>
      <c r="I1649" s="1" t="str">
        <f>"201408-201807在长江大学城市建设学院土木工程专业就读，全日制；
201809-202106在长安大学公路学院交通运输工程专业就读，全日制。"</f>
        <v>201408-201807在长江大学城市建设学院土木工程专业就读，全日制；
201809-202106在长安大学公路学院交通运输工程专业就读，全日制。</v>
      </c>
    </row>
    <row r="1650" spans="1:9">
      <c r="A1650" s="1" t="str">
        <f>"41132719970413001X"</f>
        <v>41132719970413001X</v>
      </c>
      <c r="B1650" s="1" t="str">
        <f>"共青团员"</f>
        <v>共青团员</v>
      </c>
      <c r="C1650" s="1" t="str">
        <f t="shared" si="821"/>
        <v>本科</v>
      </c>
      <c r="D1650" s="1" t="str">
        <f>"20190701"</f>
        <v>20190701</v>
      </c>
      <c r="E1650" s="1" t="str">
        <f>"河南牧业经济学院"</f>
        <v>河南牧业经济学院</v>
      </c>
      <c r="F1650" s="1" t="str">
        <f>"会计学（注册会计师方向）"</f>
        <v>会计学（注册会计师方向）</v>
      </c>
      <c r="G1650" s="1" t="str">
        <f>"内乡县城关镇范蠡大街50号"</f>
        <v>内乡县城关镇范蠡大街50号</v>
      </c>
      <c r="H1650" s="1" t="str">
        <f t="shared" si="820"/>
        <v>无</v>
      </c>
      <c r="I1650" s="1" t="str">
        <f>"201509-201907  河南牧业经济学院会计学（注册会计师方向）就读，全日制
201907-202001  待业
202001至今在寅兴公司上班
"</f>
        <v>201509-201907  河南牧业经济学院会计学（注册会计师方向）就读，全日制
201907-202001  待业
202001至今在寅兴公司上班
</v>
      </c>
    </row>
    <row r="1651" spans="1:9">
      <c r="A1651" s="1" t="str">
        <f>"411327200304262510"</f>
        <v>411327200304262510</v>
      </c>
      <c r="B1651" s="1" t="str">
        <f t="shared" si="822"/>
        <v>群众</v>
      </c>
      <c r="C1651" s="1" t="str">
        <f t="shared" si="821"/>
        <v>本科</v>
      </c>
      <c r="D1651" s="1" t="str">
        <f>"20250620"</f>
        <v>20250620</v>
      </c>
      <c r="E1651" s="1" t="str">
        <f>"洛阳理工学院"</f>
        <v>洛阳理工学院</v>
      </c>
      <c r="F1651" s="1" t="str">
        <f>"电气工程及其自动化"</f>
        <v>电气工程及其自动化</v>
      </c>
      <c r="G1651" s="1" t="str">
        <f>"河南省南阳市内乡县龙源路23号"</f>
        <v>河南省南阳市内乡县龙源路23号</v>
      </c>
      <c r="H1651" s="1" t="str">
        <f t="shared" si="820"/>
        <v>无</v>
      </c>
      <c r="I1651" s="1" t="str">
        <f>"202109-202506在洛阳理工学院电力电气工程学院电气工程及其自动化专业就读全日制本科"</f>
        <v>202109-202506在洛阳理工学院电力电气工程学院电气工程及其自动化专业就读全日制本科</v>
      </c>
    </row>
    <row r="1652" spans="1:9">
      <c r="A1652" s="1" t="str">
        <f>"410329200402151023"</f>
        <v>410329200402151023</v>
      </c>
      <c r="B1652" s="1" t="str">
        <f t="shared" si="822"/>
        <v>群众</v>
      </c>
      <c r="C1652" s="1" t="str">
        <f t="shared" si="821"/>
        <v>本科</v>
      </c>
      <c r="D1652" s="1" t="str">
        <f>"20250630"</f>
        <v>20250630</v>
      </c>
      <c r="E1652" s="1" t="str">
        <f>"内蒙古民族大学"</f>
        <v>内蒙古民族大学</v>
      </c>
      <c r="F1652" s="1" t="str">
        <f>"园林"</f>
        <v>园林</v>
      </c>
      <c r="G1652" s="1" t="str">
        <f>"河南省洛阳市伊川县董村社区"</f>
        <v>河南省洛阳市伊川县董村社区</v>
      </c>
      <c r="H1652" s="1" t="str">
        <f t="shared" si="820"/>
        <v>无</v>
      </c>
      <c r="I1652" s="1" t="str">
        <f>"202109-202506 内蒙古民族大学农学院系园林专业 就读"</f>
        <v>202109-202506 内蒙古民族大学农学院系园林专业 就读</v>
      </c>
    </row>
    <row r="1653" spans="1:9">
      <c r="A1653" s="1" t="str">
        <f>"411327200206160027"</f>
        <v>411327200206160027</v>
      </c>
      <c r="B1653" s="1" t="str">
        <f t="shared" ref="B1653:B1657" si="823">"共青团员"</f>
        <v>共青团员</v>
      </c>
      <c r="C1653" s="1" t="str">
        <f t="shared" si="821"/>
        <v>本科</v>
      </c>
      <c r="D1653" s="1" t="str">
        <f>"20240701"</f>
        <v>20240701</v>
      </c>
      <c r="E1653" s="1" t="str">
        <f>"郑州商学院"</f>
        <v>郑州商学院</v>
      </c>
      <c r="F1653" s="1" t="str">
        <f>"会计学（管理会计方向）"</f>
        <v>会计学（管理会计方向）</v>
      </c>
      <c r="G1653" s="1" t="str">
        <f>"河南省南阳市内乡县县衙路16号"</f>
        <v>河南省南阳市内乡县县衙路16号</v>
      </c>
      <c r="H1653" s="1" t="str">
        <f>"初级会计证书 英语四级 计算机二级 普通话二甲"</f>
        <v>初级会计证书 英语四级 计算机二级 普通话二甲</v>
      </c>
      <c r="I1653" s="1" t="str">
        <f>"202009-202407 郑州商学院就读，全日制"</f>
        <v>202009-202407 郑州商学院就读，全日制</v>
      </c>
    </row>
    <row r="1654" spans="1:9">
      <c r="A1654" s="1" t="str">
        <f>"411327200004170024"</f>
        <v>411327200004170024</v>
      </c>
      <c r="B1654" s="1" t="str">
        <f t="shared" ref="B1654:B1659" si="824">"群众"</f>
        <v>群众</v>
      </c>
      <c r="C1654" s="1" t="str">
        <f>"专科"</f>
        <v>专科</v>
      </c>
      <c r="D1654" s="1" t="str">
        <f>"20210701"</f>
        <v>20210701</v>
      </c>
      <c r="E1654" s="1" t="str">
        <f>"三门峡职业技术学院"</f>
        <v>三门峡职业技术学院</v>
      </c>
      <c r="F1654" s="1" t="str">
        <f>"会计"</f>
        <v>会计</v>
      </c>
      <c r="G1654" s="1" t="str">
        <f>"南阳市内乡县左岸皇朝"</f>
        <v>南阳市内乡县左岸皇朝</v>
      </c>
      <c r="H1654" s="1" t="str">
        <f t="shared" ref="H1654:H1672" si="825">"无"</f>
        <v>无</v>
      </c>
      <c r="I1654" s="1" t="str">
        <f>"201809-202107三门峡职业技术学院
202107-202211待业
202212-至今河南铝粘土矿产品批发市场内乡交易中心"</f>
        <v>201809-202107三门峡职业技术学院
202107-202211待业
202212-至今河南铝粘土矿产品批发市场内乡交易中心</v>
      </c>
    </row>
    <row r="1655" spans="1:9">
      <c r="A1655" s="1" t="str">
        <f>"410881200305102521"</f>
        <v>410881200305102521</v>
      </c>
      <c r="B1655" s="1" t="str">
        <f>"中共预备党员"</f>
        <v>中共预备党员</v>
      </c>
      <c r="C1655" s="1" t="str">
        <f t="shared" ref="C1655:C1658" si="826">"本科"</f>
        <v>本科</v>
      </c>
      <c r="D1655" s="1" t="str">
        <f>"20250701"</f>
        <v>20250701</v>
      </c>
      <c r="E1655" s="1" t="str">
        <f>"平顶山学院"</f>
        <v>平顶山学院</v>
      </c>
      <c r="F1655" s="1" t="str">
        <f>"软件工程"</f>
        <v>软件工程</v>
      </c>
      <c r="G1655" s="1" t="str">
        <f>"河南省济源市梨林镇裴城村"</f>
        <v>河南省济源市梨林镇裴城村</v>
      </c>
      <c r="H1655" s="1" t="str">
        <f t="shared" si="825"/>
        <v>无</v>
      </c>
      <c r="I1655" s="1" t="str">
        <f>"202109-202506 平顶山学院学校 软件学院就读 全日制学历。"</f>
        <v>202109-202506 平顶山学院学校 软件学院就读 全日制学历。</v>
      </c>
    </row>
    <row r="1656" spans="1:9">
      <c r="A1656" s="1" t="str">
        <f>"411327200203282029"</f>
        <v>411327200203282029</v>
      </c>
      <c r="B1656" s="1" t="str">
        <f t="shared" si="823"/>
        <v>共青团员</v>
      </c>
      <c r="C1656" s="1" t="str">
        <f t="shared" si="826"/>
        <v>本科</v>
      </c>
      <c r="D1656" s="1" t="str">
        <f>"20240617"</f>
        <v>20240617</v>
      </c>
      <c r="E1656" s="1" t="str">
        <f>"郑州工商学院"</f>
        <v>郑州工商学院</v>
      </c>
      <c r="F1656" s="1" t="str">
        <f>"物流管理"</f>
        <v>物流管理</v>
      </c>
      <c r="G1656" s="1" t="str">
        <f>"河南省南阳市内乡县师岗镇建设西路86号"</f>
        <v>河南省南阳市内乡县师岗镇建设西路86号</v>
      </c>
      <c r="H1656" s="1" t="str">
        <f t="shared" si="825"/>
        <v>无</v>
      </c>
      <c r="I1656" s="1" t="str">
        <f>"202009-202406 郑州工商学院商学院物流管理专业  全日制学历"</f>
        <v>202009-202406 郑州工商学院商学院物流管理专业  全日制学历</v>
      </c>
    </row>
    <row r="1657" spans="1:9">
      <c r="A1657" s="1" t="str">
        <f>"411327200104132519"</f>
        <v>411327200104132519</v>
      </c>
      <c r="B1657" s="1" t="str">
        <f t="shared" si="823"/>
        <v>共青团员</v>
      </c>
      <c r="C1657" s="1" t="str">
        <f t="shared" si="826"/>
        <v>本科</v>
      </c>
      <c r="D1657" s="1" t="str">
        <f>"20240701"</f>
        <v>20240701</v>
      </c>
      <c r="E1657" s="1" t="str">
        <f>"河南财经政法大学"</f>
        <v>河南财经政法大学</v>
      </c>
      <c r="F1657" s="1" t="str">
        <f>"金融学"</f>
        <v>金融学</v>
      </c>
      <c r="G1657" s="1" t="str">
        <f>"河南省内乡县王店镇王店村340号"</f>
        <v>河南省内乡县王店镇王店村340号</v>
      </c>
      <c r="H1657" s="1" t="str">
        <f t="shared" si="825"/>
        <v>无</v>
      </c>
      <c r="I1657" s="1" t="str">
        <f>"202009-202407 河南财经政法大学金融学院金融学就读 为全日制本科学历"</f>
        <v>202009-202407 河南财经政法大学金融学院金融学就读 为全日制本科学历</v>
      </c>
    </row>
    <row r="1658" spans="1:9">
      <c r="A1658" s="1" t="str">
        <f>"410324199612171420"</f>
        <v>410324199612171420</v>
      </c>
      <c r="B1658" s="1" t="str">
        <f t="shared" si="824"/>
        <v>群众</v>
      </c>
      <c r="C1658" s="1" t="str">
        <f t="shared" si="826"/>
        <v>本科</v>
      </c>
      <c r="D1658" s="1" t="str">
        <f>"20200701"</f>
        <v>20200701</v>
      </c>
      <c r="E1658" s="1" t="str">
        <f>"商丘工学院"</f>
        <v>商丘工学院</v>
      </c>
      <c r="F1658" s="1" t="str">
        <f>"环境设计"</f>
        <v>环境设计</v>
      </c>
      <c r="G1658" s="1" t="str">
        <f>"河南省洛阳市栾川县"</f>
        <v>河南省洛阳市栾川县</v>
      </c>
      <c r="H1658" s="1" t="str">
        <f t="shared" si="825"/>
        <v>无</v>
      </c>
      <c r="I1658" s="1" t="str">
        <f>"201609-202007 商丘工学院  教育与现代艺术学院 环境设计 就读 是全日制
202008-202507 瑞鸾电子商务有限公司 员工"</f>
        <v>201609-202007 商丘工学院  教育与现代艺术学院 环境设计 就读 是全日制
202008-202507 瑞鸾电子商务有限公司 员工</v>
      </c>
    </row>
    <row r="1659" spans="1:9">
      <c r="A1659" s="1" t="str">
        <f>"411327199711180058"</f>
        <v>411327199711180058</v>
      </c>
      <c r="B1659" s="1" t="str">
        <f t="shared" si="824"/>
        <v>群众</v>
      </c>
      <c r="C1659" s="1" t="str">
        <f t="shared" ref="C1659:C1662" si="827">"专科"</f>
        <v>专科</v>
      </c>
      <c r="D1659" s="1" t="str">
        <f>"20190701"</f>
        <v>20190701</v>
      </c>
      <c r="E1659" s="1" t="str">
        <f>"南阳职业学院"</f>
        <v>南阳职业学院</v>
      </c>
      <c r="F1659" s="1" t="str">
        <f>"市场营销"</f>
        <v>市场营销</v>
      </c>
      <c r="G1659" s="1" t="str">
        <f>"内乡县丽都花园小区"</f>
        <v>内乡县丽都花园小区</v>
      </c>
      <c r="H1659" s="1" t="str">
        <f t="shared" si="825"/>
        <v>无</v>
      </c>
      <c r="I1659" s="1" t="str">
        <f>"201709-201907 南阳职业学院全日制就读市场营销专业
201909-202202 内乡县电视台实习
202203-至今 内乡县医药公司上班"</f>
        <v>201709-201907 南阳职业学院全日制就读市场营销专业
201909-202202 内乡县电视台实习
202203-至今 内乡县医药公司上班</v>
      </c>
    </row>
    <row r="1660" spans="1:9">
      <c r="A1660" s="1" t="str">
        <f>"411327200009160028"</f>
        <v>411327200009160028</v>
      </c>
      <c r="B1660" s="1" t="str">
        <f>"共青团员"</f>
        <v>共青团员</v>
      </c>
      <c r="C1660" s="1" t="str">
        <f t="shared" ref="C1660:C1664" si="828">"本科"</f>
        <v>本科</v>
      </c>
      <c r="D1660" s="1" t="str">
        <f>"20220701"</f>
        <v>20220701</v>
      </c>
      <c r="E1660" s="1" t="str">
        <f>"郑州财经学院"</f>
        <v>郑州财经学院</v>
      </c>
      <c r="F1660" s="1" t="str">
        <f>"金融学"</f>
        <v>金融学</v>
      </c>
      <c r="G1660" s="1" t="str">
        <f>"河南省南阳市内乡县城关镇教育路黄金组157号"</f>
        <v>河南省南阳市内乡县城关镇教育路黄金组157号</v>
      </c>
      <c r="H1660" s="1" t="str">
        <f t="shared" si="825"/>
        <v>无</v>
      </c>
      <c r="I1660" s="1" t="str">
        <f>"201809-202207    郑州财经学院就读  金融学院金融学专业  全日制学历
202208-202507     在内乡待业"</f>
        <v>201809-202207    郑州财经学院就读  金融学院金融学专业  全日制学历
202208-202507     在内乡待业</v>
      </c>
    </row>
    <row r="1661" spans="1:9">
      <c r="A1661" s="1" t="str">
        <f>"411324200103282233"</f>
        <v>411324200103282233</v>
      </c>
      <c r="B1661" s="1" t="str">
        <f t="shared" ref="B1661:B1663" si="829">"群众"</f>
        <v>群众</v>
      </c>
      <c r="C1661" s="1" t="str">
        <f t="shared" si="827"/>
        <v>专科</v>
      </c>
      <c r="D1661" s="1" t="str">
        <f>"20230701"</f>
        <v>20230701</v>
      </c>
      <c r="E1661" s="1" t="str">
        <f>"河南应用技术职业学院"</f>
        <v>河南应用技术职业学院</v>
      </c>
      <c r="F1661" s="1" t="str">
        <f>"计算机应用技术"</f>
        <v>计算机应用技术</v>
      </c>
      <c r="G1661" s="1" t="str">
        <f>"河南省南阳市镇平县王岗乡前裴营村杨庙七组"</f>
        <v>河南省南阳市镇平县王岗乡前裴营村杨庙七组</v>
      </c>
      <c r="H1661" s="1" t="str">
        <f t="shared" si="825"/>
        <v>无</v>
      </c>
      <c r="I1661" s="1" t="str">
        <f>"2020.12月-2023.07月在河南应用技术职业学院信息工程学院学习（系高职扩招全日制）
2020.09月-至今个体经营镇平县蓝鲸广告店"</f>
        <v>2020.12月-2023.07月在河南应用技术职业学院信息工程学院学习（系高职扩招全日制）
2020.09月-至今个体经营镇平县蓝鲸广告店</v>
      </c>
    </row>
    <row r="1662" spans="1:9">
      <c r="A1662" s="1" t="str">
        <f>"411327200110010024"</f>
        <v>411327200110010024</v>
      </c>
      <c r="B1662" s="1" t="str">
        <f t="shared" si="829"/>
        <v>群众</v>
      </c>
      <c r="C1662" s="1" t="str">
        <f t="shared" si="827"/>
        <v>专科</v>
      </c>
      <c r="D1662" s="1" t="str">
        <f>"20210730"</f>
        <v>20210730</v>
      </c>
      <c r="E1662" s="1" t="str">
        <f>"南阳师范学院"</f>
        <v>南阳师范学院</v>
      </c>
      <c r="F1662" s="1" t="str">
        <f>"学前教育"</f>
        <v>学前教育</v>
      </c>
      <c r="G1662" s="1" t="str">
        <f>"大成相府"</f>
        <v>大成相府</v>
      </c>
      <c r="H1662" s="1" t="str">
        <f t="shared" si="825"/>
        <v>无</v>
      </c>
      <c r="I1662" s="1" t="str">
        <f>"2016-2021就读于南阳市师范学院"</f>
        <v>2016-2021就读于南阳市师范学院</v>
      </c>
    </row>
    <row r="1663" spans="1:9">
      <c r="A1663" s="1" t="str">
        <f>"410102199207070037"</f>
        <v>410102199207070037</v>
      </c>
      <c r="B1663" s="1" t="str">
        <f t="shared" si="829"/>
        <v>群众</v>
      </c>
      <c r="C1663" s="1" t="str">
        <f t="shared" si="828"/>
        <v>本科</v>
      </c>
      <c r="D1663" s="1" t="str">
        <f>"20140701"</f>
        <v>20140701</v>
      </c>
      <c r="E1663" s="1" t="str">
        <f>"北方工业大学"</f>
        <v>北方工业大学</v>
      </c>
      <c r="F1663" s="1" t="str">
        <f>"动画"</f>
        <v>动画</v>
      </c>
      <c r="G1663" s="1" t="str">
        <f>"河南省郑州市中原区航海西路1号院14号楼1单元7号"</f>
        <v>河南省郑州市中原区航海西路1号院14号楼1单元7号</v>
      </c>
      <c r="H1663" s="1" t="str">
        <f t="shared" si="825"/>
        <v>无</v>
      </c>
      <c r="I1663" s="1" t="str">
        <f>"201009-201407，北方工业大学艺术学院动画系本科就读，全日制；
201408-201904，郑州待业；
201905-202102，郑州市宜家家居，销售；
202103-202109，郑州待业；
202110-202302，郑州市中原区林山寨街道伊河路社区，社区工作人员；
202303-202405，郑州待业；
202406至今，郑州市郑东新区豫兴路街道润泽路社区，社区工作人员；"</f>
        <v>201009-201407，北方工业大学艺术学院动画系本科就读，全日制；
201408-201904，郑州待业；
201905-202102，郑州市宜家家居，销售；
202103-202109，郑州待业；
202110-202302，郑州市中原区林山寨街道伊河路社区，社区工作人员；
202303-202405，郑州待业；
202406至今，郑州市郑东新区豫兴路街道润泽路社区，社区工作人员；</v>
      </c>
    </row>
    <row r="1664" spans="1:9">
      <c r="A1664" s="1" t="str">
        <f>"411327200303160061"</f>
        <v>411327200303160061</v>
      </c>
      <c r="B1664" s="1" t="str">
        <f t="shared" ref="B1664:B1668" si="830">"共青团员"</f>
        <v>共青团员</v>
      </c>
      <c r="C1664" s="1" t="str">
        <f t="shared" si="828"/>
        <v>本科</v>
      </c>
      <c r="D1664" s="1" t="str">
        <f>"20250901"</f>
        <v>20250901</v>
      </c>
      <c r="E1664" s="1" t="str">
        <f>"华北水利水电大学"</f>
        <v>华北水利水电大学</v>
      </c>
      <c r="F1664" s="1" t="str">
        <f>"计算机科学与技术"</f>
        <v>计算机科学与技术</v>
      </c>
      <c r="G1664" s="1" t="str">
        <f>"河南省南阳市内乡县城关镇县衙路7号"</f>
        <v>河南省南阳市内乡县城关镇县衙路7号</v>
      </c>
      <c r="H1664" s="1" t="str">
        <f t="shared" si="825"/>
        <v>无</v>
      </c>
      <c r="I1664" s="1" t="str">
        <f>"202109-202509 华北水利水电大学就读。"</f>
        <v>202109-202509 华北水利水电大学就读。</v>
      </c>
    </row>
    <row r="1665" spans="1:9">
      <c r="A1665" s="1" t="str">
        <f>"411121199703101517"</f>
        <v>411121199703101517</v>
      </c>
      <c r="B1665" s="1" t="str">
        <f>"群众"</f>
        <v>群众</v>
      </c>
      <c r="C1665" s="1" t="str">
        <f>"专科"</f>
        <v>专科</v>
      </c>
      <c r="D1665" s="1" t="str">
        <f>"20200701"</f>
        <v>20200701</v>
      </c>
      <c r="E1665" s="1" t="str">
        <f>"信阳职业技术学院"</f>
        <v>信阳职业技术学院</v>
      </c>
      <c r="F1665" s="1" t="str">
        <f>"计算机应用技术（移动互联网开发工程师方向）"</f>
        <v>计算机应用技术（移动互联网开发工程师方向）</v>
      </c>
      <c r="G1665" s="1" t="str">
        <f>"河南省漯河市舞阳县舞泉镇东大街实验中学"</f>
        <v>河南省漯河市舞阳县舞泉镇东大街实验中学</v>
      </c>
      <c r="H1665" s="1" t="str">
        <f t="shared" si="825"/>
        <v>无</v>
      </c>
      <c r="I1665" s="1" t="str">
        <f>"2017年9月1日至2020年7月1日在信阳职业技术学院计算机系计算机应用技术专业就读，是全日制；2020年7月1日至2022年3月31日待业；2022年4月1日至2025年3月31日在舞阳县人力资源社会保障局担任公益岗；2025年4月1日至今待业。"</f>
        <v>2017年9月1日至2020年7月1日在信阳职业技术学院计算机系计算机应用技术专业就读，是全日制；2020年7月1日至2022年3月31日待业；2022年4月1日至2025年3月31日在舞阳县人力资源社会保障局担任公益岗；2025年4月1日至今待业。</v>
      </c>
    </row>
    <row r="1666" spans="1:9">
      <c r="A1666" s="1" t="str">
        <f>"410782200307083062"</f>
        <v>410782200307083062</v>
      </c>
      <c r="B1666" s="1" t="str">
        <f t="shared" si="830"/>
        <v>共青团员</v>
      </c>
      <c r="C1666" s="1" t="str">
        <f t="shared" ref="C1666:C1673" si="831">"本科"</f>
        <v>本科</v>
      </c>
      <c r="D1666" s="1" t="str">
        <f>"20250614"</f>
        <v>20250614</v>
      </c>
      <c r="E1666" s="1" t="str">
        <f>"信阳农林学院"</f>
        <v>信阳农林学院</v>
      </c>
      <c r="F1666" s="1" t="str">
        <f>"市场营销"</f>
        <v>市场营销</v>
      </c>
      <c r="G1666" s="1" t="str">
        <f>"河南省新乡市辉县市吴村新区H区"</f>
        <v>河南省新乡市辉县市吴村新区H区</v>
      </c>
      <c r="H1666" s="1" t="str">
        <f t="shared" si="825"/>
        <v>无</v>
      </c>
      <c r="I1666" s="1" t="str">
        <f>"202109-202506 在信阳农林学院工商管理学院市场营销专业就读 是全日制
201809-202106  辉县市高级中学就读
201409-201806 辉县市吴村镇中心校就读
200909-201406 赵屯小学就读
"</f>
        <v>202109-202506 在信阳农林学院工商管理学院市场营销专业就读 是全日制
201809-202106  辉县市高级中学就读
201409-201806 辉县市吴村镇中心校就读
200909-201406 赵屯小学就读
</v>
      </c>
    </row>
    <row r="1667" spans="1:9">
      <c r="A1667" s="1" t="str">
        <f>"410423199902260017"</f>
        <v>410423199902260017</v>
      </c>
      <c r="B1667" s="1" t="str">
        <f t="shared" si="830"/>
        <v>共青团员</v>
      </c>
      <c r="C1667" s="1" t="str">
        <f t="shared" si="831"/>
        <v>本科</v>
      </c>
      <c r="D1667" s="1" t="str">
        <f>"20210701"</f>
        <v>20210701</v>
      </c>
      <c r="E1667" s="1" t="str">
        <f>"郑州工商学院"</f>
        <v>郑州工商学院</v>
      </c>
      <c r="F1667" s="1" t="str">
        <f>"工程造价"</f>
        <v>工程造价</v>
      </c>
      <c r="G1667" s="1" t="str">
        <f>"河南省平顶山市鲁山县琴台街鲁山二高家属院"</f>
        <v>河南省平顶山市鲁山县琴台街鲁山二高家属院</v>
      </c>
      <c r="H1667" s="1" t="str">
        <f t="shared" si="825"/>
        <v>无</v>
      </c>
      <c r="I1667" s="1" t="str">
        <f>"2017.9-2021.7     郑州工商学院     工程造价   全日制本科"</f>
        <v>2017.9-2021.7     郑州工商学院     工程造价   全日制本科</v>
      </c>
    </row>
    <row r="1668" spans="1:9">
      <c r="A1668" s="1" t="str">
        <f>"411327200006123918"</f>
        <v>411327200006123918</v>
      </c>
      <c r="B1668" s="1" t="str">
        <f t="shared" si="830"/>
        <v>共青团员</v>
      </c>
      <c r="C1668" s="1" t="str">
        <f>"专科"</f>
        <v>专科</v>
      </c>
      <c r="D1668" s="1" t="str">
        <f>"20220701"</f>
        <v>20220701</v>
      </c>
      <c r="E1668" s="1" t="str">
        <f>"郑州职业技术学院"</f>
        <v>郑州职业技术学院</v>
      </c>
      <c r="F1668" s="1" t="str">
        <f>"计算机网络技术"</f>
        <v>计算机网络技术</v>
      </c>
      <c r="G1668" s="1" t="str">
        <f>"河南省南阳市西峡县东城一品"</f>
        <v>河南省南阳市西峡县东城一品</v>
      </c>
      <c r="H1668" s="1" t="str">
        <f t="shared" si="825"/>
        <v>无</v>
      </c>
      <c r="I1668" s="1" t="str">
        <f>"20190901-20220701在郑州职业技术学院就读，是全日制。
20221101-至今在西峡县宛西育才实验学习就业。"</f>
        <v>20190901-20220701在郑州职业技术学院就读，是全日制。
20221101-至今在西峡县宛西育才实验学习就业。</v>
      </c>
    </row>
    <row r="1669" spans="1:9">
      <c r="A1669" s="1" t="str">
        <f>"411327199207081528"</f>
        <v>411327199207081528</v>
      </c>
      <c r="B1669" s="1" t="str">
        <f>"群众"</f>
        <v>群众</v>
      </c>
      <c r="C1669" s="1" t="str">
        <f t="shared" si="831"/>
        <v>本科</v>
      </c>
      <c r="D1669" s="1" t="str">
        <f>"20230701"</f>
        <v>20230701</v>
      </c>
      <c r="E1669" s="1" t="str">
        <f>"南阳师范学院"</f>
        <v>南阳师范学院</v>
      </c>
      <c r="F1669" s="1" t="str">
        <f>"计算机科学与技术"</f>
        <v>计算机科学与技术</v>
      </c>
      <c r="G1669" s="1" t="str">
        <f>"河南省南阳市湍东镇"</f>
        <v>河南省南阳市湍东镇</v>
      </c>
      <c r="H1669" s="1" t="str">
        <f t="shared" si="825"/>
        <v>无</v>
      </c>
      <c r="I1669" s="1" t="str">
        <f>"201501-202005内乡县医药公司二店中药科办事员
202005-至今内乡县市场监督管理局注册股办事员
202103-202307南阳师范学院（函数）"</f>
        <v>201501-202005内乡县医药公司二店中药科办事员
202005-至今内乡县市场监督管理局注册股办事员
202103-202307南阳师范学院（函数）</v>
      </c>
    </row>
    <row r="1670" spans="1:9">
      <c r="A1670" s="1" t="str">
        <f>"410581200108065518"</f>
        <v>410581200108065518</v>
      </c>
      <c r="B1670" s="1" t="str">
        <f>"中共党员"</f>
        <v>中共党员</v>
      </c>
      <c r="C1670" s="1" t="str">
        <f t="shared" si="831"/>
        <v>本科</v>
      </c>
      <c r="D1670" s="1" t="str">
        <f>"2023年6月26日"</f>
        <v>2023年6月26日</v>
      </c>
      <c r="E1670" s="1" t="str">
        <f>"东北林业大学"</f>
        <v>东北林业大学</v>
      </c>
      <c r="F1670" s="1" t="str">
        <f>"电子信息工程"</f>
        <v>电子信息工程</v>
      </c>
      <c r="G1670" s="1" t="str">
        <f>"河南省安阳市林州市鑫泽园小区"</f>
        <v>河南省安阳市林州市鑫泽园小区</v>
      </c>
      <c r="H1670" s="1" t="str">
        <f t="shared" si="825"/>
        <v>无</v>
      </c>
      <c r="I1670" s="1" t="str">
        <f>"201909-202306 东北林业大学信息与计算机工程学院就读"</f>
        <v>201909-202306 东北林业大学信息与计算机工程学院就读</v>
      </c>
    </row>
    <row r="1671" spans="1:9">
      <c r="A1671" s="1" t="str">
        <f>"41132420000110054X"</f>
        <v>41132420000110054X</v>
      </c>
      <c r="B1671" s="1" t="str">
        <f t="shared" ref="B1671:B1676" si="832">"共青团员"</f>
        <v>共青团员</v>
      </c>
      <c r="C1671" s="1" t="str">
        <f t="shared" si="831"/>
        <v>本科</v>
      </c>
      <c r="D1671" s="1" t="str">
        <f>"2024-06-20"</f>
        <v>2024-06-20</v>
      </c>
      <c r="E1671" s="1" t="str">
        <f>"洛阳理工学院"</f>
        <v>洛阳理工学院</v>
      </c>
      <c r="F1671" s="1" t="str">
        <f>"车辆工程"</f>
        <v>车辆工程</v>
      </c>
      <c r="G1671" s="1" t="str">
        <f>"河南省南阳市镇平县肖营村第十三组"</f>
        <v>河南省南阳市镇平县肖营村第十三组</v>
      </c>
      <c r="H1671" s="1" t="str">
        <f t="shared" si="825"/>
        <v>无</v>
      </c>
      <c r="I1671" s="1" t="str">
        <f>"202010-202406 洛阳理工学院 智能制造学院 车辆工程 就读
202109-202306 洛阳理工学院 辅修 会计学院 财务管理 
202406-202508 待业"</f>
        <v>202010-202406 洛阳理工学院 智能制造学院 车辆工程 就读
202109-202306 洛阳理工学院 辅修 会计学院 财务管理 
202406-202508 待业</v>
      </c>
    </row>
    <row r="1672" spans="1:9">
      <c r="A1672" s="1" t="str">
        <f>"411327200210264945"</f>
        <v>411327200210264945</v>
      </c>
      <c r="B1672" s="1" t="str">
        <f t="shared" si="832"/>
        <v>共青团员</v>
      </c>
      <c r="C1672" s="1" t="str">
        <f t="shared" si="831"/>
        <v>本科</v>
      </c>
      <c r="D1672" s="1" t="str">
        <f>"20250616"</f>
        <v>20250616</v>
      </c>
      <c r="E1672" s="1" t="str">
        <f>"商丘工学院"</f>
        <v>商丘工学院</v>
      </c>
      <c r="F1672" s="1" t="str">
        <f>"小学教育（师范）"</f>
        <v>小学教育（师范）</v>
      </c>
      <c r="G1672" s="1" t="str">
        <f>"河南省南阳市内乡县灌涨镇灌涨村街南中86号"</f>
        <v>河南省南阳市内乡县灌涨镇灌涨村街南中86号</v>
      </c>
      <c r="H1672" s="1" t="str">
        <f t="shared" si="825"/>
        <v>无</v>
      </c>
      <c r="I1672" s="1" t="str">
        <f>"202109-202506在商丘工学院教育与现代艺术学院小学教育（师范）专业就读"</f>
        <v>202109-202506在商丘工学院教育与现代艺术学院小学教育（师范）专业就读</v>
      </c>
    </row>
    <row r="1673" spans="1:9">
      <c r="A1673" s="1" t="str">
        <f>"411324199807090525"</f>
        <v>411324199807090525</v>
      </c>
      <c r="B1673" s="1" t="str">
        <f>"中共党员"</f>
        <v>中共党员</v>
      </c>
      <c r="C1673" s="1" t="str">
        <f t="shared" si="831"/>
        <v>本科</v>
      </c>
      <c r="D1673" s="1" t="str">
        <f>"20210701"</f>
        <v>20210701</v>
      </c>
      <c r="E1673" s="1" t="str">
        <f>"黄河科技学院"</f>
        <v>黄河科技学院</v>
      </c>
      <c r="F1673" s="1" t="str">
        <f>"人力资源管理"</f>
        <v>人力资源管理</v>
      </c>
      <c r="G1673" s="1" t="str">
        <f>"南阳市镇平县雪枫街道"</f>
        <v>南阳市镇平县雪枫街道</v>
      </c>
      <c r="H1673" s="1" t="str">
        <f>"初级会计资格证"</f>
        <v>初级会计资格证</v>
      </c>
      <c r="I1673" s="1" t="str">
        <f>"201609-201906 新乡学院商学院市场营销专业 就读
201909-202106 黄河科技学院商学院人力资源管理专业  就读"</f>
        <v>201609-201906 新乡学院商学院市场营销专业 就读
201909-202106 黄河科技学院商学院人力资源管理专业  就读</v>
      </c>
    </row>
    <row r="1674" spans="1:9">
      <c r="A1674" s="1" t="str">
        <f>"41282520000926333X"</f>
        <v>41282520000926333X</v>
      </c>
      <c r="B1674" s="1" t="str">
        <f t="shared" ref="B1674:B1677" si="833">"群众"</f>
        <v>群众</v>
      </c>
      <c r="C1674" s="1" t="str">
        <f>"专科"</f>
        <v>专科</v>
      </c>
      <c r="D1674" s="1" t="str">
        <f>"20220701"</f>
        <v>20220701</v>
      </c>
      <c r="E1674" s="1" t="str">
        <f>"黄河水利职业技术学院"</f>
        <v>黄河水利职业技术学院</v>
      </c>
      <c r="F1674" s="1" t="str">
        <f>"酒店管理"</f>
        <v>酒店管理</v>
      </c>
      <c r="G1674" s="1" t="str">
        <f>"河南省驻马店市上蔡县蔡都大道安恒一号院"</f>
        <v>河南省驻马店市上蔡县蔡都大道安恒一号院</v>
      </c>
      <c r="H1674" s="1" t="str">
        <f t="shared" ref="H1674:H1680" si="834">"无"</f>
        <v>无</v>
      </c>
      <c r="I1674" s="1" t="str">
        <f>"201909-202207在黄河水利职业技术学院就读"</f>
        <v>201909-202207在黄河水利职业技术学院就读</v>
      </c>
    </row>
    <row r="1675" spans="1:9">
      <c r="A1675" s="1" t="str">
        <f>"411502199510178051"</f>
        <v>411502199510178051</v>
      </c>
      <c r="B1675" s="1" t="str">
        <f t="shared" si="833"/>
        <v>群众</v>
      </c>
      <c r="C1675" s="1" t="str">
        <f>"硕士研究生"</f>
        <v>硕士研究生</v>
      </c>
      <c r="D1675" s="1" t="str">
        <f>"2021-06-21"</f>
        <v>2021-06-21</v>
      </c>
      <c r="E1675" s="1" t="str">
        <f>"河海大学"</f>
        <v>河海大学</v>
      </c>
      <c r="F1675" s="1" t="str">
        <f>"应用统计"</f>
        <v>应用统计</v>
      </c>
      <c r="G1675" s="1" t="str">
        <f>"河南省信阳市浉河区东双河镇服装市场"</f>
        <v>河南省信阳市浉河区东双河镇服装市场</v>
      </c>
      <c r="H1675" s="1" t="str">
        <f t="shared" si="834"/>
        <v>无</v>
      </c>
      <c r="I1675" s="1" t="str">
        <f>"2014年9月—2018年6月 中国计量大学 理学院 数学与应用数学 全日制
2018年6月—2019年9月 信阳待业
2019年9月—2021年7月 河海大学 理学院 应用统计 全日制
2021年7月-2021年8月 贝壳找房（杭州）科技有限公司
2021年8月-2022年3月 杭州 待业
2022年3月-2023年9月 杭州迅动互联网技术有限公司
2023年9月至今 信阳 待业"</f>
        <v>2014年9月—2018年6月 中国计量大学 理学院 数学与应用数学 全日制
2018年6月—2019年9月 信阳待业
2019年9月—2021年7月 河海大学 理学院 应用统计 全日制
2021年7月-2021年8月 贝壳找房（杭州）科技有限公司
2021年8月-2022年3月 杭州 待业
2022年3月-2023年9月 杭州迅动互联网技术有限公司
2023年9月至今 信阳 待业</v>
      </c>
    </row>
    <row r="1676" spans="1:9">
      <c r="A1676" s="1" t="str">
        <f>"411303200202190105"</f>
        <v>411303200202190105</v>
      </c>
      <c r="B1676" s="1" t="str">
        <f t="shared" si="832"/>
        <v>共青团员</v>
      </c>
      <c r="C1676" s="1" t="str">
        <f>"专科"</f>
        <v>专科</v>
      </c>
      <c r="D1676" s="1" t="str">
        <f>"20230701"</f>
        <v>20230701</v>
      </c>
      <c r="E1676" s="1" t="str">
        <f>"阳泉师范高等专科学校"</f>
        <v>阳泉师范高等专科学校</v>
      </c>
      <c r="F1676" s="1" t="str">
        <f>"学前教育"</f>
        <v>学前教育</v>
      </c>
      <c r="G1676" s="1" t="str">
        <f>"河南省南阳市卧龙区七里园黄庄"</f>
        <v>河南省南阳市卧龙区七里园黄庄</v>
      </c>
      <c r="H1676" s="1" t="str">
        <f t="shared" si="834"/>
        <v>无</v>
      </c>
      <c r="I1676" s="1" t="str">
        <f>"202010-202307阳泉师范高等专科学校学前教育专业就读，全日制学历。"</f>
        <v>202010-202307阳泉师范高等专科学校学前教育专业就读，全日制学历。</v>
      </c>
    </row>
    <row r="1677" spans="1:9">
      <c r="A1677" s="1" t="str">
        <f>"411303199503202119"</f>
        <v>411303199503202119</v>
      </c>
      <c r="B1677" s="1" t="str">
        <f t="shared" si="833"/>
        <v>群众</v>
      </c>
      <c r="C1677" s="1" t="str">
        <f t="shared" ref="C1677:C1680" si="835">"本科"</f>
        <v>本科</v>
      </c>
      <c r="D1677" s="1" t="str">
        <f>"20180730"</f>
        <v>20180730</v>
      </c>
      <c r="E1677" s="1" t="str">
        <f>"商丘工学院"</f>
        <v>商丘工学院</v>
      </c>
      <c r="F1677" s="1" t="str">
        <f>"工程造价"</f>
        <v>工程造价</v>
      </c>
      <c r="G1677" s="1" t="str">
        <f>"河南省南阳市卧龙区北京路16号川光小区"</f>
        <v>河南省南阳市卧龙区北京路16号川光小区</v>
      </c>
      <c r="H1677" s="1" t="str">
        <f t="shared" si="834"/>
        <v>无</v>
      </c>
      <c r="I1677" s="1" t="str">
        <f>"201309-201607河南工业大学中英国际学院工程造价专业就读 全日制
201609-201807商丘工学院土木工程学院工程造价专业就读 全日制
201807-202307河南省南阳市中富康数显有限公司就职
202307-202310待业
202310-202507平顶山市生威餐饮有限公司"</f>
        <v>201309-201607河南工业大学中英国际学院工程造价专业就读 全日制
201609-201807商丘工学院土木工程学院工程造价专业就读 全日制
201807-202307河南省南阳市中富康数显有限公司就职
202307-202310待业
202310-202507平顶山市生威餐饮有限公司</v>
      </c>
    </row>
    <row r="1678" ht="81" spans="1:9">
      <c r="A1678" s="1" t="str">
        <f>"220323200107050015"</f>
        <v>220323200107050015</v>
      </c>
      <c r="B1678" s="1" t="str">
        <f>"中共党员"</f>
        <v>中共党员</v>
      </c>
      <c r="C1678" s="1" t="str">
        <f t="shared" si="835"/>
        <v>本科</v>
      </c>
      <c r="D1678" s="1" t="str">
        <f>"20250701"</f>
        <v>20250701</v>
      </c>
      <c r="E1678" s="1" t="str">
        <f>"北华大学"</f>
        <v>北华大学</v>
      </c>
      <c r="F1678" s="1" t="str">
        <f>"汉语言文学"</f>
        <v>汉语言文学</v>
      </c>
      <c r="G1678" s="1" t="str">
        <f>"广西壮族自治区柳州市三江侗族自治县和平乡和平村和平屯和平街135号和平乡人民政府文广楼二层"</f>
        <v>广西壮族自治区柳州市三江侗族自治县和平乡和平村和平屯和平街135号和平乡人民政府文广楼二层</v>
      </c>
      <c r="H1678" s="1" t="str">
        <f t="shared" si="834"/>
        <v>无</v>
      </c>
      <c r="I1678" s="3" t="s">
        <v>228</v>
      </c>
    </row>
    <row r="1679" spans="1:9">
      <c r="A1679" s="1" t="str">
        <f>"411327199910121528"</f>
        <v>411327199910121528</v>
      </c>
      <c r="B1679" s="1" t="str">
        <f t="shared" ref="B1679:B1684" si="836">"群众"</f>
        <v>群众</v>
      </c>
      <c r="C1679" s="1" t="str">
        <f t="shared" si="835"/>
        <v>本科</v>
      </c>
      <c r="D1679" s="1" t="str">
        <f>"20210701"</f>
        <v>20210701</v>
      </c>
      <c r="E1679" s="1" t="str">
        <f>"河南科技学院"</f>
        <v>河南科技学院</v>
      </c>
      <c r="F1679" s="1" t="str">
        <f>"市场营销"</f>
        <v>市场营销</v>
      </c>
      <c r="G1679" s="1" t="str">
        <f>"南阳市内乡县梨园山庄公园西里B区"</f>
        <v>南阳市内乡县梨园山庄公园西里B区</v>
      </c>
      <c r="H1679" s="1" t="str">
        <f t="shared" si="834"/>
        <v>无</v>
      </c>
      <c r="I1679" s="1" t="str">
        <f>"201709-202107 河南科技学院 经济与管理学院市场营销专业就读 全日制学历
202107-202108 杭州明康汇  招聘
202109-202110 杭州闪思达网络科技有限公司 行政
2021年11月至2023年6月在家待业
202306-202311 内乡县宏达房地产开发公司  销售
2023年11月至今待业"</f>
        <v>201709-202107 河南科技学院 经济与管理学院市场营销专业就读 全日制学历
202107-202108 杭州明康汇  招聘
202109-202110 杭州闪思达网络科技有限公司 行政
2021年11月至2023年6月在家待业
202306-202311 内乡县宏达房地产开发公司  销售
2023年11月至今待业</v>
      </c>
    </row>
    <row r="1680" spans="1:9">
      <c r="A1680" s="1" t="str">
        <f>"411327199810010038"</f>
        <v>411327199810010038</v>
      </c>
      <c r="B1680" s="1" t="str">
        <f t="shared" si="836"/>
        <v>群众</v>
      </c>
      <c r="C1680" s="1" t="str">
        <f t="shared" si="835"/>
        <v>本科</v>
      </c>
      <c r="D1680" s="1" t="str">
        <f>"2022.07"</f>
        <v>2022.07</v>
      </c>
      <c r="E1680" s="1" t="str">
        <f>"商丘学院"</f>
        <v>商丘学院</v>
      </c>
      <c r="F1680" s="1" t="str">
        <f>"市场营销"</f>
        <v>市场营销</v>
      </c>
      <c r="G1680" s="1" t="str">
        <f>"河南省南阳市内乡县灌涨镇府前路"</f>
        <v>河南省南阳市内乡县灌涨镇府前路</v>
      </c>
      <c r="H1680" s="1" t="str">
        <f t="shared" si="834"/>
        <v>无</v>
      </c>
      <c r="I1680" s="1" t="str">
        <f>"2014.09.01-2017.07.01 内乡县第四高级中学
2017.09.01-2020.07.01 平顶山工业职业技术学院
2020.09.01-2022.07.01  商丘学院"</f>
        <v>2014.09.01-2017.07.01 内乡县第四高级中学
2017.09.01-2020.07.01 平顶山工业职业技术学院
2020.09.01-2022.07.01  商丘学院</v>
      </c>
    </row>
    <row r="1681" spans="1:9">
      <c r="A1681" s="1" t="str">
        <f>"411327200308053513"</f>
        <v>411327200308053513</v>
      </c>
      <c r="B1681" s="1" t="str">
        <f t="shared" ref="B1681:B1687" si="837">"共青团员"</f>
        <v>共青团员</v>
      </c>
      <c r="C1681" s="1" t="str">
        <f>"专科"</f>
        <v>专科</v>
      </c>
      <c r="D1681" s="1" t="str">
        <f>"20240615"</f>
        <v>20240615</v>
      </c>
      <c r="E1681" s="1" t="str">
        <f>"焦作大学"</f>
        <v>焦作大学</v>
      </c>
      <c r="F1681" s="1" t="str">
        <f>"机电一体化技术"</f>
        <v>机电一体化技术</v>
      </c>
      <c r="G1681" s="1" t="str">
        <f>"南阳市内乡县板厂乡板厂街"</f>
        <v>南阳市内乡县板厂乡板厂街</v>
      </c>
      <c r="H1681" s="1" t="str">
        <f>"高级电工证书3级"</f>
        <v>高级电工证书3级</v>
      </c>
      <c r="I1681" s="1" t="str">
        <f>"202110-202406在焦作大学就读机电工程学院的机电一体化技术专业就读，全日制学历
202407-202507在南阳市中天防爆电气股份有限公司就业"</f>
        <v>202110-202406在焦作大学就读机电工程学院的机电一体化技术专业就读，全日制学历
202407-202507在南阳市中天防爆电气股份有限公司就业</v>
      </c>
    </row>
    <row r="1682" spans="1:9">
      <c r="A1682" s="1" t="str">
        <f>"411330199105180531"</f>
        <v>411330199105180531</v>
      </c>
      <c r="B1682" s="1" t="str">
        <f>"中共党员"</f>
        <v>中共党员</v>
      </c>
      <c r="C1682" s="1" t="str">
        <f t="shared" ref="C1682:C1685" si="838">"本科"</f>
        <v>本科</v>
      </c>
      <c r="D1682" s="1" t="str">
        <f>"20140705"</f>
        <v>20140705</v>
      </c>
      <c r="E1682" s="1" t="str">
        <f>"内蒙古财经大学"</f>
        <v>内蒙古财经大学</v>
      </c>
      <c r="F1682" s="1" t="str">
        <f>"国际经济与贸易"</f>
        <v>国际经济与贸易</v>
      </c>
      <c r="G1682" s="1" t="str">
        <f>"河南省南阳市西峡县葛营"</f>
        <v>河南省南阳市西峡县葛营</v>
      </c>
      <c r="H1682" s="1" t="str">
        <f t="shared" ref="H1682:H1685" si="839">"无"</f>
        <v>无</v>
      </c>
      <c r="I1682" s="1" t="str">
        <f>"201009-201407在内蒙古财经大学商务学院国际经济与贸易专业就读，是全日制学历。"</f>
        <v>201009-201407在内蒙古财经大学商务学院国际经济与贸易专业就读，是全日制学历。</v>
      </c>
    </row>
    <row r="1683" spans="1:9">
      <c r="A1683" s="1" t="str">
        <f>"411327199509283512"</f>
        <v>411327199509283512</v>
      </c>
      <c r="B1683" s="1" t="str">
        <f t="shared" si="836"/>
        <v>群众</v>
      </c>
      <c r="C1683" s="1" t="str">
        <f t="shared" si="838"/>
        <v>本科</v>
      </c>
      <c r="D1683" s="1" t="str">
        <f>"20190701"</f>
        <v>20190701</v>
      </c>
      <c r="E1683" s="1" t="str">
        <f>"河南城建学院"</f>
        <v>河南城建学院</v>
      </c>
      <c r="F1683" s="1" t="str">
        <f>"电气工程及其自动化"</f>
        <v>电气工程及其自动化</v>
      </c>
      <c r="G1683" s="1" t="str">
        <f>"河南省内乡县板厂乡雁岭村"</f>
        <v>河南省内乡县板厂乡雁岭村</v>
      </c>
      <c r="H1683" s="1" t="str">
        <f>"工程师"</f>
        <v>工程师</v>
      </c>
      <c r="I1683" s="1" t="str">
        <f>"201409-201707在商丘工学院就读电气自动化技术，全日制大专；
201709-201907在河南城建学院就读电气工程及其自动化，全日制本科。"</f>
        <v>201409-201707在商丘工学院就读电气自动化技术，全日制大专；
201709-201907在河南城建学院就读电气工程及其自动化，全日制本科。</v>
      </c>
    </row>
    <row r="1684" spans="1:9">
      <c r="A1684" s="1" t="str">
        <f>"41132720020401312X"</f>
        <v>41132720020401312X</v>
      </c>
      <c r="B1684" s="1" t="str">
        <f t="shared" si="836"/>
        <v>群众</v>
      </c>
      <c r="C1684" s="1" t="str">
        <f>"专科"</f>
        <v>专科</v>
      </c>
      <c r="D1684" s="1" t="str">
        <f>"20250607"</f>
        <v>20250607</v>
      </c>
      <c r="E1684" s="1" t="str">
        <f>"河南机电职业学院"</f>
        <v>河南机电职业学院</v>
      </c>
      <c r="F1684" s="1" t="str">
        <f>"医疗器械维护与管理"</f>
        <v>医疗器械维护与管理</v>
      </c>
      <c r="G1684" s="1" t="str">
        <f>"河南省南阳市内乡县夏馆镇吴岗村"</f>
        <v>河南省南阳市内乡县夏馆镇吴岗村</v>
      </c>
      <c r="H1684" s="1" t="str">
        <f t="shared" si="839"/>
        <v>无</v>
      </c>
      <c r="I1684" s="1" t="str">
        <f>"202209-202506   河南机电职业学院就读   医疗设备学院   医疗器械维护与管理专业    全日制学历"</f>
        <v>202209-202506   河南机电职业学院就读   医疗设备学院   医疗器械维护与管理专业    全日制学历</v>
      </c>
    </row>
    <row r="1685" spans="1:9">
      <c r="A1685" s="1" t="str">
        <f>"411324200204262223"</f>
        <v>411324200204262223</v>
      </c>
      <c r="B1685" s="1" t="str">
        <f t="shared" si="837"/>
        <v>共青团员</v>
      </c>
      <c r="C1685" s="1" t="str">
        <f t="shared" si="838"/>
        <v>本科</v>
      </c>
      <c r="D1685" s="1" t="str">
        <f>"20240620"</f>
        <v>20240620</v>
      </c>
      <c r="E1685" s="1" t="str">
        <f>"河南工学院"</f>
        <v>河南工学院</v>
      </c>
      <c r="F1685" s="1" t="str">
        <f>"材料成型及控制工程"</f>
        <v>材料成型及控制工程</v>
      </c>
      <c r="G1685" s="1" t="str">
        <f>"河南省南阳市镇平县"</f>
        <v>河南省南阳市镇平县</v>
      </c>
      <c r="H1685" s="1" t="str">
        <f t="shared" si="839"/>
        <v>无</v>
      </c>
      <c r="I1685" s="1" t="str">
        <f>"202010-202406 河南工学院材料学院材料成型及控制工程专业就读 全日制学历"</f>
        <v>202010-202406 河南工学院材料学院材料成型及控制工程专业就读 全日制学历</v>
      </c>
    </row>
    <row r="1686" spans="1:9">
      <c r="A1686" s="1" t="str">
        <f>"411527199908178307"</f>
        <v>411527199908178307</v>
      </c>
      <c r="B1686" s="1" t="str">
        <f t="shared" si="837"/>
        <v>共青团员</v>
      </c>
      <c r="C1686" s="1" t="str">
        <f>"硕士研究生"</f>
        <v>硕士研究生</v>
      </c>
      <c r="D1686" s="1" t="str">
        <f>"20250616"</f>
        <v>20250616</v>
      </c>
      <c r="E1686" s="1" t="str">
        <f>"河北大学"</f>
        <v>河北大学</v>
      </c>
      <c r="F1686" s="1" t="str">
        <f>"审计"</f>
        <v>审计</v>
      </c>
      <c r="G1686" s="1" t="str">
        <f>"河南省信阳市平桥区新七大道前进街道颐都豪庭"</f>
        <v>河南省信阳市平桥区新七大道前进街道颐都豪庭</v>
      </c>
      <c r="H1686" s="1" t="str">
        <f>"初级会计证书"</f>
        <v>初级会计证书</v>
      </c>
      <c r="I1686" s="1" t="str">
        <f>"201709-202106  洛阳理工学院  会计学院  会计学  全日制本科
202109-202306  在家待业
202309-202506  河北大学  管理学院  审计  全日制硕士"</f>
        <v>201709-202106  洛阳理工学院  会计学院  会计学  全日制本科
202109-202306  在家待业
202309-202506  河北大学  管理学院  审计  全日制硕士</v>
      </c>
    </row>
    <row r="1687" spans="1:9">
      <c r="A1687" s="1" t="str">
        <f>"411330200003200541"</f>
        <v>411330200003200541</v>
      </c>
      <c r="B1687" s="1" t="str">
        <f t="shared" si="837"/>
        <v>共青团员</v>
      </c>
      <c r="C1687" s="1" t="str">
        <f t="shared" ref="C1687:C1692" si="840">"本科"</f>
        <v>本科</v>
      </c>
      <c r="D1687" s="1" t="str">
        <f>"20220612"</f>
        <v>20220612</v>
      </c>
      <c r="E1687" s="1" t="str">
        <f>"大连工业大学"</f>
        <v>大连工业大学</v>
      </c>
      <c r="F1687" s="1" t="str">
        <f>"食品科学与工程"</f>
        <v>食品科学与工程</v>
      </c>
      <c r="G1687" s="1" t="str">
        <f>"河南省南阳市西峡县田关镇曹沟村"</f>
        <v>河南省南阳市西峡县田关镇曹沟村</v>
      </c>
      <c r="H1687" s="1" t="str">
        <f t="shared" ref="H1687:H1695" si="841">"无"</f>
        <v>无</v>
      </c>
      <c r="I1687" s="1" t="str">
        <f>"201809-202206 大连工业大学 就读   食品科学与工程专业  全日制学历
2022207-202302  待业
202303-至今 仲景食品股份有限公司 上班"</f>
        <v>201809-202206 大连工业大学 就读   食品科学与工程专业  全日制学历
2022207-202302  待业
202303-至今 仲景食品股份有限公司 上班</v>
      </c>
    </row>
    <row r="1688" spans="1:9">
      <c r="A1688" s="1" t="str">
        <f>"411381200004281515"</f>
        <v>411381200004281515</v>
      </c>
      <c r="B1688" s="1" t="str">
        <f t="shared" ref="B1688:B1693" si="842">"群众"</f>
        <v>群众</v>
      </c>
      <c r="C1688" s="1" t="str">
        <f t="shared" si="840"/>
        <v>本科</v>
      </c>
      <c r="D1688" s="1" t="str">
        <f>"20221201"</f>
        <v>20221201</v>
      </c>
      <c r="E1688" s="1" t="str">
        <f>"华北水利水电大学"</f>
        <v>华北水利水电大学</v>
      </c>
      <c r="F1688" s="1" t="str">
        <f>"机械设计制造及其自动化"</f>
        <v>机械设计制造及其自动化</v>
      </c>
      <c r="G1688" s="1" t="str">
        <f>"河南省邓州市张楼乡小丁村陈楼43号"</f>
        <v>河南省邓州市张楼乡小丁村陈楼43号</v>
      </c>
      <c r="H1688" s="1" t="str">
        <f t="shared" si="841"/>
        <v>无</v>
      </c>
      <c r="I1688" s="1" t="str">
        <f>"201809-202212 华北水利水电大学就读。机械学院，机械设计制造及其自动化专业  全日制本科
202212-202307 在南阳市邓州市待业
202307-202502 在中建深圳装饰集团工作，岗位为室内设计师
202502-202507 在南阳市邓州市待业"</f>
        <v>201809-202212 华北水利水电大学就读。机械学院，机械设计制造及其自动化专业  全日制本科
202212-202307 在南阳市邓州市待业
202307-202502 在中建深圳装饰集团工作，岗位为室内设计师
202502-202507 在南阳市邓州市待业</v>
      </c>
    </row>
    <row r="1689" spans="1:9">
      <c r="A1689" s="1" t="str">
        <f>"41130319981122052X"</f>
        <v>41130319981122052X</v>
      </c>
      <c r="B1689" s="1" t="str">
        <f t="shared" si="842"/>
        <v>群众</v>
      </c>
      <c r="C1689" s="1" t="str">
        <f t="shared" si="840"/>
        <v>本科</v>
      </c>
      <c r="D1689" s="1" t="str">
        <f>"20240701"</f>
        <v>20240701</v>
      </c>
      <c r="E1689" s="1" t="str">
        <f>"郑州轻工业大学"</f>
        <v>郑州轻工业大学</v>
      </c>
      <c r="F1689" s="1" t="str">
        <f>"视觉传达设计"</f>
        <v>视觉传达设计</v>
      </c>
      <c r="G1689" s="1" t="str">
        <f>"河南省南阳市光武中路"</f>
        <v>河南省南阳市光武中路</v>
      </c>
      <c r="H1689" s="1" t="str">
        <f t="shared" si="841"/>
        <v>无</v>
      </c>
      <c r="I1689" s="1" t="str">
        <f>"201809-202106河南工程学院 视觉传播设计与制作 普通全日制专科
202203-202407郑州轻工业大学 视觉传达设计 成人本科"</f>
        <v>201809-202106河南工程学院 视觉传播设计与制作 普通全日制专科
202203-202407郑州轻工业大学 视觉传达设计 成人本科</v>
      </c>
    </row>
    <row r="1690" spans="1:9">
      <c r="A1690" s="1" t="str">
        <f>"411002200206132014"</f>
        <v>411002200206132014</v>
      </c>
      <c r="B1690" s="1" t="str">
        <f t="shared" ref="B1690:B1692" si="843">"共青团员"</f>
        <v>共青团员</v>
      </c>
      <c r="C1690" s="1" t="str">
        <f t="shared" si="840"/>
        <v>本科</v>
      </c>
      <c r="D1690" s="1" t="str">
        <f>"20240607"</f>
        <v>20240607</v>
      </c>
      <c r="E1690" s="1" t="str">
        <f>"南阳师范学院"</f>
        <v>南阳师范学院</v>
      </c>
      <c r="F1690" s="1" t="str">
        <f>"化学"</f>
        <v>化学</v>
      </c>
      <c r="G1690" s="1" t="str">
        <f>"河南省许昌市魏都区学府名苑小区"</f>
        <v>河南省许昌市魏都区学府名苑小区</v>
      </c>
      <c r="H1690" s="1" t="str">
        <f t="shared" si="841"/>
        <v>无</v>
      </c>
      <c r="I1690" s="1" t="str">
        <f>"202009-202406南阳师范学院化学与制药工程学院化学专业全日制本科。202406-202507于河南省许昌市魏都区待业。"</f>
        <v>202009-202406南阳师范学院化学与制药工程学院化学专业全日制本科。202406-202507于河南省许昌市魏都区待业。</v>
      </c>
    </row>
    <row r="1691" spans="1:9">
      <c r="A1691" s="1" t="str">
        <f>"411327200203290045"</f>
        <v>411327200203290045</v>
      </c>
      <c r="B1691" s="1" t="str">
        <f t="shared" si="843"/>
        <v>共青团员</v>
      </c>
      <c r="C1691" s="1" t="str">
        <f t="shared" si="840"/>
        <v>本科</v>
      </c>
      <c r="D1691" s="1" t="str">
        <f>"20250606"</f>
        <v>20250606</v>
      </c>
      <c r="E1691" s="1" t="str">
        <f>"信阳农林学院"</f>
        <v>信阳农林学院</v>
      </c>
      <c r="F1691" s="1" t="str">
        <f>"植物保护"</f>
        <v>植物保护</v>
      </c>
      <c r="G1691" s="1" t="str">
        <f>"内乡县"</f>
        <v>内乡县</v>
      </c>
      <c r="H1691" s="1" t="str">
        <f t="shared" si="841"/>
        <v>无</v>
      </c>
      <c r="I1691" s="1" t="str">
        <f>"2020年10月-2023年6月河南林业职业学院就读全日制
2023年9月-2025年6月信阳农林学院就读全日制"</f>
        <v>2020年10月-2023年6月河南林业职业学院就读全日制
2023年9月-2025年6月信阳农林学院就读全日制</v>
      </c>
    </row>
    <row r="1692" spans="1:9">
      <c r="A1692" s="1" t="str">
        <f>"411327200105111525"</f>
        <v>411327200105111525</v>
      </c>
      <c r="B1692" s="1" t="str">
        <f t="shared" si="843"/>
        <v>共青团员</v>
      </c>
      <c r="C1692" s="1" t="str">
        <f t="shared" si="840"/>
        <v>本科</v>
      </c>
      <c r="D1692" s="1" t="str">
        <f>"20230701"</f>
        <v>20230701</v>
      </c>
      <c r="E1692" s="1" t="str">
        <f>"河南理工大学"</f>
        <v>河南理工大学</v>
      </c>
      <c r="F1692" s="1" t="str">
        <f>"能源与动力工程"</f>
        <v>能源与动力工程</v>
      </c>
      <c r="G1692" s="1" t="str">
        <f>"河南省南阳市内乡县湍东镇东王营村王北组"</f>
        <v>河南省南阳市内乡县湍东镇东王营村王北组</v>
      </c>
      <c r="H1692" s="1" t="str">
        <f t="shared" si="841"/>
        <v>无</v>
      </c>
      <c r="I1692" s="1" t="str">
        <f>"201909-202307 河南理工大学机械与动力工程学院能源与动力工程专业就读，是全日制学历；
202307-202309 在河南省南阳市内乡县待业；
202309至今 内乡县农业农村局大学生西部计划乡村振兴计划志愿者"</f>
        <v>201909-202307 河南理工大学机械与动力工程学院能源与动力工程专业就读，是全日制学历；
202307-202309 在河南省南阳市内乡县待业；
202309至今 内乡县农业农村局大学生西部计划乡村振兴计划志愿者</v>
      </c>
    </row>
    <row r="1693" spans="1:9">
      <c r="A1693" s="1" t="str">
        <f>"411327200004202014"</f>
        <v>411327200004202014</v>
      </c>
      <c r="B1693" s="1" t="str">
        <f t="shared" si="842"/>
        <v>群众</v>
      </c>
      <c r="C1693" s="1" t="str">
        <f>"专科"</f>
        <v>专科</v>
      </c>
      <c r="D1693" s="1" t="str">
        <f>"20210607"</f>
        <v>20210607</v>
      </c>
      <c r="E1693" s="1" t="str">
        <f>"三门峡职业技术学院"</f>
        <v>三门峡职业技术学院</v>
      </c>
      <c r="F1693" s="1" t="str">
        <f>"电子商务"</f>
        <v>电子商务</v>
      </c>
      <c r="G1693" s="1" t="str">
        <f>"南阳市内乡县状元府五号楼904"</f>
        <v>南阳市内乡县状元府五号楼904</v>
      </c>
      <c r="H1693" s="1" t="str">
        <f t="shared" si="841"/>
        <v>无</v>
      </c>
      <c r="I1693" s="1" t="str">
        <f>"201809-202106 三门峡职业技术学院经济管理学院电子商务专业就读 是全日制
202009-202209 陕西总队西安支队九中队义务兵
202209-202407 在内乡县待业
202407-至今      内乡县看护大队队员"</f>
        <v>201809-202106 三门峡职业技术学院经济管理学院电子商务专业就读 是全日制
202009-202209 陕西总队西安支队九中队义务兵
202209-202407 在内乡县待业
202407-至今      内乡县看护大队队员</v>
      </c>
    </row>
    <row r="1694" spans="1:9">
      <c r="A1694" s="1" t="str">
        <f>"411329199610203145"</f>
        <v>411329199610203145</v>
      </c>
      <c r="B1694" s="1" t="str">
        <f>"中共党员"</f>
        <v>中共党员</v>
      </c>
      <c r="C1694" s="1" t="str">
        <f t="shared" ref="C1694:C1699" si="844">"本科"</f>
        <v>本科</v>
      </c>
      <c r="D1694" s="1" t="str">
        <f>"20200701"</f>
        <v>20200701</v>
      </c>
      <c r="E1694" s="1" t="str">
        <f>"南阳师范学院"</f>
        <v>南阳师范学院</v>
      </c>
      <c r="F1694" s="1" t="str">
        <f>"汉语言文学"</f>
        <v>汉语言文学</v>
      </c>
      <c r="G1694" s="1" t="str">
        <f>"南阳市社旗县盛世嘉苑"</f>
        <v>南阳市社旗县盛世嘉苑</v>
      </c>
      <c r="H1694" s="1" t="str">
        <f t="shared" si="841"/>
        <v>无</v>
      </c>
      <c r="I1694" s="1" t="str">
        <f>"2014年9月-2017年7月就读于河南工业贸易职业学院贸易经济系电子商务专业学生
2017年7月-2018年3月在家准备考试
2018年3月-2020年7月南阳师范学院非全日制汉语言文学专业学生
2020年7月-2021年3月在家待业
2021年3月-2021年7月工作于南阳市十四小学教师
2021年8月-2022年8月在家待业
2022年9至今就职于南阳市六十四小学"</f>
        <v>2014年9月-2017年7月就读于河南工业贸易职业学院贸易经济系电子商务专业学生
2017年7月-2018年3月在家准备考试
2018年3月-2020年7月南阳师范学院非全日制汉语言文学专业学生
2020年7月-2021年3月在家待业
2021年3月-2021年7月工作于南阳市十四小学教师
2021年8月-2022年8月在家待业
2022年9至今就职于南阳市六十四小学</v>
      </c>
    </row>
    <row r="1695" spans="1:9">
      <c r="A1695" s="1" t="str">
        <f>"411327199701021520"</f>
        <v>411327199701021520</v>
      </c>
      <c r="B1695" s="1" t="str">
        <f>"共青团员"</f>
        <v>共青团员</v>
      </c>
      <c r="C1695" s="1" t="str">
        <f t="shared" si="844"/>
        <v>本科</v>
      </c>
      <c r="D1695" s="1" t="str">
        <f>"2020-07-01"</f>
        <v>2020-07-01</v>
      </c>
      <c r="E1695" s="1" t="str">
        <f>"信阳学院"</f>
        <v>信阳学院</v>
      </c>
      <c r="F1695" s="1" t="str">
        <f>"英语"</f>
        <v>英语</v>
      </c>
      <c r="G1695" s="1" t="str">
        <f>"河南省南阳市内乡县五里堡鱼池组"</f>
        <v>河南省南阳市内乡县五里堡鱼池组</v>
      </c>
      <c r="H1695" s="1" t="str">
        <f t="shared" si="841"/>
        <v>无</v>
      </c>
      <c r="I1695" s="1" t="str">
        <f>"2017 09-2020 07 信阳学院 就读 
2020 07-2024 12 内乡郦都初中"</f>
        <v>2017 09-2020 07 信阳学院 就读 
2020 07-2024 12 内乡郦都初中</v>
      </c>
    </row>
    <row r="1696" spans="1:9">
      <c r="A1696" s="1" t="str">
        <f>"411326200208280720"</f>
        <v>411326200208280720</v>
      </c>
      <c r="B1696" s="1" t="str">
        <f>"中共党员"</f>
        <v>中共党员</v>
      </c>
      <c r="C1696" s="1" t="str">
        <f t="shared" si="844"/>
        <v>本科</v>
      </c>
      <c r="D1696" s="1" t="str">
        <f>"20250606"</f>
        <v>20250606</v>
      </c>
      <c r="E1696" s="1" t="str">
        <f>"信阳学院"</f>
        <v>信阳学院</v>
      </c>
      <c r="F1696" s="1" t="str">
        <f>"会计学"</f>
        <v>会计学</v>
      </c>
      <c r="G1696" s="1" t="str">
        <f>"河南省南阳市南召县滨河鑫苑209号"</f>
        <v>河南省南阳市南召县滨河鑫苑209号</v>
      </c>
      <c r="H1696" s="1" t="str">
        <f>"初级会计专业技术资格证"</f>
        <v>初级会计专业技术资格证</v>
      </c>
      <c r="I1696" s="1" t="str">
        <f>"202009-202306 郑州财经学院会计学院会计学就读 全日制学历
202309-202506 信阳学院商学院会计学就读 全日制学历
202506-至今 在家待业"</f>
        <v>202009-202306 郑州财经学院会计学院会计学就读 全日制学历
202309-202506 信阳学院商学院会计学就读 全日制学历
202506-至今 在家待业</v>
      </c>
    </row>
    <row r="1697" spans="1:9">
      <c r="A1697" s="1" t="str">
        <f>"410326200205247561"</f>
        <v>410326200205247561</v>
      </c>
      <c r="B1697" s="1" t="str">
        <f>"中共预备党员"</f>
        <v>中共预备党员</v>
      </c>
      <c r="C1697" s="1" t="str">
        <f t="shared" si="844"/>
        <v>本科</v>
      </c>
      <c r="D1697" s="1" t="str">
        <f>"20250630"</f>
        <v>20250630</v>
      </c>
      <c r="E1697" s="1" t="str">
        <f>"洛阳师范学院"</f>
        <v>洛阳师范学院</v>
      </c>
      <c r="F1697" s="1" t="str">
        <f>"学前教育"</f>
        <v>学前教育</v>
      </c>
      <c r="G1697" s="1" t="str">
        <f>"河南省洛阳市汝阳县陶营镇"</f>
        <v>河南省洛阳市汝阳县陶营镇</v>
      </c>
      <c r="H1697" s="1" t="str">
        <f t="shared" ref="H1697:H1706" si="845">"无"</f>
        <v>无</v>
      </c>
      <c r="I1697" s="1" t="str">
        <f>"202109-202506在洛阳师范学院，学前教育专业就读，是全日制学历"</f>
        <v>202109-202506在洛阳师范学院，学前教育专业就读，是全日制学历</v>
      </c>
    </row>
    <row r="1698" spans="1:9">
      <c r="A1698" s="1" t="str">
        <f>"411302200210180138"</f>
        <v>411302200210180138</v>
      </c>
      <c r="B1698" s="1" t="str">
        <f t="shared" ref="B1698:B1702" si="846">"群众"</f>
        <v>群众</v>
      </c>
      <c r="C1698" s="1" t="str">
        <f t="shared" si="844"/>
        <v>本科</v>
      </c>
      <c r="D1698" s="1" t="str">
        <f>"20240625"</f>
        <v>20240625</v>
      </c>
      <c r="E1698" s="1" t="str">
        <f>"河南工业大学"</f>
        <v>河南工业大学</v>
      </c>
      <c r="F1698" s="1" t="str">
        <f>"人工智能"</f>
        <v>人工智能</v>
      </c>
      <c r="G1698" s="1" t="str">
        <f>"南阳市宛城区工农北路农业局家属院"</f>
        <v>南阳市宛城区工农北路农业局家属院</v>
      </c>
      <c r="H1698" s="1" t="str">
        <f t="shared" si="845"/>
        <v>无</v>
      </c>
      <c r="I1698" s="1" t="str">
        <f>"202009-202406 河南工业大学就读
202408-至今 共青团正阳县委工作"</f>
        <v>202009-202406 河南工业大学就读
202408-至今 共青团正阳县委工作</v>
      </c>
    </row>
    <row r="1699" spans="1:9">
      <c r="A1699" s="1" t="str">
        <f>"411327200101160047"</f>
        <v>411327200101160047</v>
      </c>
      <c r="B1699" s="1" t="str">
        <f t="shared" ref="B1699:B1705" si="847">"共青团员"</f>
        <v>共青团员</v>
      </c>
      <c r="C1699" s="1" t="str">
        <f t="shared" si="844"/>
        <v>本科</v>
      </c>
      <c r="D1699" s="1" t="str">
        <f>"2023-07-1"</f>
        <v>2023-07-1</v>
      </c>
      <c r="E1699" s="1" t="str">
        <f>"河南牧业经济学院"</f>
        <v>河南牧业经济学院</v>
      </c>
      <c r="F1699" s="1" t="str">
        <f>"会计学"</f>
        <v>会计学</v>
      </c>
      <c r="G1699" s="1" t="str">
        <f>"河南省南阳市内乡县城关镇"</f>
        <v>河南省南阳市内乡县城关镇</v>
      </c>
      <c r="H1699" s="1" t="str">
        <f t="shared" si="845"/>
        <v>无</v>
      </c>
      <c r="I1699" s="1" t="str">
        <f>"201909-202307在河南牧业经济学院国际教育学院就读
202407至今待业"</f>
        <v>201909-202307在河南牧业经济学院国际教育学院就读
202407至今待业</v>
      </c>
    </row>
    <row r="1700" spans="1:9">
      <c r="A1700" s="1" t="str">
        <f>"411381199003070315"</f>
        <v>411381199003070315</v>
      </c>
      <c r="B1700" s="1" t="str">
        <f t="shared" si="846"/>
        <v>群众</v>
      </c>
      <c r="C1700" s="1" t="str">
        <f>"专科"</f>
        <v>专科</v>
      </c>
      <c r="D1700" s="1" t="str">
        <f>"20130701"</f>
        <v>20130701</v>
      </c>
      <c r="E1700" s="1" t="str">
        <f>"邵阳职业技术学院"</f>
        <v>邵阳职业技术学院</v>
      </c>
      <c r="F1700" s="1" t="str">
        <f>"会计电算化"</f>
        <v>会计电算化</v>
      </c>
      <c r="G1700" s="1" t="str">
        <f>"河南省南阳市宛城区明山路丽康花园"</f>
        <v>河南省南阳市宛城区明山路丽康花园</v>
      </c>
      <c r="H1700" s="1" t="str">
        <f t="shared" si="845"/>
        <v>无</v>
      </c>
      <c r="I1700" s="1" t="str">
        <f>"2011年9月至2013年7月在邵阳职业技术学院就读会计电算化
2013年7月至2014年9月待业
2014年9月至2016年7月在南阳理工学院成人教育法学专业学习
2015年1月至2018年9月在南阳市新区公安分局做辅警
2018年9月至今在南阳市宛城区法院做书记员"</f>
        <v>2011年9月至2013年7月在邵阳职业技术学院就读会计电算化
2013年7月至2014年9月待业
2014年9月至2016年7月在南阳理工学院成人教育法学专业学习
2015年1月至2018年9月在南阳市新区公安分局做辅警
2018年9月至今在南阳市宛城区法院做书记员</v>
      </c>
    </row>
    <row r="1701" spans="1:9">
      <c r="A1701" s="1" t="str">
        <f>"410423200011151015"</f>
        <v>410423200011151015</v>
      </c>
      <c r="B1701" s="1" t="str">
        <f t="shared" si="847"/>
        <v>共青团员</v>
      </c>
      <c r="C1701" s="1" t="str">
        <f t="shared" ref="C1701:C1710" si="848">"本科"</f>
        <v>本科</v>
      </c>
      <c r="D1701" s="1" t="str">
        <f>"20250606"</f>
        <v>20250606</v>
      </c>
      <c r="E1701" s="1" t="str">
        <f>"安阳师范学院"</f>
        <v>安阳师范学院</v>
      </c>
      <c r="F1701" s="1" t="str">
        <f>"物联网工程"</f>
        <v>物联网工程</v>
      </c>
      <c r="G1701" s="1" t="str">
        <f>"河南省平顶山市鲁山县张官营镇刘寨村"</f>
        <v>河南省平顶山市鲁山县张官营镇刘寨村</v>
      </c>
      <c r="H1701" s="1" t="str">
        <f t="shared" si="845"/>
        <v>无</v>
      </c>
      <c r="I1701" s="1" t="str">
        <f>"202309-202506 安阳师范学院 计算机与信息工程学院 物联网工程专业 就读 是全日制本科
202009-202307 河南财政金融学院 计算机与人工智能学院 物联网应用技术 就读 是全日制专科
201709-202007 鲁山县第二高级中学 就读
201409-201707 鲁山县第二初级中学 就读
201109-201407 鲁山县张官营第二小学 就读
200809-201107 鲁山县张官营镇刘寨村小学 就读"</f>
        <v>202309-202506 安阳师范学院 计算机与信息工程学院 物联网工程专业 就读 是全日制本科
202009-202307 河南财政金融学院 计算机与人工智能学院 物联网应用技术 就读 是全日制专科
201709-202007 鲁山县第二高级中学 就读
201409-201707 鲁山县第二初级中学 就读
201109-201407 鲁山县张官营第二小学 就读
200809-201107 鲁山县张官营镇刘寨村小学 就读</v>
      </c>
    </row>
    <row r="1702" spans="1:9">
      <c r="A1702" s="1" t="str">
        <f>"411327199502160632"</f>
        <v>411327199502160632</v>
      </c>
      <c r="B1702" s="1" t="str">
        <f t="shared" si="846"/>
        <v>群众</v>
      </c>
      <c r="C1702" s="1" t="str">
        <f>"专科"</f>
        <v>专科</v>
      </c>
      <c r="D1702" s="1" t="str">
        <f>"20220701"</f>
        <v>20220701</v>
      </c>
      <c r="E1702" s="1" t="str">
        <f>"三门峡职业技术学院"</f>
        <v>三门峡职业技术学院</v>
      </c>
      <c r="F1702" s="1" t="str">
        <f>"建设工程管理"</f>
        <v>建设工程管理</v>
      </c>
      <c r="G1702" s="1" t="str">
        <f>"南阳市内乡县马山口镇"</f>
        <v>南阳市内乡县马山口镇</v>
      </c>
      <c r="H1702" s="1" t="str">
        <f t="shared" si="845"/>
        <v>无</v>
      </c>
      <c r="I1702" s="1" t="str">
        <f>"2021.11—至今，在内乡县应急管理局工作
2020.3—2022.7，就读三门峡职业技术学院，不是全日制"</f>
        <v>2021.11—至今，在内乡县应急管理局工作
2020.3—2022.7，就读三门峡职业技术学院，不是全日制</v>
      </c>
    </row>
    <row r="1703" spans="1:9">
      <c r="A1703" s="1" t="str">
        <f>"411327200201230313"</f>
        <v>411327200201230313</v>
      </c>
      <c r="B1703" s="1" t="str">
        <f t="shared" si="847"/>
        <v>共青团员</v>
      </c>
      <c r="C1703" s="1" t="str">
        <f t="shared" si="848"/>
        <v>本科</v>
      </c>
      <c r="D1703" s="1" t="str">
        <f>"20250701"</f>
        <v>20250701</v>
      </c>
      <c r="E1703" s="1" t="str">
        <f>"广西警察学院"</f>
        <v>广西警察学院</v>
      </c>
      <c r="F1703" s="1" t="str">
        <f>"行政管理"</f>
        <v>行政管理</v>
      </c>
      <c r="G1703" s="1" t="str">
        <f>"河南省南阳市内乡县大桥乡谢营村大徐坡南4号"</f>
        <v>河南省南阳市内乡县大桥乡谢营村大徐坡南4号</v>
      </c>
      <c r="H1703" s="1" t="str">
        <f t="shared" si="845"/>
        <v>无</v>
      </c>
      <c r="I1703" s="1" t="str">
        <f>"20210901-20250701广西警察学院公共管理学院行政管理专业就读，是全日制学历"</f>
        <v>20210901-20250701广西警察学院公共管理学院行政管理专业就读，是全日制学历</v>
      </c>
    </row>
    <row r="1704" spans="1:9">
      <c r="A1704" s="1" t="str">
        <f>"411381199810063920"</f>
        <v>411381199810063920</v>
      </c>
      <c r="B1704" s="1" t="str">
        <f t="shared" si="847"/>
        <v>共青团员</v>
      </c>
      <c r="C1704" s="1" t="str">
        <f t="shared" si="848"/>
        <v>本科</v>
      </c>
      <c r="D1704" s="1" t="str">
        <f>"2023-07-01"</f>
        <v>2023-07-01</v>
      </c>
      <c r="E1704" s="1" t="str">
        <f>"洛阳理工学院"</f>
        <v>洛阳理工学院</v>
      </c>
      <c r="F1704" s="1" t="str">
        <f>"学前教育"</f>
        <v>学前教育</v>
      </c>
      <c r="G1704" s="1" t="str">
        <f>"内乡县城关镇菊城花园小区"</f>
        <v>内乡县城关镇菊城花园小区</v>
      </c>
      <c r="H1704" s="1" t="str">
        <f t="shared" si="845"/>
        <v>无</v>
      </c>
      <c r="I1704" s="1" t="str">
        <f>"201809-202107 在郑州幼儿师范高等专科学校学前教育专业就读，是全日制学历。
202109-202307 在洛阳理工学院教育科学和音乐学院学前教育专业就读，是全日制学历。
202307-至今在内乡县备考、待业。"</f>
        <v>201809-202107 在郑州幼儿师范高等专科学校学前教育专业就读，是全日制学历。
202109-202307 在洛阳理工学院教育科学和音乐学院学前教育专业就读，是全日制学历。
202307-至今在内乡县备考、待业。</v>
      </c>
    </row>
    <row r="1705" spans="1:9">
      <c r="A1705" s="1" t="str">
        <f>"532726199812091816"</f>
        <v>532726199812091816</v>
      </c>
      <c r="B1705" s="1" t="str">
        <f t="shared" si="847"/>
        <v>共青团员</v>
      </c>
      <c r="C1705" s="1" t="str">
        <f t="shared" si="848"/>
        <v>本科</v>
      </c>
      <c r="D1705" s="1" t="str">
        <f>"20220701"</f>
        <v>20220701</v>
      </c>
      <c r="E1705" s="1" t="str">
        <f>"云南工商学院"</f>
        <v>云南工商学院</v>
      </c>
      <c r="F1705" s="1" t="str">
        <f>"电子商务"</f>
        <v>电子商务</v>
      </c>
      <c r="G1705" s="1" t="str">
        <f>"云南省普洱市思茅区阳光新城静园26幢1单元401室"</f>
        <v>云南省普洱市思茅区阳光新城静园26幢1单元401室</v>
      </c>
      <c r="H1705" s="1" t="str">
        <f t="shared" si="845"/>
        <v>无</v>
      </c>
      <c r="I1705" s="1" t="str">
        <f>"201709-202007 云南工商学院 经济与管理学院 就读普通全日制专科工商企业管理专业；202009-202207 云南工商学院 经济与管理学院 就读普通全日制本科电子商务专业；202208-202307 参加大学生志愿者西部计划项目 服务于新疆巴州博湖县商务和工业信息化局；202307至今待业。"</f>
        <v>201709-202007 云南工商学院 经济与管理学院 就读普通全日制专科工商企业管理专业；202009-202207 云南工商学院 经济与管理学院 就读普通全日制本科电子商务专业；202208-202307 参加大学生志愿者西部计划项目 服务于新疆巴州博湖县商务和工业信息化局；202307至今待业。</v>
      </c>
    </row>
    <row r="1706" spans="1:9">
      <c r="A1706" s="1" t="str">
        <f>"411327199902082522"</f>
        <v>411327199902082522</v>
      </c>
      <c r="B1706" s="1" t="str">
        <f>"中共党员"</f>
        <v>中共党员</v>
      </c>
      <c r="C1706" s="1" t="str">
        <f t="shared" si="848"/>
        <v>本科</v>
      </c>
      <c r="D1706" s="1" t="str">
        <f>"20240620"</f>
        <v>20240620</v>
      </c>
      <c r="E1706" s="1" t="str">
        <f>"上海建桥学院"</f>
        <v>上海建桥学院</v>
      </c>
      <c r="F1706" s="1" t="str">
        <f>"计算机科学与技术"</f>
        <v>计算机科学与技术</v>
      </c>
      <c r="G1706" s="1" t="str">
        <f>"河南省内乡县王店镇石桥村周沟中营南593号"</f>
        <v>河南省内乡县王店镇石桥村周沟中营南593号</v>
      </c>
      <c r="H1706" s="1" t="str">
        <f t="shared" si="845"/>
        <v>无</v>
      </c>
      <c r="I1706" s="1" t="str">
        <f>"201909-202206  上海电子信息职业技术学院  通信与信息工程学院 通信技术 全日制学校就读
202209-202406  上海建桥学院 信息工程学院 计算机科学与技术专业 全日制 学校就读"</f>
        <v>201909-202206  上海电子信息职业技术学院  通信与信息工程学院 通信技术 全日制学校就读
202209-202406  上海建桥学院 信息工程学院 计算机科学与技术专业 全日制 学校就读</v>
      </c>
    </row>
    <row r="1707" spans="1:9">
      <c r="A1707" s="1" t="str">
        <f>"41130219981205132X"</f>
        <v>41130219981205132X</v>
      </c>
      <c r="B1707" s="1" t="str">
        <f>"群众"</f>
        <v>群众</v>
      </c>
      <c r="C1707" s="1" t="str">
        <f t="shared" si="848"/>
        <v>本科</v>
      </c>
      <c r="D1707" s="1" t="str">
        <f>"20200720"</f>
        <v>20200720</v>
      </c>
      <c r="E1707" s="1" t="str">
        <f>"陕西服装工程学院"</f>
        <v>陕西服装工程学院</v>
      </c>
      <c r="F1707" s="1" t="str">
        <f>"会计学"</f>
        <v>会计学</v>
      </c>
      <c r="G1707" s="1" t="str">
        <f>"河南省南阳市卧龙区张衡街道南泰路与信臣路交叉口"</f>
        <v>河南省南阳市卧龙区张衡街道南泰路与信臣路交叉口</v>
      </c>
      <c r="H1707" s="1" t="str">
        <f>"会计初级资格证"</f>
        <v>会计初级资格证</v>
      </c>
      <c r="I1707" s="1" t="str">
        <f>"20160901-20200720 陕西服装工程学院经济管理学院会计学就读 全日制学历
20200721-20200819 在南阳待业
20200820-20210819 南阳市卧龙区博雅学校 初中教师
20210820-20220331 南阳市第九完全学校 初中教师
20220401-20230206 在南阳待业
20230207-20250206 河南瀛泽实业有限公司 财务会计
20250207-至今 南阳待业"</f>
        <v>20160901-20200720 陕西服装工程学院经济管理学院会计学就读 全日制学历
20200721-20200819 在南阳待业
20200820-20210819 南阳市卧龙区博雅学校 初中教师
20210820-20220331 南阳市第九完全学校 初中教师
20220401-20230206 在南阳待业
20230207-20250206 河南瀛泽实业有限公司 财务会计
20250207-至今 南阳待业</v>
      </c>
    </row>
    <row r="1708" spans="1:9">
      <c r="A1708" s="1" t="str">
        <f>"411327200306040022"</f>
        <v>411327200306040022</v>
      </c>
      <c r="B1708" s="1" t="str">
        <f>"群众"</f>
        <v>群众</v>
      </c>
      <c r="C1708" s="1" t="str">
        <f t="shared" si="848"/>
        <v>本科</v>
      </c>
      <c r="D1708" s="1" t="str">
        <f>"20240615"</f>
        <v>20240615</v>
      </c>
      <c r="E1708" s="1" t="str">
        <f>"河南师范大学"</f>
        <v>河南师范大学</v>
      </c>
      <c r="F1708" s="1" t="str">
        <f>"会计学"</f>
        <v>会计学</v>
      </c>
      <c r="G1708" s="1" t="str">
        <f>"河南省南阳市内乡县新达超市斜对面巷子"</f>
        <v>河南省南阳市内乡县新达超市斜对面巷子</v>
      </c>
      <c r="H1708" s="1" t="str">
        <f>"会计专业技术资格"</f>
        <v>会计专业技术资格</v>
      </c>
      <c r="I1708" s="1" t="str">
        <f>"202009-202406河南师范大学就读"</f>
        <v>202009-202406河南师范大学就读</v>
      </c>
    </row>
    <row r="1709" spans="1:9">
      <c r="A1709" s="1" t="str">
        <f>"412801199903250318"</f>
        <v>412801199903250318</v>
      </c>
      <c r="B1709" s="1" t="str">
        <f t="shared" ref="B1709:B1714" si="849">"共青团员"</f>
        <v>共青团员</v>
      </c>
      <c r="C1709" s="1" t="str">
        <f t="shared" si="848"/>
        <v>本科</v>
      </c>
      <c r="D1709" s="1" t="str">
        <f>"2023-07-01"</f>
        <v>2023-07-01</v>
      </c>
      <c r="E1709" s="1" t="str">
        <f>"中原工学院信息商务学院"</f>
        <v>中原工学院信息商务学院</v>
      </c>
      <c r="F1709" s="1" t="str">
        <f>"土木工程"</f>
        <v>土木工程</v>
      </c>
      <c r="G1709" s="1" t="str">
        <f>"驻马店市安居新村"</f>
        <v>驻马店市安居新村</v>
      </c>
      <c r="H1709" s="1" t="str">
        <f t="shared" ref="H1709:H1714" si="850">"无"</f>
        <v>无</v>
      </c>
      <c r="I1709" s="1" t="str">
        <f>"201909-202307 中原工学院信息商务学院 土木工程学院 土木工程 全日制本科
202307-202404 待业
202404-202409 建华建材有限公司
202409-202506 待业
202506-202507 许昌市留置看护中心"</f>
        <v>201909-202307 中原工学院信息商务学院 土木工程学院 土木工程 全日制本科
202307-202404 待业
202404-202409 建华建材有限公司
202409-202506 待业
202506-202507 许昌市留置看护中心</v>
      </c>
    </row>
    <row r="1710" ht="121.5" spans="1:9">
      <c r="A1710" s="1" t="str">
        <f>"411326199405304415"</f>
        <v>411326199405304415</v>
      </c>
      <c r="B1710" s="1" t="str">
        <f>"中共预备党员"</f>
        <v>中共预备党员</v>
      </c>
      <c r="C1710" s="1" t="str">
        <f t="shared" si="848"/>
        <v>本科</v>
      </c>
      <c r="D1710" s="1" t="str">
        <f>"20230701"</f>
        <v>20230701</v>
      </c>
      <c r="E1710" s="1" t="str">
        <f>"南阳师范学院"</f>
        <v>南阳师范学院</v>
      </c>
      <c r="F1710" s="1" t="str">
        <f>"财务管理"</f>
        <v>财务管理</v>
      </c>
      <c r="G1710" s="1" t="str">
        <f>"南阳市南召县城郊乡宋楼村滨河帝城25栋2单元1502"</f>
        <v>南阳市南召县城郊乡宋楼村滨河帝城25栋2单元1502</v>
      </c>
      <c r="H1710" s="1" t="str">
        <f t="shared" si="850"/>
        <v>无</v>
      </c>
      <c r="I1710" s="3" t="s">
        <v>229</v>
      </c>
    </row>
    <row r="1711" spans="1:9">
      <c r="A1711" s="1" t="str">
        <f>"411330200105125124"</f>
        <v>411330200105125124</v>
      </c>
      <c r="B1711" s="1" t="str">
        <f t="shared" si="849"/>
        <v>共青团员</v>
      </c>
      <c r="C1711" s="1" t="str">
        <f>"专科"</f>
        <v>专科</v>
      </c>
      <c r="D1711" s="1" t="str">
        <f>"2023-07-01"</f>
        <v>2023-07-01</v>
      </c>
      <c r="E1711" s="1" t="str">
        <f>"南阳医学高等专科学校"</f>
        <v>南阳医学高等专科学校</v>
      </c>
      <c r="F1711" s="1" t="str">
        <f>"幼儿发展与健康管理"</f>
        <v>幼儿发展与健康管理</v>
      </c>
      <c r="G1711" s="1" t="str">
        <f>"河南省南阳市西峡县双龙镇山涧沟村黄龙庙组"</f>
        <v>河南省南阳市西峡县双龙镇山涧沟村黄龙庙组</v>
      </c>
      <c r="H1711" s="1" t="str">
        <f t="shared" si="850"/>
        <v>无</v>
      </c>
      <c r="I1711" s="1" t="str">
        <f>"2017.09.01-2020.07.01西峡县第二高级中学
2020.09.01-2023.07.01南阳医学高等专科学校
2023.07.01-至今待业"</f>
        <v>2017.09.01-2020.07.01西峡县第二高级中学
2020.09.01-2023.07.01南阳医学高等专科学校
2023.07.01-至今待业</v>
      </c>
    </row>
    <row r="1712" spans="1:9">
      <c r="A1712" s="1" t="str">
        <f>"411323200104232012"</f>
        <v>411323200104232012</v>
      </c>
      <c r="B1712" s="1" t="str">
        <f t="shared" ref="B1712:B1716" si="851">"中共党员"</f>
        <v>中共党员</v>
      </c>
      <c r="C1712" s="1" t="str">
        <f t="shared" ref="C1712:C1717" si="852">"本科"</f>
        <v>本科</v>
      </c>
      <c r="D1712" s="1" t="str">
        <f>"20250607"</f>
        <v>20250607</v>
      </c>
      <c r="E1712" s="1" t="str">
        <f>"平顶山学院"</f>
        <v>平顶山学院</v>
      </c>
      <c r="F1712" s="1" t="str">
        <f>"电子信息工程"</f>
        <v>电子信息工程</v>
      </c>
      <c r="G1712" s="1" t="str">
        <f>"南阳市西峡县"</f>
        <v>南阳市西峡县</v>
      </c>
      <c r="H1712" s="1" t="str">
        <f t="shared" si="850"/>
        <v>无</v>
      </c>
      <c r="I1712" s="1" t="str">
        <f>"202109-202506 平顶山学院就读于信息工程学院专业为电子信息工程，是全日制学历。"</f>
        <v>202109-202506 平顶山学院就读于信息工程学院专业为电子信息工程，是全日制学历。</v>
      </c>
    </row>
    <row r="1713" spans="1:9">
      <c r="A1713" s="1" t="str">
        <f>"411327199712012515"</f>
        <v>411327199712012515</v>
      </c>
      <c r="B1713" s="1" t="str">
        <f>"群众"</f>
        <v>群众</v>
      </c>
      <c r="C1713" s="1" t="str">
        <f t="shared" si="852"/>
        <v>本科</v>
      </c>
      <c r="D1713" s="1" t="str">
        <f>"20190701"</f>
        <v>20190701</v>
      </c>
      <c r="E1713" s="1" t="str">
        <f>"安阳工学院"</f>
        <v>安阳工学院</v>
      </c>
      <c r="F1713" s="1" t="str">
        <f>"环境工程"</f>
        <v>环境工程</v>
      </c>
      <c r="G1713" s="1" t="str">
        <f>"河南省南阳市内乡县王店镇马沟村杜岗东南2号"</f>
        <v>河南省南阳市内乡县王店镇马沟村杜岗东南2号</v>
      </c>
      <c r="H1713" s="1" t="str">
        <f t="shared" si="850"/>
        <v>无</v>
      </c>
      <c r="I1713" s="1" t="str">
        <f>"201509-201907在安阳工学院化学与环境工程学院就读，全日制
201907-202102在山东曹县牧原农牧有限公司上班
202102-202210在内乡县牧原现代农业综合体有限公司上班
202210-202302在内乡县待业
202302-至今在汝州市牧原现代农业综合体有限公司上班"</f>
        <v>201509-201907在安阳工学院化学与环境工程学院就读，全日制
201907-202102在山东曹县牧原农牧有限公司上班
202102-202210在内乡县牧原现代农业综合体有限公司上班
202210-202302在内乡县待业
202302-至今在汝州市牧原现代农业综合体有限公司上班</v>
      </c>
    </row>
    <row r="1714" spans="1:9">
      <c r="A1714" s="1" t="str">
        <f>"411326200304252631"</f>
        <v>411326200304252631</v>
      </c>
      <c r="B1714" s="1" t="str">
        <f t="shared" si="849"/>
        <v>共青团员</v>
      </c>
      <c r="C1714" s="1" t="str">
        <f t="shared" ref="C1714:C1719" si="853">"专科"</f>
        <v>专科</v>
      </c>
      <c r="D1714" s="1" t="str">
        <f>"2025-07-01"</f>
        <v>2025-07-01</v>
      </c>
      <c r="E1714" s="1" t="str">
        <f>"西安汽车职业大学"</f>
        <v>西安汽车职业大学</v>
      </c>
      <c r="F1714" s="1" t="str">
        <f>"导航与位置服务"</f>
        <v>导航与位置服务</v>
      </c>
      <c r="G1714" s="1" t="str">
        <f>"河南省南阳市淅川县金河镇刘庄"</f>
        <v>河南省南阳市淅川县金河镇刘庄</v>
      </c>
      <c r="H1714" s="1" t="str">
        <f t="shared" si="850"/>
        <v>无</v>
      </c>
      <c r="I1714" s="1" t="str">
        <f>"2022年9月-2025年7月在西安汽车职业大学电子信息工程学院导航与位置服务就读，全日制专科"</f>
        <v>2022年9月-2025年7月在西安汽车职业大学电子信息工程学院导航与位置服务就读，全日制专科</v>
      </c>
    </row>
    <row r="1715" spans="1:9">
      <c r="A1715" s="1" t="str">
        <f>"413026199908260317"</f>
        <v>413026199908260317</v>
      </c>
      <c r="B1715" s="1" t="str">
        <f t="shared" si="851"/>
        <v>中共党员</v>
      </c>
      <c r="C1715" s="1" t="str">
        <f>"硕士研究生"</f>
        <v>硕士研究生</v>
      </c>
      <c r="D1715" s="1" t="str">
        <f>"20250607"</f>
        <v>20250607</v>
      </c>
      <c r="E1715" s="1" t="str">
        <f>"信阳师范大学"</f>
        <v>信阳师范大学</v>
      </c>
      <c r="F1715" s="1" t="str">
        <f>"思想政治教育"</f>
        <v>思想政治教育</v>
      </c>
      <c r="G1715" s="1" t="str">
        <f>"河南省信阳市固始县蓼城街道办事处中山大223号"</f>
        <v>河南省信阳市固始县蓼城街道办事处中山大223号</v>
      </c>
      <c r="H1715" s="1" t="str">
        <f>"英语专业四级和专业八级证书"</f>
        <v>英语专业四级和专业八级证书</v>
      </c>
      <c r="I1715" s="1" t="str">
        <f>"20170901-20210601中原工学院信息商务学院 就读；20210701-20220831 备考研究生；20220901-20250607信阳师范大学 就读"</f>
        <v>20170901-20210601中原工学院信息商务学院 就读；20210701-20220831 备考研究生；20220901-20250607信阳师范大学 就读</v>
      </c>
    </row>
    <row r="1716" spans="1:9">
      <c r="A1716" s="1" t="str">
        <f>"411327199106153123"</f>
        <v>411327199106153123</v>
      </c>
      <c r="B1716" s="1" t="str">
        <f t="shared" si="851"/>
        <v>中共党员</v>
      </c>
      <c r="C1716" s="1" t="str">
        <f t="shared" si="852"/>
        <v>本科</v>
      </c>
      <c r="D1716" s="1" t="str">
        <f>"20150701"</f>
        <v>20150701</v>
      </c>
      <c r="E1716" s="1" t="str">
        <f>"三明学院"</f>
        <v>三明学院</v>
      </c>
      <c r="F1716" s="1" t="str">
        <f>"英语（商务英语方向）"</f>
        <v>英语（商务英语方向）</v>
      </c>
      <c r="G1716" s="1" t="str">
        <f>"河南省南阳市内乡县城关镇"</f>
        <v>河南省南阳市内乡县城关镇</v>
      </c>
      <c r="H1716" s="1" t="str">
        <f>"导游资格证书-初级"</f>
        <v>导游资格证书-初级</v>
      </c>
      <c r="I1716" s="1" t="str">
        <f>"201109-201506 三明学院外国语学院英语（商务英语方向），全日制
201702-202109牧原食品股份有限公司 职员
202109-202311河南省果然风情果业股份有限公司  职员
202312-202403 河南盛发市政工程 职员
202404-202507城发水务（内乡）有限公司 职员"</f>
        <v>201109-201506 三明学院外国语学院英语（商务英语方向），全日制
201702-202109牧原食品股份有限公司 职员
202109-202311河南省果然风情果业股份有限公司  职员
202312-202403 河南盛发市政工程 职员
202404-202507城发水务（内乡）有限公司 职员</v>
      </c>
    </row>
    <row r="1717" spans="1:9">
      <c r="A1717" s="1" t="str">
        <f>"411327200203220012"</f>
        <v>411327200203220012</v>
      </c>
      <c r="B1717" s="1" t="str">
        <f t="shared" ref="B1717:B1721" si="854">"共青团员"</f>
        <v>共青团员</v>
      </c>
      <c r="C1717" s="1" t="str">
        <f t="shared" si="852"/>
        <v>本科</v>
      </c>
      <c r="D1717" s="1" t="str">
        <f>"20250615"</f>
        <v>20250615</v>
      </c>
      <c r="E1717" s="1" t="str">
        <f>"浙江树人学院"</f>
        <v>浙江树人学院</v>
      </c>
      <c r="F1717" s="1" t="str">
        <f>"英语"</f>
        <v>英语</v>
      </c>
      <c r="G1717" s="1" t="str">
        <f>"河南省南阳市内乡县城关镇"</f>
        <v>河南省南阳市内乡县城关镇</v>
      </c>
      <c r="H1717" s="1" t="str">
        <f t="shared" ref="H1717:H1720" si="855">"无"</f>
        <v>无</v>
      </c>
      <c r="I1717" s="1" t="str">
        <f>"202109-202506 浙江树人学院全日制英语系就读"</f>
        <v>202109-202506 浙江树人学院全日制英语系就读</v>
      </c>
    </row>
    <row r="1718" spans="1:9">
      <c r="A1718" s="1" t="str">
        <f>"411303200204190010"</f>
        <v>411303200204190010</v>
      </c>
      <c r="B1718" s="1" t="str">
        <f t="shared" ref="B1718:B1722" si="856">"群众"</f>
        <v>群众</v>
      </c>
      <c r="C1718" s="1" t="str">
        <f t="shared" si="853"/>
        <v>专科</v>
      </c>
      <c r="D1718" s="1" t="str">
        <f>"20240701"</f>
        <v>20240701</v>
      </c>
      <c r="E1718" s="1" t="str">
        <f>"三门峡社会管理职业学院"</f>
        <v>三门峡社会管理职业学院</v>
      </c>
      <c r="F1718" s="1" t="str">
        <f>"建筑消防技术"</f>
        <v>建筑消防技术</v>
      </c>
      <c r="G1718" s="1" t="str">
        <f>"135 1377 9897"</f>
        <v>135 1377 9897</v>
      </c>
      <c r="H1718" s="1" t="str">
        <f t="shared" si="855"/>
        <v>无</v>
      </c>
      <c r="I1718" s="1" t="str">
        <f>"202108-202407在三门峡社会管理职业学院应急管理学院建筑消防技术专业就读是全日制"</f>
        <v>202108-202407在三门峡社会管理职业学院应急管理学院建筑消防技术专业就读是全日制</v>
      </c>
    </row>
    <row r="1719" spans="1:9">
      <c r="A1719" s="1" t="str">
        <f>"411323199904065827"</f>
        <v>411323199904065827</v>
      </c>
      <c r="B1719" s="1" t="str">
        <f t="shared" si="856"/>
        <v>群众</v>
      </c>
      <c r="C1719" s="1" t="str">
        <f t="shared" si="853"/>
        <v>专科</v>
      </c>
      <c r="D1719" s="1" t="str">
        <f>"20200701"</f>
        <v>20200701</v>
      </c>
      <c r="E1719" s="1" t="str">
        <f>"南阳医学高等专科学校"</f>
        <v>南阳医学高等专科学校</v>
      </c>
      <c r="F1719" s="1" t="str">
        <f>"护理"</f>
        <v>护理</v>
      </c>
      <c r="G1719" s="1" t="str">
        <f>"河南省邓州市"</f>
        <v>河南省邓州市</v>
      </c>
      <c r="H1719" s="1" t="str">
        <f>"护士执业证书 初级"</f>
        <v>护士执业证书 初级</v>
      </c>
      <c r="I1719" s="1" t="str">
        <f>"201709-202007 南阳医学高等专科学校 护理 全日制 就读。
202007-202204 邓州市 待业。
202103-202301 南阳理工学院 护理学 非全日制 就读。
202205-202307 湖北省仙桃市 健鼎电子科技有限公司 工作。
202308-202409 邓州市 待业。
202409-202501 湖北省黄石市欣益兴电子科技有限公司 工作。
202502-202507 邓州市中心医院 工作。
"</f>
        <v>201709-202007 南阳医学高等专科学校 护理 全日制 就读。
202007-202204 邓州市 待业。
202103-202301 南阳理工学院 护理学 非全日制 就读。
202205-202307 湖北省仙桃市 健鼎电子科技有限公司 工作。
202308-202409 邓州市 待业。
202409-202501 湖北省黄石市欣益兴电子科技有限公司 工作。
202502-202507 邓州市中心医院 工作。
</v>
      </c>
    </row>
    <row r="1720" spans="1:9">
      <c r="A1720" s="1" t="str">
        <f>"411327200107091118"</f>
        <v>411327200107091118</v>
      </c>
      <c r="B1720" s="1" t="str">
        <f t="shared" si="854"/>
        <v>共青团员</v>
      </c>
      <c r="C1720" s="1" t="str">
        <f t="shared" ref="C1720:C1726" si="857">"本科"</f>
        <v>本科</v>
      </c>
      <c r="D1720" s="1" t="str">
        <f>"20240607"</f>
        <v>20240607</v>
      </c>
      <c r="E1720" s="1" t="str">
        <f>"安阳工学院"</f>
        <v>安阳工学院</v>
      </c>
      <c r="F1720" s="1" t="str">
        <f>"机械电子工程"</f>
        <v>机械电子工程</v>
      </c>
      <c r="G1720" s="1" t="str">
        <f>"河南省南阳市内乡县"</f>
        <v>河南省南阳市内乡县</v>
      </c>
      <c r="H1720" s="1" t="str">
        <f t="shared" si="855"/>
        <v>无</v>
      </c>
      <c r="I1720" s="1" t="str">
        <f>"2020年8月至2024年6月在安阳工学院机械学院机械电子工程专业就读，是全日制学历"</f>
        <v>2020年8月至2024年6月在安阳工学院机械学院机械电子工程专业就读，是全日制学历</v>
      </c>
    </row>
    <row r="1721" spans="1:9">
      <c r="A1721" s="1" t="str">
        <f>"411323199907163828"</f>
        <v>411323199907163828</v>
      </c>
      <c r="B1721" s="1" t="str">
        <f t="shared" si="854"/>
        <v>共青团员</v>
      </c>
      <c r="C1721" s="1" t="str">
        <f t="shared" si="857"/>
        <v>本科</v>
      </c>
      <c r="D1721" s="1" t="str">
        <f>"20230701"</f>
        <v>20230701</v>
      </c>
      <c r="E1721" s="1" t="str">
        <f>"郑州工商学院"</f>
        <v>郑州工商学院</v>
      </c>
      <c r="F1721" s="1" t="str">
        <f>"电子信息工程"</f>
        <v>电子信息工程</v>
      </c>
      <c r="G1721" s="1" t="str">
        <f>"河南省淅川县滔河乡孔家峪村一组23号"</f>
        <v>河南省淅川县滔河乡孔家峪村一组23号</v>
      </c>
      <c r="H1721" s="1" t="str">
        <f>"人工智能工程师"</f>
        <v>人工智能工程师</v>
      </c>
      <c r="I1721" s="1" t="str">
        <f>"201909-202307 在郑州工商学院就读
202307-202409 在家考公
202409-至今 在淅川县龙城街道办事处任公益岗职位"</f>
        <v>201909-202307 在郑州工商学院就读
202307-202409 在家考公
202409-至今 在淅川县龙城街道办事处任公益岗职位</v>
      </c>
    </row>
    <row r="1722" spans="1:9">
      <c r="A1722" s="1" t="str">
        <f>"411327199910084245"</f>
        <v>411327199910084245</v>
      </c>
      <c r="B1722" s="1" t="str">
        <f t="shared" si="856"/>
        <v>群众</v>
      </c>
      <c r="C1722" s="1" t="str">
        <f t="shared" si="857"/>
        <v>本科</v>
      </c>
      <c r="D1722" s="1" t="str">
        <f>"20250701"</f>
        <v>20250701</v>
      </c>
      <c r="E1722" s="1" t="str">
        <f>"安阳师范学院"</f>
        <v>安阳师范学院</v>
      </c>
      <c r="F1722" s="1" t="str">
        <f>"汉语言文学"</f>
        <v>汉语言文学</v>
      </c>
      <c r="G1722" s="1" t="str">
        <f>"河南省南阳市内乡县晟景湾六号楼2单元203"</f>
        <v>河南省南阳市内乡县晟景湾六号楼2单元203</v>
      </c>
      <c r="H1722" s="1" t="str">
        <f t="shared" ref="H1722:H1728" si="858">"无"</f>
        <v>无</v>
      </c>
      <c r="I1722" s="1" t="str">
        <f>"202304-202507 安阳师范学院就读 不是全日制学历"</f>
        <v>202304-202507 安阳师范学院就读 不是全日制学历</v>
      </c>
    </row>
    <row r="1723" spans="1:9">
      <c r="A1723" s="1" t="str">
        <f>"411327200212124516"</f>
        <v>411327200212124516</v>
      </c>
      <c r="B1723" s="1" t="str">
        <f>"共青团员"</f>
        <v>共青团员</v>
      </c>
      <c r="C1723" s="1" t="str">
        <f t="shared" si="857"/>
        <v>本科</v>
      </c>
      <c r="D1723" s="1" t="str">
        <f>"20250624"</f>
        <v>20250624</v>
      </c>
      <c r="E1723" s="1" t="str">
        <f>"华北水利水电大学"</f>
        <v>华北水利水电大学</v>
      </c>
      <c r="F1723" s="1" t="str">
        <f>"汉语国际教育（法语地区）"</f>
        <v>汉语国际教育（法语地区）</v>
      </c>
      <c r="G1723" s="1" t="str">
        <f>"河南省南阳市内乡县赵店乡袁寨村"</f>
        <v>河南省南阳市内乡县赵店乡袁寨村</v>
      </c>
      <c r="H1723" s="1" t="str">
        <f>"普通话二甲证书、初级中学教师资格证"</f>
        <v>普通话二甲证书、初级中学教师资格证</v>
      </c>
      <c r="I1723" s="1" t="str">
        <f>"202109-202506华北水利水电大学，外国语学院，汉语国际教育专业就读，全日制学历"</f>
        <v>202109-202506华北水利水电大学，外国语学院，汉语国际教育专业就读，全日制学历</v>
      </c>
    </row>
    <row r="1724" spans="1:9">
      <c r="A1724" s="1" t="str">
        <f>"411327200303150023"</f>
        <v>411327200303150023</v>
      </c>
      <c r="B1724" s="1" t="str">
        <f t="shared" ref="B1724:B1726" si="859">"群众"</f>
        <v>群众</v>
      </c>
      <c r="C1724" s="1" t="str">
        <f t="shared" si="857"/>
        <v>本科</v>
      </c>
      <c r="D1724" s="1" t="str">
        <f>"20240701"</f>
        <v>20240701</v>
      </c>
      <c r="E1724" s="1" t="str">
        <f>"许昌学院"</f>
        <v>许昌学院</v>
      </c>
      <c r="F1724" s="1" t="str">
        <f>"计算机科学与技术"</f>
        <v>计算机科学与技术</v>
      </c>
      <c r="G1724" s="1" t="str">
        <f>"474350"</f>
        <v>474350</v>
      </c>
      <c r="H1724" s="1" t="str">
        <f t="shared" si="858"/>
        <v>无</v>
      </c>
      <c r="I1724" s="1" t="str">
        <f>"20200901-20240701 许昌学院就读 全日制 在国际教育学院学习计算机科学与技术专业 
20240701-至今 未就业"</f>
        <v>20200901-20240701 许昌学院就读 全日制 在国际教育学院学习计算机科学与技术专业 
20240701-至今 未就业</v>
      </c>
    </row>
    <row r="1725" spans="1:9">
      <c r="A1725" s="1" t="str">
        <f>"411327199911302558"</f>
        <v>411327199911302558</v>
      </c>
      <c r="B1725" s="1" t="str">
        <f t="shared" si="859"/>
        <v>群众</v>
      </c>
      <c r="C1725" s="1" t="str">
        <f t="shared" si="857"/>
        <v>本科</v>
      </c>
      <c r="D1725" s="1" t="str">
        <f>"20250701"</f>
        <v>20250701</v>
      </c>
      <c r="E1725" s="1" t="str">
        <f>"武汉科技大学"</f>
        <v>武汉科技大学</v>
      </c>
      <c r="F1725" s="1" t="str">
        <f>"土木工程"</f>
        <v>土木工程</v>
      </c>
      <c r="G1725" s="1" t="str">
        <f>"河南省南阳市内乡县王店镇"</f>
        <v>河南省南阳市内乡县王店镇</v>
      </c>
      <c r="H1725" s="1" t="str">
        <f t="shared" si="858"/>
        <v>无</v>
      </c>
      <c r="I1725" s="1" t="str">
        <f>"201809-202107 河南信息统计职业学院室内艺术设计专业就读，全日制学历
202305-202507 武汉科技大学土木工程专业就读，非全日制学历"</f>
        <v>201809-202107 河南信息统计职业学院室内艺术设计专业就读，全日制学历
202305-202507 武汉科技大学土木工程专业就读，非全日制学历</v>
      </c>
    </row>
    <row r="1726" spans="1:9">
      <c r="A1726" s="1" t="str">
        <f>"41132319900402582X"</f>
        <v>41132319900402582X</v>
      </c>
      <c r="B1726" s="1" t="str">
        <f t="shared" si="859"/>
        <v>群众</v>
      </c>
      <c r="C1726" s="1" t="str">
        <f t="shared" si="857"/>
        <v>本科</v>
      </c>
      <c r="D1726" s="1" t="str">
        <f>"20140701"</f>
        <v>20140701</v>
      </c>
      <c r="E1726" s="1" t="str">
        <f>"北方工业大学"</f>
        <v>北方工业大学</v>
      </c>
      <c r="F1726" s="1" t="str">
        <f>"动画"</f>
        <v>动画</v>
      </c>
      <c r="G1726" s="1" t="str">
        <f>"邓州市财富家天下"</f>
        <v>邓州市财富家天下</v>
      </c>
      <c r="H1726" s="1" t="str">
        <f t="shared" si="858"/>
        <v>无</v>
      </c>
      <c r="I1726" s="1" t="str">
        <f>"201008-201407北方工业大学  艺术设计系动画专业 就读，全日制本科学历。
201407-201605北京市神州中联教育科技有限公司 多媒体设计部门 工作， 负责动画设计。
201605-202001中国民生银行 市场营销部门工作 客户经理，负责推广银行贷款和信用卡。
202001-202303邓州市政务服务和大数据管理中心 综合窗口 办事员。
202303至今中信银行南阳信用卡中心 市场营销部 融合户经理，负责推广银行贷款和信用卡，负责与中信邓州支行业务融合，代发借记卡贷款以及信用卡。"</f>
        <v>201008-201407北方工业大学  艺术设计系动画专业 就读，全日制本科学历。
201407-201605北京市神州中联教育科技有限公司 多媒体设计部门 工作， 负责动画设计。
201605-202001中国民生银行 市场营销部门工作 客户经理，负责推广银行贷款和信用卡。
202001-202303邓州市政务服务和大数据管理中心 综合窗口 办事员。
202303至今中信银行南阳信用卡中心 市场营销部 融合户经理，负责推广银行贷款和信用卡，负责与中信邓州支行业务融合，代发借记卡贷款以及信用卡。</v>
      </c>
    </row>
    <row r="1727" spans="1:9">
      <c r="A1727" s="1" t="str">
        <f>"410923200203230014"</f>
        <v>410923200203230014</v>
      </c>
      <c r="B1727" s="1" t="str">
        <f>"中共党员"</f>
        <v>中共党员</v>
      </c>
      <c r="C1727" s="1" t="str">
        <f>"专科"</f>
        <v>专科</v>
      </c>
      <c r="D1727" s="1" t="str">
        <f>"20230701"</f>
        <v>20230701</v>
      </c>
      <c r="E1727" s="1" t="str">
        <f>"河南检察职业学院"</f>
        <v>河南检察职业学院</v>
      </c>
      <c r="F1727" s="1" t="str">
        <f>"法律事务"</f>
        <v>法律事务</v>
      </c>
      <c r="G1727" s="1" t="str">
        <f>"河南省濮阳市南乐县西街关村"</f>
        <v>河南省濮阳市南乐县西街关村</v>
      </c>
      <c r="H1727" s="1" t="str">
        <f t="shared" si="858"/>
        <v>无</v>
      </c>
      <c r="I1727" s="1" t="str">
        <f>"202009-202307在河南检察职业学院法律事务专业就读"</f>
        <v>202009-202307在河南检察职业学院法律事务专业就读</v>
      </c>
    </row>
    <row r="1728" spans="1:9">
      <c r="A1728" s="1" t="str">
        <f>"413026199812103632"</f>
        <v>413026199812103632</v>
      </c>
      <c r="B1728" s="1" t="str">
        <f t="shared" ref="B1728:B1735" si="860">"群众"</f>
        <v>群众</v>
      </c>
      <c r="C1728" s="1" t="str">
        <f t="shared" ref="C1728:C1733" si="861">"本科"</f>
        <v>本科</v>
      </c>
      <c r="D1728" s="1" t="str">
        <f>"20230608"</f>
        <v>20230608</v>
      </c>
      <c r="E1728" s="1" t="str">
        <f>"中国美术学院"</f>
        <v>中国美术学院</v>
      </c>
      <c r="F1728" s="1" t="str">
        <f>"书法学"</f>
        <v>书法学</v>
      </c>
      <c r="G1728" s="1" t="str">
        <f>"浙江省杭州市西湖区转塘街道之江家园五区18幢1001"</f>
        <v>浙江省杭州市西湖区转塘街道之江家园五区18幢1001</v>
      </c>
      <c r="H1728" s="1" t="str">
        <f t="shared" si="858"/>
        <v>无</v>
      </c>
      <c r="I1728" s="1" t="str">
        <f>"2017-09-10至2020-06-10 ： 汉江师范学院，全日制专科，语文教育（书法方向）
2020-7-1	至2020-12-24：杭州市富阳区九龙山庄，杭州艺考学习
2021-1-1	至2021-3-1：待业	
2021-03-12至2023-06-08：中国美术学院，成人本科（非全日制），书法学专业学习，取得毕业证和艺术学学士学位。
2023-06-08至9-20：待业
2023-09-24-至今：宁波市慈溪市见山学堂工作室	书法主教"</f>
        <v>2017-09-10至2020-06-10 ： 汉江师范学院，全日制专科，语文教育（书法方向）
2020-7-1	至2020-12-24：杭州市富阳区九龙山庄，杭州艺考学习
2021-1-1	至2021-3-1：待业	
2021-03-12至2023-06-08：中国美术学院，成人本科（非全日制），书法学专业学习，取得毕业证和艺术学学士学位。
2023-06-08至9-20：待业
2023-09-24-至今：宁波市慈溪市见山学堂工作室	书法主教</v>
      </c>
    </row>
    <row r="1729" spans="1:9">
      <c r="A1729" s="1" t="str">
        <f>"411327200202100318"</f>
        <v>411327200202100318</v>
      </c>
      <c r="B1729" s="1" t="str">
        <f>"共青团员"</f>
        <v>共青团员</v>
      </c>
      <c r="C1729" s="1" t="str">
        <f>"专科"</f>
        <v>专科</v>
      </c>
      <c r="D1729" s="1" t="str">
        <f>"202307"</f>
        <v>202307</v>
      </c>
      <c r="E1729" s="1" t="str">
        <f>"三门峡职业技术学院"</f>
        <v>三门峡职业技术学院</v>
      </c>
      <c r="F1729" s="1" t="str">
        <f>"旅游管理"</f>
        <v>旅游管理</v>
      </c>
      <c r="G1729" s="1" t="str">
        <f>"河南省南阳市内乡县大桥乡磙子岗高南357号"</f>
        <v>河南省南阳市内乡县大桥乡磙子岗高南357号</v>
      </c>
      <c r="H1729" s="1" t="str">
        <f>"报务员五级初"</f>
        <v>报务员五级初</v>
      </c>
      <c r="I1729" s="1" t="str">
        <f>"202009—202203三门峡职业技术学院   学生
202203—202206北部战区海军训练基地二营   新兵
202206—202211北部战区海军训练基地六营   学兵
202211—202503北部战区海军作战支援舰第一支队北测902船战士
202503—至今  待业"</f>
        <v>202009—202203三门峡职业技术学院   学生
202203—202206北部战区海军训练基地二营   新兵
202206—202211北部战区海军训练基地六营   学兵
202211—202503北部战区海军作战支援舰第一支队北测902船战士
202503—至今  待业</v>
      </c>
    </row>
    <row r="1730" spans="1:9">
      <c r="A1730" s="1" t="str">
        <f>"410926200010164427"</f>
        <v>410926200010164427</v>
      </c>
      <c r="B1730" s="1" t="str">
        <f t="shared" si="860"/>
        <v>群众</v>
      </c>
      <c r="C1730" s="1" t="str">
        <f t="shared" si="861"/>
        <v>本科</v>
      </c>
      <c r="D1730" s="1" t="str">
        <f>"20230630"</f>
        <v>20230630</v>
      </c>
      <c r="E1730" s="1" t="str">
        <f>"郑州西亚斯学院"</f>
        <v>郑州西亚斯学院</v>
      </c>
      <c r="F1730" s="1" t="str">
        <f>"会计学"</f>
        <v>会计学</v>
      </c>
      <c r="G1730" s="1" t="str">
        <f>"河南省濮阳市范县新区邮政局家属院"</f>
        <v>河南省濮阳市范县新区邮政局家属院</v>
      </c>
      <c r="H1730" s="1" t="str">
        <f>"初级会计专业技术资格证"</f>
        <v>初级会计专业技术资格证</v>
      </c>
      <c r="I1730" s="1" t="str">
        <f>"201909-202306  郑州西亚斯学院就读 管理学院 会计学专业 全日制学历
201609-201906  濮阳市范县一中 全日制学历 "</f>
        <v>201909-202306  郑州西亚斯学院就读 管理学院 会计学专业 全日制学历
201609-201906  濮阳市范县一中 全日制学历 </v>
      </c>
    </row>
    <row r="1731" spans="1:9">
      <c r="A1731" s="1" t="str">
        <f>"411327200103250345"</f>
        <v>411327200103250345</v>
      </c>
      <c r="B1731" s="1" t="str">
        <f>"共青团员"</f>
        <v>共青团员</v>
      </c>
      <c r="C1731" s="1" t="str">
        <f t="shared" si="861"/>
        <v>本科</v>
      </c>
      <c r="D1731" s="1" t="str">
        <f>"20230701"</f>
        <v>20230701</v>
      </c>
      <c r="E1731" s="1" t="str">
        <f>"信阳农林学院"</f>
        <v>信阳农林学院</v>
      </c>
      <c r="F1731" s="1" t="str">
        <f>"酒店管理"</f>
        <v>酒店管理</v>
      </c>
      <c r="G1731" s="1" t="str">
        <f>"河南省内乡县城关镇大成路4号"</f>
        <v>河南省内乡县城关镇大成路4号</v>
      </c>
      <c r="H1731" s="1" t="str">
        <f t="shared" ref="H1731:H1733" si="862">"无"</f>
        <v>无</v>
      </c>
      <c r="I1731" s="1" t="str">
        <f>"2019-202307信阳农林学院旅游管理学院酒店管理专业就读"</f>
        <v>2019-202307信阳农林学院旅游管理学院酒店管理专业就读</v>
      </c>
    </row>
    <row r="1732" spans="1:9">
      <c r="A1732" s="1" t="str">
        <f>"41132720001015002X"</f>
        <v>41132720001015002X</v>
      </c>
      <c r="B1732" s="1" t="str">
        <f>"中共党员"</f>
        <v>中共党员</v>
      </c>
      <c r="C1732" s="1" t="str">
        <f t="shared" si="861"/>
        <v>本科</v>
      </c>
      <c r="D1732" s="1" t="str">
        <f>"20230630"</f>
        <v>20230630</v>
      </c>
      <c r="E1732" s="1" t="str">
        <f>"浙江海洋大学"</f>
        <v>浙江海洋大学</v>
      </c>
      <c r="F1732" s="1" t="str">
        <f>"计算机科学与技术"</f>
        <v>计算机科学与技术</v>
      </c>
      <c r="G1732" s="1" t="str">
        <f>"河南省南阳市内乡县城关镇范蠡大街54号书院北组92号"</f>
        <v>河南省南阳市内乡县城关镇范蠡大街54号书院北组92号</v>
      </c>
      <c r="H1732" s="1" t="str">
        <f t="shared" si="862"/>
        <v>无</v>
      </c>
      <c r="I1732" s="1" t="str">
        <f>"201809-202306 浙江海洋大学  信息工程学院计算机科学与技术专业全日制就读
202306-202507 在河南省南阳市内乡县城关镇范蠡大街54号书院北组92号待业"</f>
        <v>201809-202306 浙江海洋大学  信息工程学院计算机科学与技术专业全日制就读
202306-202507 在河南省南阳市内乡县城关镇范蠡大街54号书院北组92号待业</v>
      </c>
    </row>
    <row r="1733" spans="1:9">
      <c r="A1733" s="1" t="str">
        <f>"41132719990118034X"</f>
        <v>41132719990118034X</v>
      </c>
      <c r="B1733" s="1" t="str">
        <f t="shared" si="860"/>
        <v>群众</v>
      </c>
      <c r="C1733" s="1" t="str">
        <f t="shared" si="861"/>
        <v>本科</v>
      </c>
      <c r="D1733" s="1" t="str">
        <f>"2021-06-02"</f>
        <v>2021-06-02</v>
      </c>
      <c r="E1733" s="1" t="str">
        <f>"温州医科大学仁济学院"</f>
        <v>温州医科大学仁济学院</v>
      </c>
      <c r="F1733" s="1" t="str">
        <f>"生物医学工程"</f>
        <v>生物医学工程</v>
      </c>
      <c r="G1733" s="1" t="str">
        <f>"河南省南阳市内乡县城关镇郦都花园21号楼401"</f>
        <v>河南省南阳市内乡县城关镇郦都花园21号楼401</v>
      </c>
      <c r="H1733" s="1" t="str">
        <f t="shared" si="862"/>
        <v>无</v>
      </c>
      <c r="I1733" s="1" t="str">
        <f>"201709-202106在温州医科大学仁济学院生物医学工程专业就读，为全日制学历；202307至今内乡县人民医院。"</f>
        <v>201709-202106在温州医科大学仁济学院生物医学工程专业就读，为全日制学历；202307至今内乡县人民医院。</v>
      </c>
    </row>
    <row r="1734" spans="1:9">
      <c r="A1734" s="1" t="str">
        <f>"411330199001281522"</f>
        <v>411330199001281522</v>
      </c>
      <c r="B1734" s="1" t="str">
        <f t="shared" si="860"/>
        <v>群众</v>
      </c>
      <c r="C1734" s="1" t="str">
        <f>"专科"</f>
        <v>专科</v>
      </c>
      <c r="D1734" s="1" t="str">
        <f>"20110701"</f>
        <v>20110701</v>
      </c>
      <c r="E1734" s="1" t="str">
        <f>"中原工学院"</f>
        <v>中原工学院</v>
      </c>
      <c r="F1734" s="1" t="str">
        <f>"主持与播音"</f>
        <v>主持与播音</v>
      </c>
      <c r="G1734" s="1" t="str">
        <f>"西峡县新中医院对面阳光公寓小区"</f>
        <v>西峡县新中医院对面阳光公寓小区</v>
      </c>
      <c r="H1734" s="1" t="str">
        <f>"记者证"</f>
        <v>记者证</v>
      </c>
      <c r="I1734" s="1" t="str">
        <f>"200809-201107在中原工学院广播影视系主持与播音专业就读，全日制学历
201107至今在西峡县融媒体中心就业"</f>
        <v>200809-201107在中原工学院广播影视系主持与播音专业就读，全日制学历
201107至今在西峡县融媒体中心就业</v>
      </c>
    </row>
    <row r="1735" spans="1:9">
      <c r="A1735" s="1" t="str">
        <f>"411323200207202625"</f>
        <v>411323200207202625</v>
      </c>
      <c r="B1735" s="1" t="str">
        <f t="shared" si="860"/>
        <v>群众</v>
      </c>
      <c r="C1735" s="1" t="str">
        <f t="shared" ref="C1735:C1737" si="863">"本科"</f>
        <v>本科</v>
      </c>
      <c r="D1735" s="1" t="str">
        <f>"20260701"</f>
        <v>20260701</v>
      </c>
      <c r="E1735" s="1" t="str">
        <f>"安阳工学院"</f>
        <v>安阳工学院</v>
      </c>
      <c r="F1735" s="1" t="str">
        <f>"应用化学"</f>
        <v>应用化学</v>
      </c>
      <c r="G1735" s="1" t="str">
        <f>"河南省南阳市淅川县金河镇金汇社区贝贝副食"</f>
        <v>河南省南阳市淅川县金河镇金汇社区贝贝副食</v>
      </c>
      <c r="H1735" s="1" t="str">
        <f t="shared" ref="H1735:H1742" si="864">"无"</f>
        <v>无</v>
      </c>
      <c r="I1735" s="1" t="str">
        <f>"201909-202307 安阳工学院 化学与环境工程学院应用化学专业在读 全日制学历
202307-至今待业"</f>
        <v>201909-202307 安阳工学院 化学与环境工程学院应用化学专业在读 全日制学历
202307-至今待业</v>
      </c>
    </row>
    <row r="1736" spans="1:9">
      <c r="A1736" s="1" t="str">
        <f>"411327200107041516"</f>
        <v>411327200107041516</v>
      </c>
      <c r="B1736" s="1" t="str">
        <f t="shared" ref="B1736:B1740" si="865">"共青团员"</f>
        <v>共青团员</v>
      </c>
      <c r="C1736" s="1" t="str">
        <f t="shared" si="863"/>
        <v>本科</v>
      </c>
      <c r="D1736" s="1" t="str">
        <f>"20250701"</f>
        <v>20250701</v>
      </c>
      <c r="E1736" s="1" t="str">
        <f>"商丘学院"</f>
        <v>商丘学院</v>
      </c>
      <c r="F1736" s="1" t="str">
        <f>"软件工程"</f>
        <v>软件工程</v>
      </c>
      <c r="G1736" s="1" t="str">
        <f>"河南省南阳市内乡县"</f>
        <v>河南省南阳市内乡县</v>
      </c>
      <c r="H1736" s="1" t="str">
        <f t="shared" si="864"/>
        <v>无</v>
      </c>
      <c r="I1736" s="1" t="str">
        <f>"202009-202306 河南工业大学 软件学院 电子商务技术专业 就读 是全日制
202309-202506 商丘学院 计算机工程学院 软件工程专业 就读 是全日制"</f>
        <v>202009-202306 河南工业大学 软件学院 电子商务技术专业 就读 是全日制
202309-202506 商丘学院 计算机工程学院 软件工程专业 就读 是全日制</v>
      </c>
    </row>
    <row r="1737" spans="1:9">
      <c r="A1737" s="1" t="str">
        <f>"411327200209270045"</f>
        <v>411327200209270045</v>
      </c>
      <c r="B1737" s="1" t="str">
        <f t="shared" ref="B1737:B1743" si="866">"群众"</f>
        <v>群众</v>
      </c>
      <c r="C1737" s="1" t="str">
        <f t="shared" si="863"/>
        <v>本科</v>
      </c>
      <c r="D1737" s="1" t="str">
        <f>"20240701"</f>
        <v>20240701</v>
      </c>
      <c r="E1737" s="1" t="str">
        <f>"新乡工程学院"</f>
        <v>新乡工程学院</v>
      </c>
      <c r="F1737" s="1" t="str">
        <f>"法学"</f>
        <v>法学</v>
      </c>
      <c r="G1737" s="1" t="str">
        <f>"河南省南阳市内乡县"</f>
        <v>河南省南阳市内乡县</v>
      </c>
      <c r="H1737" s="1" t="str">
        <f t="shared" si="864"/>
        <v>无</v>
      </c>
      <c r="I1737" s="1" t="str">
        <f>"202009-202206 河南检察职业学院 法学 全日制
202209-202406 新乡工程学院 法学 全日制"</f>
        <v>202009-202206 河南检察职业学院 法学 全日制
202209-202406 新乡工程学院 法学 全日制</v>
      </c>
    </row>
    <row r="1738" spans="1:9">
      <c r="A1738" s="1" t="str">
        <f>"411324200012084039"</f>
        <v>411324200012084039</v>
      </c>
      <c r="B1738" s="1" t="str">
        <f t="shared" si="865"/>
        <v>共青团员</v>
      </c>
      <c r="C1738" s="1" t="str">
        <f>"专科"</f>
        <v>专科</v>
      </c>
      <c r="D1738" s="1" t="str">
        <f>"2021.7"</f>
        <v>2021.7</v>
      </c>
      <c r="E1738" s="1" t="str">
        <f>"开封大学"</f>
        <v>开封大学</v>
      </c>
      <c r="F1738" s="1" t="str">
        <f>"文秘"</f>
        <v>文秘</v>
      </c>
      <c r="G1738" s="1" t="str">
        <f>"南阳市镇平县烟草局路西"</f>
        <v>南阳市镇平县烟草局路西</v>
      </c>
      <c r="H1738" s="1" t="str">
        <f t="shared" si="864"/>
        <v>无</v>
      </c>
      <c r="I1738" s="1" t="str">
        <f>"2018.9-2021.7"</f>
        <v>2018.9-2021.7</v>
      </c>
    </row>
    <row r="1739" spans="1:9">
      <c r="A1739" s="1" t="str">
        <f>"41133019970730153X"</f>
        <v>41133019970730153X</v>
      </c>
      <c r="B1739" s="1" t="str">
        <f t="shared" si="865"/>
        <v>共青团员</v>
      </c>
      <c r="C1739" s="1" t="str">
        <f t="shared" ref="C1739:C1754" si="867">"本科"</f>
        <v>本科</v>
      </c>
      <c r="D1739" s="1" t="str">
        <f>"20190701"</f>
        <v>20190701</v>
      </c>
      <c r="E1739" s="1" t="str">
        <f>"黄淮学院"</f>
        <v>黄淮学院</v>
      </c>
      <c r="F1739" s="1" t="str">
        <f>"环境设计"</f>
        <v>环境设计</v>
      </c>
      <c r="G1739" s="1" t="str">
        <f>"河南省南阳市西峡县回车镇老庙岗村"</f>
        <v>河南省南阳市西峡县回车镇老庙岗村</v>
      </c>
      <c r="H1739" s="1" t="str">
        <f t="shared" si="864"/>
        <v>无</v>
      </c>
      <c r="I1739" s="1" t="str">
        <f>"201509-201907 黄淮学院 艺术学院系环境设计专业就读 是全日制
201907-202005 北京凡彩数字科技有限公司上海分公司
202006-202103 上海市待业
202104-202307 上海虚艺创意设计事务所
202308-202507 河南省南阳市西峡县待业"</f>
        <v>201509-201907 黄淮学院 艺术学院系环境设计专业就读 是全日制
201907-202005 北京凡彩数字科技有限公司上海分公司
202006-202103 上海市待业
202104-202307 上海虚艺创意设计事务所
202308-202507 河南省南阳市西峡县待业</v>
      </c>
    </row>
    <row r="1740" spans="1:9">
      <c r="A1740" s="1" t="str">
        <f>"411521199907168328"</f>
        <v>411521199907168328</v>
      </c>
      <c r="B1740" s="1" t="str">
        <f t="shared" si="865"/>
        <v>共青团员</v>
      </c>
      <c r="C1740" s="1" t="str">
        <f t="shared" si="867"/>
        <v>本科</v>
      </c>
      <c r="D1740" s="1" t="str">
        <f>"20220607"</f>
        <v>20220607</v>
      </c>
      <c r="E1740" s="1" t="str">
        <f>"河南科技学院"</f>
        <v>河南科技学院</v>
      </c>
      <c r="F1740" s="1" t="str">
        <f>"应用统计学"</f>
        <v>应用统计学</v>
      </c>
      <c r="G1740" s="1" t="str">
        <f>"河南省信阳市罗山县枫林绿洲"</f>
        <v>河南省信阳市罗山县枫林绿洲</v>
      </c>
      <c r="H1740" s="1" t="str">
        <f t="shared" si="864"/>
        <v>无</v>
      </c>
      <c r="I1740" s="1" t="str">
        <f>"20180901-20220607河南科技学院，数学科学学院，应用统计学，是全日制学历
20220607-至今在家待业"</f>
        <v>20180901-20220607河南科技学院，数学科学学院，应用统计学，是全日制学历
20220607-至今在家待业</v>
      </c>
    </row>
    <row r="1741" spans="1:9">
      <c r="A1741" s="1" t="str">
        <f>"411327200309012545"</f>
        <v>411327200309012545</v>
      </c>
      <c r="B1741" s="1" t="str">
        <f t="shared" si="866"/>
        <v>群众</v>
      </c>
      <c r="C1741" s="1" t="str">
        <f t="shared" si="867"/>
        <v>本科</v>
      </c>
      <c r="D1741" s="1" t="str">
        <f>"20250606"</f>
        <v>20250606</v>
      </c>
      <c r="E1741" s="1" t="str">
        <f>"河南大学"</f>
        <v>河南大学</v>
      </c>
      <c r="F1741" s="1" t="str">
        <f>"英语"</f>
        <v>英语</v>
      </c>
      <c r="G1741" s="1" t="str">
        <f>"河南省南阳市内乡县王店镇周营村马营北1号"</f>
        <v>河南省南阳市内乡县王店镇周营村马营北1号</v>
      </c>
      <c r="H1741" s="1" t="str">
        <f t="shared" si="864"/>
        <v>无</v>
      </c>
      <c r="I1741" s="1" t="str">
        <f>"202109-202506 河南大学 外语学院英语专业 就读，是全日制学历。"</f>
        <v>202109-202506 河南大学 外语学院英语专业 就读，是全日制学历。</v>
      </c>
    </row>
    <row r="1742" spans="1:9">
      <c r="A1742" s="1" t="str">
        <f>"411327200303204247"</f>
        <v>411327200303204247</v>
      </c>
      <c r="B1742" s="1" t="str">
        <f t="shared" si="866"/>
        <v>群众</v>
      </c>
      <c r="C1742" s="1" t="str">
        <f t="shared" si="867"/>
        <v>本科</v>
      </c>
      <c r="D1742" s="1" t="str">
        <f>"20250607"</f>
        <v>20250607</v>
      </c>
      <c r="E1742" s="1" t="str">
        <f>"黄淮学院"</f>
        <v>黄淮学院</v>
      </c>
      <c r="F1742" s="1" t="str">
        <f>"思想政治教育（师范）"</f>
        <v>思想政治教育（师范）</v>
      </c>
      <c r="G1742" s="1" t="str">
        <f>"河南省内乡县余关乡东王庄村"</f>
        <v>河南省内乡县余关乡东王庄村</v>
      </c>
      <c r="H1742" s="1" t="str">
        <f t="shared" si="864"/>
        <v>无</v>
      </c>
      <c r="I1742" s="1" t="str">
        <f>"202109-202506黄淮学院思想政治教育专业 全日制"</f>
        <v>202109-202506黄淮学院思想政治教育专业 全日制</v>
      </c>
    </row>
    <row r="1743" spans="1:9">
      <c r="A1743" s="1" t="str">
        <f>"411327200204280017"</f>
        <v>411327200204280017</v>
      </c>
      <c r="B1743" s="1" t="str">
        <f t="shared" si="866"/>
        <v>群众</v>
      </c>
      <c r="C1743" s="1" t="str">
        <f t="shared" si="867"/>
        <v>本科</v>
      </c>
      <c r="D1743" s="1" t="str">
        <f>"20250610"</f>
        <v>20250610</v>
      </c>
      <c r="E1743" s="1" t="str">
        <f>"郑州工业应用技术学院"</f>
        <v>郑州工业应用技术学院</v>
      </c>
      <c r="F1743" s="1" t="str">
        <f>"土木工程"</f>
        <v>土木工程</v>
      </c>
      <c r="G1743" s="1" t="str">
        <f>"河南省南阳市内乡县"</f>
        <v>河南省南阳市内乡县</v>
      </c>
      <c r="H1743" s="1" t="str">
        <f>"安全员"</f>
        <v>安全员</v>
      </c>
      <c r="I1743" s="1" t="str">
        <f>"202009-202306在河南质量工程职业学院，专业建设工程监理
202309-202506在郑州工业应用技术学院，专业土木工程"</f>
        <v>202009-202306在河南质量工程职业学院，专业建设工程监理
202309-202506在郑州工业应用技术学院，专业土木工程</v>
      </c>
    </row>
    <row r="1744" ht="108" spans="1:9">
      <c r="A1744" s="1" t="str">
        <f>"410526199110146982"</f>
        <v>410526199110146982</v>
      </c>
      <c r="B1744" s="1" t="str">
        <f t="shared" ref="B1744:B1747" si="868">"中共党员"</f>
        <v>中共党员</v>
      </c>
      <c r="C1744" s="1" t="str">
        <f t="shared" si="867"/>
        <v>本科</v>
      </c>
      <c r="D1744" s="1" t="str">
        <f>"20140701"</f>
        <v>20140701</v>
      </c>
      <c r="E1744" s="1" t="str">
        <f>"河南大学"</f>
        <v>河南大学</v>
      </c>
      <c r="F1744" s="1" t="str">
        <f>"国际经济与贸易"</f>
        <v>国际经济与贸易</v>
      </c>
      <c r="G1744" s="1" t="str">
        <f>"江苏省南京市江宁区顺塘街6号荣盛隽峰"</f>
        <v>江苏省南京市江宁区顺塘街6号荣盛隽峰</v>
      </c>
      <c r="H1744" s="1" t="str">
        <f>"会计中级职称"</f>
        <v>会计中级职称</v>
      </c>
      <c r="I1744" s="3" t="s">
        <v>230</v>
      </c>
    </row>
    <row r="1745" spans="1:9">
      <c r="A1745" s="1" t="str">
        <f>"412727199509200062"</f>
        <v>412727199509200062</v>
      </c>
      <c r="B1745" s="1" t="str">
        <f t="shared" si="868"/>
        <v>中共党员</v>
      </c>
      <c r="C1745" s="1" t="str">
        <f t="shared" si="867"/>
        <v>本科</v>
      </c>
      <c r="D1745" s="1" t="str">
        <f>"20180620"</f>
        <v>20180620</v>
      </c>
      <c r="E1745" s="1" t="str">
        <f>"天津科技大学"</f>
        <v>天津科技大学</v>
      </c>
      <c r="F1745" s="1" t="str">
        <f>"木材科学与工程"</f>
        <v>木材科学与工程</v>
      </c>
      <c r="G1745" s="1" t="str">
        <f>"河南省周口市淮阳区西关文明小区"</f>
        <v>河南省周口市淮阳区西关文明小区</v>
      </c>
      <c r="H1745" s="1" t="str">
        <f t="shared" ref="H1745:H1761" si="869">"无"</f>
        <v>无</v>
      </c>
      <c r="I1745" s="1" t="str">
        <f>"201409-201806 天津科技大学 包装与印刷工程学院 木材科学与工程 全日制
201806-202003 河南省周口市淮阳区 待业
202003-202108 郑州市猿辅导信息科技有限公司 人力资源
202108-202111 河南省周口市淮阳区 待业
202111-至今 河南省周口市淮阳区医疗保障局"</f>
        <v>201409-201806 天津科技大学 包装与印刷工程学院 木材科学与工程 全日制
201806-202003 河南省周口市淮阳区 待业
202003-202108 郑州市猿辅导信息科技有限公司 人力资源
202108-202111 河南省周口市淮阳区 待业
202111-至今 河南省周口市淮阳区医疗保障局</v>
      </c>
    </row>
    <row r="1746" spans="1:9">
      <c r="A1746" s="1" t="str">
        <f>"410101200301212010"</f>
        <v>410101200301212010</v>
      </c>
      <c r="B1746" s="1" t="str">
        <f t="shared" ref="B1746:B1754" si="870">"群众"</f>
        <v>群众</v>
      </c>
      <c r="C1746" s="1" t="str">
        <f t="shared" si="867"/>
        <v>本科</v>
      </c>
      <c r="D1746" s="1" t="str">
        <f>"2025.06"</f>
        <v>2025.06</v>
      </c>
      <c r="E1746" s="1" t="str">
        <f>"安阳师范学院"</f>
        <v>安阳师范学院</v>
      </c>
      <c r="F1746" s="1" t="str">
        <f>"数学与应用数学专业"</f>
        <v>数学与应用数学专业</v>
      </c>
      <c r="G1746" s="1" t="str">
        <f>"新华路30号院2排71号"</f>
        <v>新华路30号院2排71号</v>
      </c>
      <c r="H1746" s="1" t="str">
        <f t="shared" si="869"/>
        <v>无</v>
      </c>
      <c r="I1746" s="1" t="str">
        <f>"2021年9月到2025年6月 在安阳师范学院数学与统计学院数学与应用数学专业 就读，是全日制学历。"</f>
        <v>2021年9月到2025年6月 在安阳师范学院数学与统计学院数学与应用数学专业 就读，是全日制学历。</v>
      </c>
    </row>
    <row r="1747" spans="1:9">
      <c r="A1747" s="1" t="str">
        <f>"412726199608280014"</f>
        <v>412726199608280014</v>
      </c>
      <c r="B1747" s="1" t="str">
        <f t="shared" si="868"/>
        <v>中共党员</v>
      </c>
      <c r="C1747" s="1" t="str">
        <f t="shared" si="867"/>
        <v>本科</v>
      </c>
      <c r="D1747" s="1" t="str">
        <f>"20190701"</f>
        <v>20190701</v>
      </c>
      <c r="E1747" s="1" t="str">
        <f>"河南牧业经济学院"</f>
        <v>河南牧业经济学院</v>
      </c>
      <c r="F1747" s="1" t="str">
        <f>"会计学"</f>
        <v>会计学</v>
      </c>
      <c r="G1747" s="1" t="str">
        <f>"河南省郑州市管城回族区尚德路6号"</f>
        <v>河南省郑州市管城回族区尚德路6号</v>
      </c>
      <c r="H1747" s="1" t="str">
        <f t="shared" si="869"/>
        <v>无</v>
      </c>
      <c r="I1747" s="1" t="str">
        <f>"201509-201907 河南牧业经济学院会计学院会计学 全日制
201907-202507 待业
"</f>
        <v>201509-201907 河南牧业经济学院会计学院会计学 全日制
201907-202507 待业
</v>
      </c>
    </row>
    <row r="1748" spans="1:9">
      <c r="A1748" s="1" t="str">
        <f>"410523199610310022"</f>
        <v>410523199610310022</v>
      </c>
      <c r="B1748" s="1" t="str">
        <f t="shared" si="870"/>
        <v>群众</v>
      </c>
      <c r="C1748" s="1" t="str">
        <f t="shared" si="867"/>
        <v>本科</v>
      </c>
      <c r="D1748" s="1" t="str">
        <f>"20190701"</f>
        <v>20190701</v>
      </c>
      <c r="E1748" s="1" t="str">
        <f>"郑州大学"</f>
        <v>郑州大学</v>
      </c>
      <c r="F1748" s="1" t="str">
        <f>"计算机科学与技术（网络服务与工程方向）"</f>
        <v>计算机科学与技术（网络服务与工程方向）</v>
      </c>
      <c r="G1748" s="1" t="str">
        <f>"河南省安阳市汤阴县菜园镇东尧会村1区1号"</f>
        <v>河南省安阳市汤阴县菜园镇东尧会村1区1号</v>
      </c>
      <c r="H1748" s="1" t="str">
        <f t="shared" si="869"/>
        <v>无</v>
      </c>
      <c r="I1748" s="1" t="str">
        <f>"201509-201907 郑州大学 软件与应用科技学院 计算机科学与技术（网络服务与工程方向）
201907-202403 中通快递股份有限公司 中级数据分析师
202403-今 待业"</f>
        <v>201509-201907 郑州大学 软件与应用科技学院 计算机科学与技术（网络服务与工程方向）
201907-202403 中通快递股份有限公司 中级数据分析师
202403-今 待业</v>
      </c>
    </row>
    <row r="1749" spans="1:9">
      <c r="A1749" s="1" t="str">
        <f>"41132720020216002X"</f>
        <v>41132720020216002X</v>
      </c>
      <c r="B1749" s="1" t="str">
        <f>"共青团员"</f>
        <v>共青团员</v>
      </c>
      <c r="C1749" s="1" t="str">
        <f t="shared" si="867"/>
        <v>本科</v>
      </c>
      <c r="D1749" s="1" t="str">
        <f>"20250616"</f>
        <v>20250616</v>
      </c>
      <c r="E1749" s="1" t="str">
        <f>"河南城建学院"</f>
        <v>河南城建学院</v>
      </c>
      <c r="F1749" s="1" t="str">
        <f>"法学"</f>
        <v>法学</v>
      </c>
      <c r="G1749" s="1" t="str">
        <f>"河南省南阳市内乡县菊韵花苑"</f>
        <v>河南省南阳市内乡县菊韵花苑</v>
      </c>
      <c r="H1749" s="1" t="str">
        <f t="shared" si="869"/>
        <v>无</v>
      </c>
      <c r="I1749" s="1" t="str">
        <f>"2020年9月至2023年6月在河南司法警官职业学院警察学系司法鉴定专业就读；2023年9月至2025年6月在河南城建学院法学院法学专业就读."</f>
        <v>2020年9月至2023年6月在河南司法警官职业学院警察学系司法鉴定专业就读；2023年9月至2025年6月在河南城建学院法学院法学专业就读.</v>
      </c>
    </row>
    <row r="1750" spans="1:9">
      <c r="A1750" s="1" t="str">
        <f>"411323200207231725"</f>
        <v>411323200207231725</v>
      </c>
      <c r="B1750" s="1" t="str">
        <f>"共青团员"</f>
        <v>共青团员</v>
      </c>
      <c r="C1750" s="1" t="str">
        <f t="shared" si="867"/>
        <v>本科</v>
      </c>
      <c r="D1750" s="1" t="str">
        <f>"202507"</f>
        <v>202507</v>
      </c>
      <c r="E1750" s="1" t="str">
        <f>"天津城建大学"</f>
        <v>天津城建大学</v>
      </c>
      <c r="F1750" s="1" t="str">
        <f t="shared" ref="F1750:F1752" si="871">"环境设计"</f>
        <v>环境设计</v>
      </c>
      <c r="G1750" s="1" t="str">
        <f>"河南南阳"</f>
        <v>河南南阳</v>
      </c>
      <c r="H1750" s="1" t="str">
        <f t="shared" si="869"/>
        <v>无</v>
      </c>
      <c r="I1750" s="1" t="str">
        <f>"202109-202507天津城建大学就读，城市艺术学院环境设计专业就读
全日制学历"</f>
        <v>202109-202507天津城建大学就读，城市艺术学院环境设计专业就读
全日制学历</v>
      </c>
    </row>
    <row r="1751" spans="1:9">
      <c r="A1751" s="1" t="str">
        <f>"411327199703190010"</f>
        <v>411327199703190010</v>
      </c>
      <c r="B1751" s="1" t="str">
        <f t="shared" si="870"/>
        <v>群众</v>
      </c>
      <c r="C1751" s="1" t="str">
        <f t="shared" si="867"/>
        <v>本科</v>
      </c>
      <c r="D1751" s="1" t="str">
        <f>"20200630"</f>
        <v>20200630</v>
      </c>
      <c r="E1751" s="1" t="str">
        <f>"长沙理工大学"</f>
        <v>长沙理工大学</v>
      </c>
      <c r="F1751" s="1" t="str">
        <f t="shared" si="871"/>
        <v>环境设计</v>
      </c>
      <c r="G1751" s="1" t="str">
        <f>"河南省内乡县城关镇"</f>
        <v>河南省内乡县城关镇</v>
      </c>
      <c r="H1751" s="1" t="str">
        <f t="shared" si="869"/>
        <v>无</v>
      </c>
      <c r="I1751" s="1" t="str">
        <f>"201609-202006 长沙理工大学就读
202007-202106 深圳海外装饰工程有限公司
202107-202305 内乡县待业
202305-202409 内乡县公安局
202409-至今 内乡县待业"</f>
        <v>201609-202006 长沙理工大学就读
202007-202106 深圳海外装饰工程有限公司
202107-202305 内乡县待业
202305-202409 内乡县公安局
202409-至今 内乡县待业</v>
      </c>
    </row>
    <row r="1752" spans="1:9">
      <c r="A1752" s="1" t="str">
        <f>"142730200106201819"</f>
        <v>142730200106201819</v>
      </c>
      <c r="B1752" s="1" t="str">
        <f t="shared" si="870"/>
        <v>群众</v>
      </c>
      <c r="C1752" s="1" t="str">
        <f t="shared" si="867"/>
        <v>本科</v>
      </c>
      <c r="D1752" s="1" t="str">
        <f>"20240627"</f>
        <v>20240627</v>
      </c>
      <c r="E1752" s="1" t="str">
        <f>"内蒙古农业大学"</f>
        <v>内蒙古农业大学</v>
      </c>
      <c r="F1752" s="1" t="str">
        <f t="shared" si="871"/>
        <v>环境设计</v>
      </c>
      <c r="G1752" s="1" t="str">
        <f>"山西省运城市夏县尉郭乡西阴村"</f>
        <v>山西省运城市夏县尉郭乡西阴村</v>
      </c>
      <c r="H1752" s="1" t="str">
        <f t="shared" si="869"/>
        <v>无</v>
      </c>
      <c r="I1752" s="1" t="str">
        <f>"202009-202406在内蒙古农业大学材料科学与艺术设计学院环境设计专业就读，全日制学历
202406至今待业"</f>
        <v>202009-202406在内蒙古农业大学材料科学与艺术设计学院环境设计专业就读，全日制学历
202406至今待业</v>
      </c>
    </row>
    <row r="1753" spans="1:9">
      <c r="A1753" s="1" t="str">
        <f>"411327199611023928"</f>
        <v>411327199611023928</v>
      </c>
      <c r="B1753" s="1" t="str">
        <f t="shared" si="870"/>
        <v>群众</v>
      </c>
      <c r="C1753" s="1" t="str">
        <f t="shared" si="867"/>
        <v>本科</v>
      </c>
      <c r="D1753" s="1" t="str">
        <f>"2020-07-01"</f>
        <v>2020-07-01</v>
      </c>
      <c r="E1753" s="1" t="str">
        <f>"河南科技学院"</f>
        <v>河南科技学院</v>
      </c>
      <c r="F1753" s="1" t="str">
        <f>"园艺"</f>
        <v>园艺</v>
      </c>
      <c r="G1753" s="1" t="str">
        <f>"河南省南阳市内乡县"</f>
        <v>河南省南阳市内乡县</v>
      </c>
      <c r="H1753" s="1" t="str">
        <f t="shared" si="869"/>
        <v>无</v>
      </c>
      <c r="I1753" s="1" t="str">
        <f>"201609-202007 河南科技学院就读 园艺园林学院 园艺专业"</f>
        <v>201609-202007 河南科技学院就读 园艺园林学院 园艺专业</v>
      </c>
    </row>
    <row r="1754" spans="1:9">
      <c r="A1754" s="1" t="str">
        <f>"411327199503104923"</f>
        <v>411327199503104923</v>
      </c>
      <c r="B1754" s="1" t="str">
        <f t="shared" si="870"/>
        <v>群众</v>
      </c>
      <c r="C1754" s="1" t="str">
        <f t="shared" si="867"/>
        <v>本科</v>
      </c>
      <c r="D1754" s="1" t="str">
        <f>"20180701"</f>
        <v>20180701</v>
      </c>
      <c r="E1754" s="1" t="str">
        <f>"河南师范大学"</f>
        <v>河南师范大学</v>
      </c>
      <c r="F1754" s="1" t="str">
        <f>"环境工程"</f>
        <v>环境工程</v>
      </c>
      <c r="G1754" s="1" t="str">
        <f>"河南省内乡县灌涨镇杨集村马集"</f>
        <v>河南省内乡县灌涨镇杨集村马集</v>
      </c>
      <c r="H1754" s="1" t="str">
        <f t="shared" si="869"/>
        <v>无</v>
      </c>
      <c r="I1754" s="1" t="str">
        <f>"201409-201807河南师范大学环境学院环境工程专业(全日制)就读
201808-202203待业
202204-202503灌涨社保所工作
202504至今待业"</f>
        <v>201409-201807河南师范大学环境学院环境工程专业(全日制)就读
201808-202203待业
202204-202503灌涨社保所工作
202504至今待业</v>
      </c>
    </row>
    <row r="1755" spans="1:9">
      <c r="A1755" s="1" t="str">
        <f>"410482200004154461"</f>
        <v>410482200004154461</v>
      </c>
      <c r="B1755" s="1" t="str">
        <f>"共青团员"</f>
        <v>共青团员</v>
      </c>
      <c r="C1755" s="1" t="str">
        <f>"硕士研究生"</f>
        <v>硕士研究生</v>
      </c>
      <c r="D1755" s="1" t="str">
        <f>"20250601"</f>
        <v>20250601</v>
      </c>
      <c r="E1755" s="1" t="str">
        <f>"北方民族大学"</f>
        <v>北方民族大学</v>
      </c>
      <c r="F1755" s="1" t="str">
        <f>"数学"</f>
        <v>数学</v>
      </c>
      <c r="G1755" s="1" t="str">
        <f>"河南省汝州市"</f>
        <v>河南省汝州市</v>
      </c>
      <c r="H1755" s="1" t="str">
        <f t="shared" si="869"/>
        <v>无</v>
      </c>
      <c r="I1755" s="1" t="str">
        <f>"201709-202106 河南师范大学数学与信息科学学院数学专业就读
202209-202506 北方民族大学数学与信息科学学院数学专业就读"</f>
        <v>201709-202106 河南师范大学数学与信息科学学院数学专业就读
202209-202506 北方民族大学数学与信息科学学院数学专业就读</v>
      </c>
    </row>
    <row r="1756" spans="1:9">
      <c r="A1756" s="1" t="str">
        <f>"411327199004170352"</f>
        <v>411327199004170352</v>
      </c>
      <c r="B1756" s="1" t="str">
        <f>"中共党员"</f>
        <v>中共党员</v>
      </c>
      <c r="C1756" s="1" t="str">
        <f t="shared" ref="C1756:C1759" si="872">"本科"</f>
        <v>本科</v>
      </c>
      <c r="D1756" s="1" t="str">
        <f>"20140701"</f>
        <v>20140701</v>
      </c>
      <c r="E1756" s="1" t="str">
        <f>"河南科技大学"</f>
        <v>河南科技大学</v>
      </c>
      <c r="F1756" s="1" t="str">
        <f>"法学"</f>
        <v>法学</v>
      </c>
      <c r="G1756" s="1" t="str">
        <f>"河南省南阳市内乡县公安局"</f>
        <v>河南省南阳市内乡县公安局</v>
      </c>
      <c r="H1756" s="1" t="str">
        <f t="shared" si="869"/>
        <v>无</v>
      </c>
      <c r="I1756" s="1" t="str">
        <f>"201009-201407 河南科技大学法学院就读，是全日制学历；
201408-201607 在家待业；
201608至今 牧原食品股份有限公司工作"</f>
        <v>201009-201407 河南科技大学法学院就读，是全日制学历；
201408-201607 在家待业；
201608至今 牧原食品股份有限公司工作</v>
      </c>
    </row>
    <row r="1757" spans="1:9">
      <c r="A1757" s="1" t="str">
        <f>"411327199802150030"</f>
        <v>411327199802150030</v>
      </c>
      <c r="B1757" s="1" t="str">
        <f t="shared" ref="B1757:B1761" si="873">"群众"</f>
        <v>群众</v>
      </c>
      <c r="C1757" s="1" t="str">
        <f t="shared" si="872"/>
        <v>本科</v>
      </c>
      <c r="D1757" s="1" t="str">
        <f>"20250618"</f>
        <v>20250618</v>
      </c>
      <c r="E1757" s="1" t="str">
        <f>"河南农业大学"</f>
        <v>河南农业大学</v>
      </c>
      <c r="F1757" s="1" t="str">
        <f>"财务管理"</f>
        <v>财务管理</v>
      </c>
      <c r="G1757" s="1" t="str">
        <f>"河南省内乡县城关镇北园村北园西路82号"</f>
        <v>河南省内乡县城关镇北园村北园西路82号</v>
      </c>
      <c r="H1757" s="1" t="str">
        <f t="shared" si="869"/>
        <v>无</v>
      </c>
      <c r="I1757" s="1" t="str">
        <f>"2015年9月-2018年7月 黄河科技学院国际学院会计与审计专业就读，全日制
2018至今待业
2023年4月-2025年6月 河南农业大学继续教育学院财务管理专业就读，非全日制"</f>
        <v>2015年9月-2018年7月 黄河科技学院国际学院会计与审计专业就读，全日制
2018至今待业
2023年4月-2025年6月 河南农业大学继续教育学院财务管理专业就读，非全日制</v>
      </c>
    </row>
    <row r="1758" spans="1:9">
      <c r="A1758" s="1" t="str">
        <f>"410325199604079882"</f>
        <v>410325199604079882</v>
      </c>
      <c r="B1758" s="1" t="str">
        <f t="shared" si="873"/>
        <v>群众</v>
      </c>
      <c r="C1758" s="1" t="str">
        <f t="shared" ref="C1758:C1764" si="874">"专科"</f>
        <v>专科</v>
      </c>
      <c r="D1758" s="1" t="str">
        <f>"20180701"</f>
        <v>20180701</v>
      </c>
      <c r="E1758" s="1" t="str">
        <f>"河南信息统计职业学院"</f>
        <v>河南信息统计职业学院</v>
      </c>
      <c r="F1758" s="1" t="str">
        <f>"酒店管理"</f>
        <v>酒店管理</v>
      </c>
      <c r="G1758" s="1" t="str">
        <f>"河南省洛阳市嵩县大章镇山后村一组"</f>
        <v>河南省洛阳市嵩县大章镇山后村一组</v>
      </c>
      <c r="H1758" s="1" t="str">
        <f t="shared" si="869"/>
        <v>无</v>
      </c>
      <c r="I1758" s="1" t="str">
        <f>"201209—201506  嵩县实验高中
201509—201807  河南信息统计职业学院
201810—201905   嵩县大章镇政府组织办
202104—202307   自己创业
202309—202407   伊川县彭婆镇育英小学（语文老师）"</f>
        <v>201209—201506  嵩县实验高中
201509—201807  河南信息统计职业学院
201810—201905   嵩县大章镇政府组织办
202104—202307   自己创业
202309—202407   伊川县彭婆镇育英小学（语文老师）</v>
      </c>
    </row>
    <row r="1759" spans="1:9">
      <c r="A1759" s="1" t="str">
        <f>"412724199911220038"</f>
        <v>412724199911220038</v>
      </c>
      <c r="B1759" s="1" t="str">
        <f>"共青团员"</f>
        <v>共青团员</v>
      </c>
      <c r="C1759" s="1" t="str">
        <f t="shared" si="872"/>
        <v>本科</v>
      </c>
      <c r="D1759" s="1" t="str">
        <f>"20250701"</f>
        <v>20250701</v>
      </c>
      <c r="E1759" s="1" t="str">
        <f>"南阳师范学院"</f>
        <v>南阳师范学院</v>
      </c>
      <c r="F1759" s="1" t="str">
        <f>"土木工程"</f>
        <v>土木工程</v>
      </c>
      <c r="G1759" s="1" t="str">
        <f>"河南省周口市太康县"</f>
        <v>河南省周口市太康县</v>
      </c>
      <c r="H1759" s="1" t="str">
        <f t="shared" si="869"/>
        <v>无</v>
      </c>
      <c r="I1759" s="1" t="str">
        <f>"202309-202507 南阳师范学院就读 土木建筑工程学院土木工程专业（全日制）
201709-202007 河南交通职业技术学 公路学院道路养护与管理专业（全日制）"</f>
        <v>202309-202507 南阳师范学院就读 土木建筑工程学院土木工程专业（全日制）
201709-202007 河南交通职业技术学 公路学院道路养护与管理专业（全日制）</v>
      </c>
    </row>
    <row r="1760" spans="1:9">
      <c r="A1760" s="1" t="str">
        <f>"411327200104073950"</f>
        <v>411327200104073950</v>
      </c>
      <c r="B1760" s="1" t="str">
        <f>"中共党员"</f>
        <v>中共党员</v>
      </c>
      <c r="C1760" s="1" t="str">
        <f t="shared" si="874"/>
        <v>专科</v>
      </c>
      <c r="D1760" s="1" t="str">
        <f>"20210701"</f>
        <v>20210701</v>
      </c>
      <c r="E1760" s="1" t="str">
        <f>"河南职业技术学院"</f>
        <v>河南职业技术学院</v>
      </c>
      <c r="F1760" s="1" t="str">
        <f>"计算机网络技术"</f>
        <v>计算机网络技术</v>
      </c>
      <c r="G1760" s="1" t="str">
        <f>"河南省南阳市内乡县岞曲镇魏营村"</f>
        <v>河南省南阳市内乡县岞曲镇魏营村</v>
      </c>
      <c r="H1760" s="1" t="str">
        <f t="shared" si="869"/>
        <v>无</v>
      </c>
      <c r="I1760" s="1" t="str">
        <f>"201809-202107 河南职业技术学院 学生
202107-202307  南阳市东福新材料有限公司  职工
202307-202310待业
202310至今牧原肉食品有限公司 职工"</f>
        <v>201809-202107 河南职业技术学院 学生
202107-202307  南阳市东福新材料有限公司  职工
202307-202310待业
202310至今牧原肉食品有限公司 职工</v>
      </c>
    </row>
    <row r="1761" spans="1:9">
      <c r="A1761" s="1" t="str">
        <f>"14270219980225151X"</f>
        <v>14270219980225151X</v>
      </c>
      <c r="B1761" s="1" t="str">
        <f t="shared" si="873"/>
        <v>群众</v>
      </c>
      <c r="C1761" s="1" t="str">
        <f t="shared" ref="C1761:C1765" si="875">"本科"</f>
        <v>本科</v>
      </c>
      <c r="D1761" s="1" t="str">
        <f>"20220120"</f>
        <v>20220120</v>
      </c>
      <c r="E1761" s="1" t="str">
        <f>"太原理工大学"</f>
        <v>太原理工大学</v>
      </c>
      <c r="F1761" s="1" t="str">
        <f>"土木工程"</f>
        <v>土木工程</v>
      </c>
      <c r="G1761" s="1" t="str">
        <f>"山西省运城市盐湖区人民南路汇景名园小区1号楼B单元1603"</f>
        <v>山西省运城市盐湖区人民南路汇景名园小区1号楼B单元1603</v>
      </c>
      <c r="H1761" s="1" t="str">
        <f t="shared" si="869"/>
        <v>无</v>
      </c>
      <c r="I1761" s="1" t="str">
        <f>"201509-201807 在山西建筑职业技术学院市政工程系道路与桥梁工程技术专业就读，是全日制学历；201807-202007在中铁十二局集团第三工程有限公司工作；201903-202201在太原理工大学继续教育学院土木工程专业就读；202107-202201在上海红瓦信息科技有限公司工作；202201至今在山西省运城市盐湖区待业。"</f>
        <v>201509-201807 在山西建筑职业技术学院市政工程系道路与桥梁工程技术专业就读，是全日制学历；201807-202007在中铁十二局集团第三工程有限公司工作；201903-202201在太原理工大学继续教育学院土木工程专业就读；202107-202201在上海红瓦信息科技有限公司工作；202201至今在山西省运城市盐湖区待业。</v>
      </c>
    </row>
    <row r="1762" spans="1:9">
      <c r="A1762" s="1" t="str">
        <f>"410102200304110139"</f>
        <v>410102200304110139</v>
      </c>
      <c r="B1762" s="1" t="str">
        <f>"共青团员"</f>
        <v>共青团员</v>
      </c>
      <c r="C1762" s="1" t="str">
        <f t="shared" si="875"/>
        <v>本科</v>
      </c>
      <c r="D1762" s="1" t="str">
        <f>"20250617"</f>
        <v>20250617</v>
      </c>
      <c r="E1762" s="1" t="str">
        <f>"南阳理工学院"</f>
        <v>南阳理工学院</v>
      </c>
      <c r="F1762" s="1" t="str">
        <f>"机器人工程"</f>
        <v>机器人工程</v>
      </c>
      <c r="G1762" s="1" t="str">
        <f>"河南省南阳市内乡县城关镇鑫城花园1001号"</f>
        <v>河南省南阳市内乡县城关镇鑫城花园1001号</v>
      </c>
      <c r="H1762" s="1" t="str">
        <f>"工业机器人系统操作员三级/高级工"</f>
        <v>工业机器人系统操作员三级/高级工</v>
      </c>
      <c r="I1762" s="1" t="str">
        <f>"202109-202506 南阳理工学院智能制造学院机器人工程专业全日制 就读"</f>
        <v>202109-202506 南阳理工学院智能制造学院机器人工程专业全日制 就读</v>
      </c>
    </row>
    <row r="1763" spans="1:9">
      <c r="A1763" s="1" t="str">
        <f>"411224199802260016"</f>
        <v>411224199802260016</v>
      </c>
      <c r="B1763" s="1" t="str">
        <f>"中共党员"</f>
        <v>中共党员</v>
      </c>
      <c r="C1763" s="1" t="str">
        <f t="shared" si="874"/>
        <v>专科</v>
      </c>
      <c r="D1763" s="1" t="str">
        <f>"20190701"</f>
        <v>20190701</v>
      </c>
      <c r="E1763" s="1" t="str">
        <f>"河南水利与环境职业学院"</f>
        <v>河南水利与环境职业学院</v>
      </c>
      <c r="F1763" s="1" t="str">
        <f>"道路桥梁工程技术"</f>
        <v>道路桥梁工程技术</v>
      </c>
      <c r="G1763" s="1" t="str">
        <f>"河南省三门峡市卢氏县城关镇"</f>
        <v>河南省三门峡市卢氏县城关镇</v>
      </c>
      <c r="H1763" s="1" t="str">
        <f t="shared" ref="H1763:H1765" si="876">"无"</f>
        <v>无</v>
      </c>
      <c r="I1763" s="1" t="str">
        <f>"201609-201907在河南水利与环境职业学院水利工程系就读道路桥梁工程技术专业，是全日制学历。
201908-202412服役于31678部队。
202412-202507在河南省三门峡市卢氏县待业。"</f>
        <v>201609-201907在河南水利与环境职业学院水利工程系就读道路桥梁工程技术专业，是全日制学历。
201908-202412服役于31678部队。
202412-202507在河南省三门峡市卢氏县待业。</v>
      </c>
    </row>
    <row r="1764" spans="1:9">
      <c r="A1764" s="1" t="str">
        <f>"411327200007063312"</f>
        <v>411327200007063312</v>
      </c>
      <c r="B1764" s="1" t="str">
        <f t="shared" ref="B1764:B1768" si="877">"群众"</f>
        <v>群众</v>
      </c>
      <c r="C1764" s="1" t="str">
        <f t="shared" si="874"/>
        <v>专科</v>
      </c>
      <c r="D1764" s="1" t="str">
        <f>"20210701"</f>
        <v>20210701</v>
      </c>
      <c r="E1764" s="1" t="str">
        <f>"南阳医学高等专科学校"</f>
        <v>南阳医学高等专科学校</v>
      </c>
      <c r="F1764" s="1" t="str">
        <f>"口腔医学"</f>
        <v>口腔医学</v>
      </c>
      <c r="G1764" s="1" t="str">
        <f>"河南省南阳市内乡县"</f>
        <v>河南省南阳市内乡县</v>
      </c>
      <c r="H1764" s="1" t="str">
        <f t="shared" si="876"/>
        <v>无</v>
      </c>
      <c r="I1764" s="1" t="str">
        <f>"201809-202107 南阳医学高等专科学校 就读 全日制，202107-202507在河南省内乡县工作。"</f>
        <v>201809-202107 南阳医学高等专科学校 就读 全日制，202107-202507在河南省内乡县工作。</v>
      </c>
    </row>
    <row r="1765" spans="1:9">
      <c r="A1765" s="1" t="str">
        <f>"41130320000409151X"</f>
        <v>41130320000409151X</v>
      </c>
      <c r="B1765" s="1" t="str">
        <f>"中共预备党员"</f>
        <v>中共预备党员</v>
      </c>
      <c r="C1765" s="1" t="str">
        <f t="shared" si="875"/>
        <v>本科</v>
      </c>
      <c r="D1765" s="1" t="str">
        <f>"20240607"</f>
        <v>20240607</v>
      </c>
      <c r="E1765" s="1" t="str">
        <f>"南阳师范学院"</f>
        <v>南阳师范学院</v>
      </c>
      <c r="F1765" s="1" t="str">
        <f>"体育教育"</f>
        <v>体育教育</v>
      </c>
      <c r="G1765" s="1" t="str">
        <f>"河南省南阳市卧龙区武侯路13号"</f>
        <v>河南省南阳市卧龙区武侯路13号</v>
      </c>
      <c r="H1765" s="1" t="str">
        <f t="shared" si="876"/>
        <v>无</v>
      </c>
      <c r="I1765" s="1" t="str">
        <f>"201909—202206 河南财政金融学院体育学院社会体育专业
202206—202406 南阳师范学院体育学院体育教育专业
全日制学历"</f>
        <v>201909—202206 河南财政金融学院体育学院社会体育专业
202206—202406 南阳师范学院体育学院体育教育专业
全日制学历</v>
      </c>
    </row>
    <row r="1766" spans="1:9">
      <c r="A1766" s="1" t="str">
        <f>"411327200306290320"</f>
        <v>411327200306290320</v>
      </c>
      <c r="B1766" s="1" t="str">
        <f t="shared" si="877"/>
        <v>群众</v>
      </c>
      <c r="C1766" s="1" t="str">
        <f>"专科"</f>
        <v>专科</v>
      </c>
      <c r="D1766" s="1" t="str">
        <f>"20230701"</f>
        <v>20230701</v>
      </c>
      <c r="E1766" s="1" t="str">
        <f>"南阳医学高等专科学校"</f>
        <v>南阳医学高等专科学校</v>
      </c>
      <c r="F1766" s="1" t="str">
        <f>"医学影像技术"</f>
        <v>医学影像技术</v>
      </c>
      <c r="G1766" s="1" t="str">
        <f>"河南省内乡县大桥乡大周村245号"</f>
        <v>河南省内乡县大桥乡大周村245号</v>
      </c>
      <c r="H1766" s="1" t="str">
        <f>"医学影像技术士"</f>
        <v>医学影像技术士</v>
      </c>
      <c r="I1766" s="1" t="str">
        <f>"202009-202307  南阳医学高等专科学校，医学影像技术，全日制学历
202307-至今  待业"</f>
        <v>202009-202307  南阳医学高等专科学校，医学影像技术，全日制学历
202307-至今  待业</v>
      </c>
    </row>
    <row r="1767" spans="1:9">
      <c r="A1767" s="1" t="str">
        <f>"411327200305274521"</f>
        <v>411327200305274521</v>
      </c>
      <c r="B1767" s="1" t="str">
        <f t="shared" ref="B1767:B1772" si="878">"共青团员"</f>
        <v>共青团员</v>
      </c>
      <c r="C1767" s="1" t="str">
        <f t="shared" ref="C1767:C1770" si="879">"本科"</f>
        <v>本科</v>
      </c>
      <c r="D1767" s="1" t="str">
        <f>"20250607"</f>
        <v>20250607</v>
      </c>
      <c r="E1767" s="1" t="str">
        <f>"郑州商学院"</f>
        <v>郑州商学院</v>
      </c>
      <c r="F1767" s="1" t="str">
        <f>"环境设计"</f>
        <v>环境设计</v>
      </c>
      <c r="G1767" s="1" t="str">
        <f>"河南省南阳市内乡县城关镇宏达南路16巷"</f>
        <v>河南省南阳市内乡县城关镇宏达南路16巷</v>
      </c>
      <c r="H1767" s="1" t="str">
        <f>"会展设计师证"</f>
        <v>会展设计师证</v>
      </c>
      <c r="I1767" s="1" t="str">
        <f>"202109-202506在郑州商学院艺术学院就读环境设计专业是全日制学历"</f>
        <v>202109-202506在郑州商学院艺术学院就读环境设计专业是全日制学历</v>
      </c>
    </row>
    <row r="1768" spans="1:9">
      <c r="A1768" s="1" t="str">
        <f>"342426199205075011"</f>
        <v>342426199205075011</v>
      </c>
      <c r="B1768" s="1" t="str">
        <f t="shared" si="877"/>
        <v>群众</v>
      </c>
      <c r="C1768" s="1" t="str">
        <f t="shared" si="879"/>
        <v>本科</v>
      </c>
      <c r="D1768" s="1" t="str">
        <f>"20150630"</f>
        <v>20150630</v>
      </c>
      <c r="E1768" s="1" t="str">
        <f>"淮南师范学院"</f>
        <v>淮南师范学院</v>
      </c>
      <c r="F1768" s="1" t="str">
        <f>"国际经济与贸易"</f>
        <v>国际经济与贸易</v>
      </c>
      <c r="G1768" s="1" t="str">
        <f>"河南省固始县陈淋子镇汪岭村"</f>
        <v>河南省固始县陈淋子镇汪岭村</v>
      </c>
      <c r="H1768" s="1" t="str">
        <f t="shared" ref="H1768:H1787" si="880">"无"</f>
        <v>无</v>
      </c>
      <c r="I1768" s="1" t="str">
        <f>"201109-201506  淮南师范学院经济与管理学院国际经济与贸易专业  大学本科全日制学生  
201507-201912  金寨县金龙玉珠茶业有限公司  业务员 
202001-202009  待业  待业 
 202010-至今  金寨县总工会  社会化工作者 "</f>
        <v>201109-201506  淮南师范学院经济与管理学院国际经济与贸易专业  大学本科全日制学生  
201507-201912  金寨县金龙玉珠茶业有限公司  业务员 
202001-202009  待业  待业 
 202010-至今  金寨县总工会  社会化工作者 </v>
      </c>
    </row>
    <row r="1769" spans="1:9">
      <c r="A1769" s="1" t="str">
        <f>"411327200006270627"</f>
        <v>411327200006270627</v>
      </c>
      <c r="B1769" s="1" t="str">
        <f t="shared" si="878"/>
        <v>共青团员</v>
      </c>
      <c r="C1769" s="1" t="str">
        <f t="shared" si="879"/>
        <v>本科</v>
      </c>
      <c r="D1769" s="1" t="str">
        <f>"20220620"</f>
        <v>20220620</v>
      </c>
      <c r="E1769" s="1" t="str">
        <f>"首都经济贸易大学"</f>
        <v>首都经济贸易大学</v>
      </c>
      <c r="F1769" s="1" t="str">
        <f>"金融学"</f>
        <v>金融学</v>
      </c>
      <c r="G1769" s="1" t="str">
        <f>"河南省南阳市内乡县吉祥小区"</f>
        <v>河南省南阳市内乡县吉祥小区</v>
      </c>
      <c r="H1769" s="1" t="str">
        <f t="shared" si="880"/>
        <v>无</v>
      </c>
      <c r="I1769" s="1" t="str">
        <f>"201809-202206 首都经济贸易大学 就读
202207-202302 河南省南阳市内乡县 待业
202303-202305 人民文博（北京） 工作
202306-202403 河南省南阳市内乡县 待业
202404-202507 南阳航旅集团 工作"</f>
        <v>201809-202206 首都经济贸易大学 就读
202207-202302 河南省南阳市内乡县 待业
202303-202305 人民文博（北京） 工作
202306-202403 河南省南阳市内乡县 待业
202404-202507 南阳航旅集团 工作</v>
      </c>
    </row>
    <row r="1770" spans="1:9">
      <c r="A1770" s="1" t="str">
        <f>"410822200112205524"</f>
        <v>410822200112205524</v>
      </c>
      <c r="B1770" s="1" t="str">
        <f t="shared" si="878"/>
        <v>共青团员</v>
      </c>
      <c r="C1770" s="1" t="str">
        <f t="shared" si="879"/>
        <v>本科</v>
      </c>
      <c r="D1770" s="1" t="str">
        <f>"20230630"</f>
        <v>20230630</v>
      </c>
      <c r="E1770" s="1" t="str">
        <f>"郑州西亚斯学院"</f>
        <v>郑州西亚斯学院</v>
      </c>
      <c r="F1770" s="1" t="str">
        <f>"汉语言文学"</f>
        <v>汉语言文学</v>
      </c>
      <c r="G1770" s="1" t="str">
        <f>"河南省焦作市博爱县文化路与柏山路东南角碧桂园天麓府"</f>
        <v>河南省焦作市博爱县文化路与柏山路东南角碧桂园天麓府</v>
      </c>
      <c r="H1770" s="1" t="str">
        <f t="shared" si="880"/>
        <v>无</v>
      </c>
      <c r="I1770" s="1" t="str">
        <f>"201909-202306郑州西亚斯学院 文法学院 汉语言文学专业就读，是全日制本科"</f>
        <v>201909-202306郑州西亚斯学院 文法学院 汉语言文学专业就读，是全日制本科</v>
      </c>
    </row>
    <row r="1771" spans="1:9">
      <c r="A1771" s="1" t="str">
        <f>"411327199911062523"</f>
        <v>411327199911062523</v>
      </c>
      <c r="B1771" s="1" t="str">
        <f t="shared" si="878"/>
        <v>共青团员</v>
      </c>
      <c r="C1771" s="1" t="str">
        <f>"硕士研究生"</f>
        <v>硕士研究生</v>
      </c>
      <c r="D1771" s="1" t="str">
        <f>"2024-06-30"</f>
        <v>2024-06-30</v>
      </c>
      <c r="E1771" s="1" t="str">
        <f>"中国农业科学院"</f>
        <v>中国农业科学院</v>
      </c>
      <c r="F1771" s="1" t="str">
        <f>"资源利用与植物保护"</f>
        <v>资源利用与植物保护</v>
      </c>
      <c r="G1771" s="1" t="str">
        <f>"河南省南阳市内乡县王店镇杨湾村白湾38号"</f>
        <v>河南省南阳市内乡县王店镇杨湾村白湾38号</v>
      </c>
      <c r="H1771" s="1" t="str">
        <f t="shared" si="880"/>
        <v>无</v>
      </c>
      <c r="I1771" s="1" t="str">
        <f>"201709-202107 河南农业大学 植物保护学院 制药工程专业  本科全日制学历
202109-202407 中国农业科学院 植物保护研究所 资源利用与植物保护专业 硕士全日制学历
202407-202409 待业 河南省南阳市内乡县王店镇杨湾村白湾
202410-至今 就业 内乡县菊潭学校
"</f>
        <v>201709-202107 河南农业大学 植物保护学院 制药工程专业  本科全日制学历
202109-202407 中国农业科学院 植物保护研究所 资源利用与植物保护专业 硕士全日制学历
202407-202409 待业 河南省南阳市内乡县王店镇杨湾村白湾
202410-至今 就业 内乡县菊潭学校
</v>
      </c>
    </row>
    <row r="1772" spans="1:9">
      <c r="A1772" s="1" t="str">
        <f>"411327199806110028"</f>
        <v>411327199806110028</v>
      </c>
      <c r="B1772" s="1" t="str">
        <f t="shared" si="878"/>
        <v>共青团员</v>
      </c>
      <c r="C1772" s="1" t="str">
        <f>"本科"</f>
        <v>本科</v>
      </c>
      <c r="D1772" s="1" t="str">
        <f>"20200606"</f>
        <v>20200606</v>
      </c>
      <c r="E1772" s="1" t="str">
        <f>"五邑大学"</f>
        <v>五邑大学</v>
      </c>
      <c r="F1772" s="1" t="str">
        <f>"交通工程"</f>
        <v>交通工程</v>
      </c>
      <c r="G1772" s="1" t="str">
        <f>"河南省南阳市内乡县城关镇西郊三路"</f>
        <v>河南省南阳市内乡县城关镇西郊三路</v>
      </c>
      <c r="H1772" s="1" t="str">
        <f t="shared" si="880"/>
        <v>无</v>
      </c>
      <c r="I1772" s="1" t="str">
        <f>"201609 - 202006  五邑大学
202007 - 202506  深圳市卓育教育有限公司
202507 - 至今  内乡待业"</f>
        <v>201609 - 202006  五邑大学
202007 - 202506  深圳市卓育教育有限公司
202507 - 至今  内乡待业</v>
      </c>
    </row>
    <row r="1773" spans="1:9">
      <c r="A1773" s="1" t="str">
        <f>"411381200404201211"</f>
        <v>411381200404201211</v>
      </c>
      <c r="B1773" s="1" t="str">
        <f t="shared" ref="B1773:B1776" si="881">"群众"</f>
        <v>群众</v>
      </c>
      <c r="C1773" s="1" t="str">
        <f t="shared" ref="C1773:C1777" si="882">"专科"</f>
        <v>专科</v>
      </c>
      <c r="D1773" s="1" t="str">
        <f>"20250607"</f>
        <v>20250607</v>
      </c>
      <c r="E1773" s="1" t="str">
        <f>"江苏安全技术职业学院"</f>
        <v>江苏安全技术职业学院</v>
      </c>
      <c r="F1773" s="1" t="str">
        <f>"智能制造装备技术"</f>
        <v>智能制造装备技术</v>
      </c>
      <c r="G1773" s="1" t="str">
        <f>"河南省南阳市邓州市龙堰乡"</f>
        <v>河南省南阳市邓州市龙堰乡</v>
      </c>
      <c r="H1773" s="1" t="str">
        <f t="shared" si="880"/>
        <v>无</v>
      </c>
      <c r="I1773" s="1" t="str">
        <f>"202209-202506江苏安全技术职业学院机械工程学院智能制造装备技术专业就读，全日制"</f>
        <v>202209-202506江苏安全技术职业学院机械工程学院智能制造装备技术专业就读，全日制</v>
      </c>
    </row>
    <row r="1774" spans="1:9">
      <c r="A1774" s="1" t="str">
        <f>"410322200212246115"</f>
        <v>410322200212246115</v>
      </c>
      <c r="B1774" s="1" t="str">
        <f t="shared" si="881"/>
        <v>群众</v>
      </c>
      <c r="C1774" s="1" t="str">
        <f t="shared" ref="C1774:C1781" si="883">"本科"</f>
        <v>本科</v>
      </c>
      <c r="D1774" s="1" t="str">
        <f>"20200701"</f>
        <v>20200701</v>
      </c>
      <c r="E1774" s="1" t="str">
        <f>"华北水利水电大学"</f>
        <v>华北水利水电大学</v>
      </c>
      <c r="F1774" s="1" t="str">
        <f>"数学与应用数学"</f>
        <v>数学与应用数学</v>
      </c>
      <c r="G1774" s="1" t="str">
        <f>"河南省洛阳市孟津县小浪底镇南达宿村"</f>
        <v>河南省洛阳市孟津县小浪底镇南达宿村</v>
      </c>
      <c r="H1774" s="1" t="str">
        <f t="shared" si="880"/>
        <v>无</v>
      </c>
      <c r="I1774" s="1" t="str">
        <f>"202009-202407 华北水利水电大学数学与统计学院数学与应用数学专业就读 全日制学历"</f>
        <v>202009-202407 华北水利水电大学数学与统计学院数学与应用数学专业就读 全日制学历</v>
      </c>
    </row>
    <row r="1775" ht="94.5" spans="1:9">
      <c r="A1775" s="1" t="str">
        <f>"411327200010130010"</f>
        <v>411327200010130010</v>
      </c>
      <c r="B1775" s="1" t="str">
        <f t="shared" ref="B1775:B1779" si="884">"共青团员"</f>
        <v>共青团员</v>
      </c>
      <c r="C1775" s="1" t="str">
        <f t="shared" si="882"/>
        <v>专科</v>
      </c>
      <c r="D1775" s="1" t="str">
        <f>"20200701"</f>
        <v>20200701</v>
      </c>
      <c r="E1775" s="1" t="str">
        <f>"三门峡职业技术学校"</f>
        <v>三门峡职业技术学校</v>
      </c>
      <c r="F1775" s="1" t="str">
        <f>"计算机应用技术"</f>
        <v>计算机应用技术</v>
      </c>
      <c r="G1775" s="1" t="str">
        <f>"河南省南阳市内乡县城关镇菊潭大街117号"</f>
        <v>河南省南阳市内乡县城关镇菊潭大街117号</v>
      </c>
      <c r="H1775" s="1" t="str">
        <f t="shared" si="880"/>
        <v>无</v>
      </c>
      <c r="I1775" s="3" t="s">
        <v>231</v>
      </c>
    </row>
    <row r="1776" spans="1:9">
      <c r="A1776" s="1" t="str">
        <f>"411327199311254214"</f>
        <v>411327199311254214</v>
      </c>
      <c r="B1776" s="1" t="str">
        <f t="shared" si="881"/>
        <v>群众</v>
      </c>
      <c r="C1776" s="1" t="str">
        <f>"硕士研究生"</f>
        <v>硕士研究生</v>
      </c>
      <c r="D1776" s="1" t="str">
        <f>"20200630"</f>
        <v>20200630</v>
      </c>
      <c r="E1776" s="1" t="str">
        <f>"大连海事大学"</f>
        <v>大连海事大学</v>
      </c>
      <c r="F1776" s="1" t="str">
        <f>"计算机科学与技术"</f>
        <v>计算机科学与技术</v>
      </c>
      <c r="G1776" s="1" t="str">
        <f>"南阳市宛城区汉冶东路520号儒林商都C区-8栋 1001"</f>
        <v>南阳市宛城区汉冶东路520号儒林商都C区-8栋 1001</v>
      </c>
      <c r="H1776" s="1" t="str">
        <f t="shared" si="880"/>
        <v>无</v>
      </c>
      <c r="I1776" s="1" t="str">
        <f>"201309-201706 黄淮学院 信息工程学院 网络工程 全日制 
201709-202006 大连海事大学 信息科学与技术学院 计算机科学与技术 全日制
202007-202012 广联达科技股份有限公司 
202101-202104 上海疫情待业 
202105-202408 上海中通吉网络技术有限公司
202409-至今       待业"</f>
        <v>201309-201706 黄淮学院 信息工程学院 网络工程 全日制 
201709-202006 大连海事大学 信息科学与技术学院 计算机科学与技术 全日制
202007-202012 广联达科技股份有限公司 
202101-202104 上海疫情待业 
202105-202408 上海中通吉网络技术有限公司
202409-至今       待业</v>
      </c>
    </row>
    <row r="1777" spans="1:9">
      <c r="A1777" s="1" t="str">
        <f>"411327199908103312"</f>
        <v>411327199908103312</v>
      </c>
      <c r="B1777" s="1" t="str">
        <f t="shared" si="884"/>
        <v>共青团员</v>
      </c>
      <c r="C1777" s="1" t="str">
        <f t="shared" si="882"/>
        <v>专科</v>
      </c>
      <c r="D1777" s="1" t="str">
        <f>"20230120"</f>
        <v>20230120</v>
      </c>
      <c r="E1777" s="1" t="str">
        <f>"国家开放大学"</f>
        <v>国家开放大学</v>
      </c>
      <c r="F1777" s="1" t="str">
        <f>"法律事务"</f>
        <v>法律事务</v>
      </c>
      <c r="G1777" s="1" t="str">
        <f>"河南省南阳市内乡县七里坪乡流峪村齐庄组13号"</f>
        <v>河南省南阳市内乡县七里坪乡流峪村齐庄组13号</v>
      </c>
      <c r="H1777" s="1" t="str">
        <f t="shared" si="880"/>
        <v>无</v>
      </c>
      <c r="I1777" s="1" t="str">
        <f>"202009-202301   国家开放大学   法律事务专业（非全日制学历）"</f>
        <v>202009-202301   国家开放大学   法律事务专业（非全日制学历）</v>
      </c>
    </row>
    <row r="1778" spans="1:9">
      <c r="A1778" s="1" t="str">
        <f>"411330199410280520"</f>
        <v>411330199410280520</v>
      </c>
      <c r="B1778" s="1" t="str">
        <f>"群众"</f>
        <v>群众</v>
      </c>
      <c r="C1778" s="1" t="str">
        <f t="shared" si="883"/>
        <v>本科</v>
      </c>
      <c r="D1778" s="1" t="str">
        <f>"20230120"</f>
        <v>20230120</v>
      </c>
      <c r="E1778" s="1" t="str">
        <f>"国家开放大学"</f>
        <v>国家开放大学</v>
      </c>
      <c r="F1778" s="1" t="str">
        <f>"法学"</f>
        <v>法学</v>
      </c>
      <c r="G1778" s="1" t="str">
        <f>"河南省西峡县稻香路学府世家"</f>
        <v>河南省西峡县稻香路学府世家</v>
      </c>
      <c r="H1778" s="1" t="str">
        <f t="shared" si="880"/>
        <v>无</v>
      </c>
      <c r="I1778" s="1" t="str">
        <f>"2010.09—2013.06    西峡县中等职业学校旅游服务与管理专业学习；
2013.07—2017.09    待业
2017.10—至今          西峡县城市管理局公益岗
2018.03—2020.07    国家开放大学法律事务专业学习
2020.09—2023.01    国家开放大学法学专业学习"</f>
        <v>2010.09—2013.06    西峡县中等职业学校旅游服务与管理专业学习；
2013.07—2017.09    待业
2017.10—至今          西峡县城市管理局公益岗
2018.03—2020.07    国家开放大学法律事务专业学习
2020.09—2023.01    国家开放大学法学专业学习</v>
      </c>
    </row>
    <row r="1779" spans="1:9">
      <c r="A1779" s="1" t="str">
        <f>"410411200103195511"</f>
        <v>410411200103195511</v>
      </c>
      <c r="B1779" s="1" t="str">
        <f t="shared" si="884"/>
        <v>共青团员</v>
      </c>
      <c r="C1779" s="1" t="str">
        <f t="shared" si="883"/>
        <v>本科</v>
      </c>
      <c r="D1779" s="1" t="str">
        <f>"20250701"</f>
        <v>20250701</v>
      </c>
      <c r="E1779" s="1" t="str">
        <f>"郑州工商学院"</f>
        <v>郑州工商学院</v>
      </c>
      <c r="F1779" s="1" t="str">
        <f>"工程造价"</f>
        <v>工程造价</v>
      </c>
      <c r="G1779" s="1" t="str">
        <f>"河南省平顶山市卫东区开源路中段83号"</f>
        <v>河南省平顶山市卫东区开源路中段83号</v>
      </c>
      <c r="H1779" s="1" t="str">
        <f t="shared" si="880"/>
        <v>无</v>
      </c>
      <c r="I1779" s="1" t="str">
        <f>"201609-202007河南质量工程职业学院建筑工程技术专业就读全日制
202009-2022-9四川省军区
202209-202307河南质量工程职业学院建筑工程技术专业就读全日制
202309-202507郑州工商学院工学院工程造价系就读全日制
"</f>
        <v>201609-202007河南质量工程职业学院建筑工程技术专业就读全日制
202009-2022-9四川省军区
202209-202307河南质量工程职业学院建筑工程技术专业就读全日制
202309-202507郑州工商学院工学院工程造价系就读全日制
</v>
      </c>
    </row>
    <row r="1780" spans="1:9">
      <c r="A1780" s="1" t="str">
        <f>"411325200308062513"</f>
        <v>411325200308062513</v>
      </c>
      <c r="B1780" s="1" t="str">
        <f>"群众"</f>
        <v>群众</v>
      </c>
      <c r="C1780" s="1" t="str">
        <f t="shared" si="883"/>
        <v>本科</v>
      </c>
      <c r="D1780" s="1" t="str">
        <f>"20250618"</f>
        <v>20250618</v>
      </c>
      <c r="E1780" s="1" t="str">
        <f>"信阳农林学院"</f>
        <v>信阳农林学院</v>
      </c>
      <c r="F1780" s="1" t="str">
        <f>"植物保护"</f>
        <v>植物保护</v>
      </c>
      <c r="G1780" s="1" t="str">
        <f>"河南省南阳市"</f>
        <v>河南省南阳市</v>
      </c>
      <c r="H1780" s="1" t="str">
        <f t="shared" si="880"/>
        <v>无</v>
      </c>
      <c r="I1780" s="1" t="str">
        <f>"202109-202506信阳农林学院农学院植物保护专业就读，是全日制学历。"</f>
        <v>202109-202506信阳农林学院农学院植物保护专业就读，是全日制学历。</v>
      </c>
    </row>
    <row r="1781" spans="1:9">
      <c r="A1781" s="1" t="str">
        <f>"14042819950806003X"</f>
        <v>14042819950806003X</v>
      </c>
      <c r="B1781" s="1" t="str">
        <f t="shared" ref="B1781:B1783" si="885">"共青团员"</f>
        <v>共青团员</v>
      </c>
      <c r="C1781" s="1" t="str">
        <f t="shared" si="883"/>
        <v>本科</v>
      </c>
      <c r="D1781" s="1" t="str">
        <f>"20200710"</f>
        <v>20200710</v>
      </c>
      <c r="E1781" s="1" t="str">
        <f>"景德镇陶瓷大学科技艺术学院"</f>
        <v>景德镇陶瓷大学科技艺术学院</v>
      </c>
      <c r="F1781" s="1" t="str">
        <f>"环境设计"</f>
        <v>环境设计</v>
      </c>
      <c r="G1781" s="1" t="str">
        <f>"山西省长治市长子县丹朱镇贺南四巷65号"</f>
        <v>山西省长治市长子县丹朱镇贺南四巷65号</v>
      </c>
      <c r="H1781" s="1" t="str">
        <f t="shared" si="880"/>
        <v>无</v>
      </c>
      <c r="I1781" s="1" t="str">
        <f>"201609-202007大学就读江西省景德镇陶瓷大学科技艺术学院，美术系环境设计顺利毕业，是全日制，202007-202409在家待业，202409-202507在河南省三门峡市公安局上班至今。"</f>
        <v>201609-202007大学就读江西省景德镇陶瓷大学科技艺术学院，美术系环境设计顺利毕业，是全日制，202007-202409在家待业，202409-202507在河南省三门峡市公安局上班至今。</v>
      </c>
    </row>
    <row r="1782" spans="1:9">
      <c r="A1782" s="1" t="str">
        <f>"411325200311220068"</f>
        <v>411325200311220068</v>
      </c>
      <c r="B1782" s="1" t="str">
        <f t="shared" si="885"/>
        <v>共青团员</v>
      </c>
      <c r="C1782" s="1" t="str">
        <f>"专科"</f>
        <v>专科</v>
      </c>
      <c r="D1782" s="1" t="str">
        <f>"20250617"</f>
        <v>20250617</v>
      </c>
      <c r="E1782" s="1" t="str">
        <f>"信阳职业技术学院"</f>
        <v>信阳职业技术学院</v>
      </c>
      <c r="F1782" s="1" t="str">
        <f>"医学影像技术"</f>
        <v>医学影像技术</v>
      </c>
      <c r="G1782" s="1" t="str">
        <f>"河南省南阳市内乡县五里堡刘营"</f>
        <v>河南省南阳市内乡县五里堡刘营</v>
      </c>
      <c r="H1782" s="1" t="str">
        <f t="shared" si="880"/>
        <v>无</v>
      </c>
      <c r="I1782" s="1" t="str">
        <f>"202209-202506  信阳职业技术学院医学院医学影像技术专业就读  全日制学历"</f>
        <v>202209-202506  信阳职业技术学院医学院医学影像技术专业就读  全日制学历</v>
      </c>
    </row>
    <row r="1783" spans="1:9">
      <c r="A1783" s="1" t="str">
        <f>"410825200212057759"</f>
        <v>410825200212057759</v>
      </c>
      <c r="B1783" s="1" t="str">
        <f t="shared" si="885"/>
        <v>共青团员</v>
      </c>
      <c r="C1783" s="1" t="str">
        <f t="shared" ref="C1783:C1787" si="886">"本科"</f>
        <v>本科</v>
      </c>
      <c r="D1783" s="1" t="str">
        <f>"20250630"</f>
        <v>20250630</v>
      </c>
      <c r="E1783" s="1" t="str">
        <f>"中原工学院"</f>
        <v>中原工学院</v>
      </c>
      <c r="F1783" s="1" t="str">
        <f>"电子信息工程"</f>
        <v>电子信息工程</v>
      </c>
      <c r="G1783" s="1" t="str">
        <f>"河南省郑州市惠济区绿地璀璨天城"</f>
        <v>河南省郑州市惠济区绿地璀璨天城</v>
      </c>
      <c r="H1783" s="1" t="str">
        <f t="shared" si="880"/>
        <v>无</v>
      </c>
      <c r="I1783" s="1" t="str">
        <f>"202109-202506在中原工学院信息与通信工程学院电子信息工程专业就读，是全日制学历"</f>
        <v>202109-202506在中原工学院信息与通信工程学院电子信息工程专业就读，是全日制学历</v>
      </c>
    </row>
    <row r="1784" spans="1:9">
      <c r="A1784" s="1" t="str">
        <f>"411327199209054945"</f>
        <v>411327199209054945</v>
      </c>
      <c r="B1784" s="1" t="str">
        <f t="shared" ref="B1784:B1789" si="887">"群众"</f>
        <v>群众</v>
      </c>
      <c r="C1784" s="1" t="str">
        <f>"专科"</f>
        <v>专科</v>
      </c>
      <c r="D1784" s="1" t="str">
        <f>"20140701"</f>
        <v>20140701</v>
      </c>
      <c r="E1784" s="1" t="str">
        <f>"河南牧业经济学院"</f>
        <v>河南牧业经济学院</v>
      </c>
      <c r="F1784" s="1" t="str">
        <f>"旅游管理"</f>
        <v>旅游管理</v>
      </c>
      <c r="G1784" s="1" t="str">
        <f>"内乡县湍东镇柏树园"</f>
        <v>内乡县湍东镇柏树园</v>
      </c>
      <c r="H1784" s="1" t="str">
        <f t="shared" si="880"/>
        <v>无</v>
      </c>
      <c r="I1784" s="1" t="str">
        <f>"20110901-20140701  河南牧业经济学院 旅游管理专业
20140701-20171230  中交三公局第二工程有限公司所属项目部
20180101-20200525  待业
20200525-20231030  灌涨镇人民政府  购岗
20231101至今  南阳市生态环境局内乡分局  购岗"</f>
        <v>20110901-20140701  河南牧业经济学院 旅游管理专业
20140701-20171230  中交三公局第二工程有限公司所属项目部
20180101-20200525  待业
20200525-20231030  灌涨镇人民政府  购岗
20231101至今  南阳市生态环境局内乡分局  购岗</v>
      </c>
    </row>
    <row r="1785" spans="1:9">
      <c r="A1785" s="1" t="str">
        <f>"411282200105211517"</f>
        <v>411282200105211517</v>
      </c>
      <c r="B1785" s="1" t="str">
        <f t="shared" ref="B1785:B1790" si="888">"共青团员"</f>
        <v>共青团员</v>
      </c>
      <c r="C1785" s="1" t="str">
        <f t="shared" si="886"/>
        <v>本科</v>
      </c>
      <c r="D1785" s="1" t="str">
        <f>"2024-06-14"</f>
        <v>2024-06-14</v>
      </c>
      <c r="E1785" s="1" t="str">
        <f>"信阳农林学院"</f>
        <v>信阳农林学院</v>
      </c>
      <c r="F1785" s="1" t="str">
        <f>"酒店管理"</f>
        <v>酒店管理</v>
      </c>
      <c r="G1785" s="1" t="str">
        <f>"河南三门峡灵宝"</f>
        <v>河南三门峡灵宝</v>
      </c>
      <c r="H1785" s="1" t="str">
        <f t="shared" si="880"/>
        <v>无</v>
      </c>
      <c r="I1785" s="1" t="str">
        <f>"2016.09-2020.07 就读于灵宝实验高级中学
2020.10-2024.06就读于信阳农林学院旅游学院酒店管理专业
2024.06-2025.08待业"</f>
        <v>2016.09-2020.07 就读于灵宝实验高级中学
2020.10-2024.06就读于信阳农林学院旅游学院酒店管理专业
2024.06-2025.08待业</v>
      </c>
    </row>
    <row r="1786" spans="1:9">
      <c r="A1786" s="1" t="str">
        <f>"411327200307090021"</f>
        <v>411327200307090021</v>
      </c>
      <c r="B1786" s="1" t="str">
        <f>"中共党员"</f>
        <v>中共党员</v>
      </c>
      <c r="C1786" s="1" t="str">
        <f t="shared" si="886"/>
        <v>本科</v>
      </c>
      <c r="D1786" s="1" t="str">
        <f>"20250620"</f>
        <v>20250620</v>
      </c>
      <c r="E1786" s="1" t="str">
        <f>"商丘师范学院"</f>
        <v>商丘师范学院</v>
      </c>
      <c r="F1786" s="1" t="str">
        <f>"汉语言文学"</f>
        <v>汉语言文学</v>
      </c>
      <c r="G1786" s="1" t="str">
        <f>"河南省南阳市内乡县环城小区"</f>
        <v>河南省南阳市内乡县环城小区</v>
      </c>
      <c r="H1786" s="1" t="str">
        <f t="shared" si="880"/>
        <v>无</v>
      </c>
      <c r="I1786" s="1" t="str">
        <f>"20210901-20250620 商丘师范学院 人文学院 汉语言文学 全日制本科 "</f>
        <v>20210901-20250620 商丘师范学院 人文学院 汉语言文学 全日制本科 </v>
      </c>
    </row>
    <row r="1787" spans="1:9">
      <c r="A1787" s="1" t="str">
        <f>"411327199911064545"</f>
        <v>411327199911064545</v>
      </c>
      <c r="B1787" s="1" t="str">
        <f t="shared" si="887"/>
        <v>群众</v>
      </c>
      <c r="C1787" s="1" t="str">
        <f t="shared" si="886"/>
        <v>本科</v>
      </c>
      <c r="D1787" s="1" t="str">
        <f>"20230701"</f>
        <v>20230701</v>
      </c>
      <c r="E1787" s="1" t="str">
        <f>"南阳师范学院"</f>
        <v>南阳师范学院</v>
      </c>
      <c r="F1787" s="1" t="str">
        <f>"软件工程"</f>
        <v>软件工程</v>
      </c>
      <c r="G1787" s="1" t="str">
        <f>"南阳市内乡县湍东镇赵店乡"</f>
        <v>南阳市内乡县湍东镇赵店乡</v>
      </c>
      <c r="H1787" s="1" t="str">
        <f t="shared" si="880"/>
        <v>无</v>
      </c>
      <c r="I1787" s="1" t="str">
        <f>"201909-202307 南阳师范学院计算机科学与技术学院软件工程专业就读 
属于全日制学历
202309-202503 内乡菊潭学校 任教初中数学
202504-202506  牧原肉食  "</f>
        <v>201909-202307 南阳师范学院计算机科学与技术学院软件工程专业就读 
属于全日制学历
202309-202503 内乡菊潭学校 任教初中数学
202504-202506  牧原肉食  </v>
      </c>
    </row>
    <row r="1788" spans="1:9">
      <c r="A1788" s="1" t="str">
        <f>"411121200204055013"</f>
        <v>411121200204055013</v>
      </c>
      <c r="B1788" s="1" t="str">
        <f t="shared" si="888"/>
        <v>共青团员</v>
      </c>
      <c r="C1788" s="1" t="str">
        <f>"专科"</f>
        <v>专科</v>
      </c>
      <c r="D1788" s="1" t="str">
        <f>"20220607"</f>
        <v>20220607</v>
      </c>
      <c r="E1788" s="1" t="str">
        <f>"永城职业学院"</f>
        <v>永城职业学院</v>
      </c>
      <c r="F1788" s="1" t="str">
        <f>"计算机网络技术"</f>
        <v>计算机网络技术</v>
      </c>
      <c r="G1788" s="1" t="str">
        <f>"河南省漯河市舞阳县太尉镇蔡营村"</f>
        <v>河南省漯河市舞阳县太尉镇蔡营村</v>
      </c>
      <c r="H1788" s="1" t="str">
        <f>"计算机二级证书"</f>
        <v>计算机二级证书</v>
      </c>
      <c r="I1788" s="1" t="str">
        <f>"202009-202206 在永城职业学院计算机院计算机网络技术专业就读，是全日制学历。"</f>
        <v>202009-202206 在永城职业学院计算机院计算机网络技术专业就读，是全日制学历。</v>
      </c>
    </row>
    <row r="1789" spans="1:9">
      <c r="A1789" s="1" t="str">
        <f>"411327199412140021"</f>
        <v>411327199412140021</v>
      </c>
      <c r="B1789" s="1" t="str">
        <f t="shared" si="887"/>
        <v>群众</v>
      </c>
      <c r="C1789" s="1" t="str">
        <f t="shared" ref="C1789:C1792" si="889">"本科"</f>
        <v>本科</v>
      </c>
      <c r="D1789" s="1" t="str">
        <f>"20170701"</f>
        <v>20170701</v>
      </c>
      <c r="E1789" s="1" t="str">
        <f>"中原工学院"</f>
        <v>中原工学院</v>
      </c>
      <c r="F1789" s="1" t="str">
        <f>"市场营销（时装销售与设计管理方向）"</f>
        <v>市场营销（时装销售与设计管理方向）</v>
      </c>
      <c r="G1789" s="1" t="str">
        <f>"河南省南阳市内乡县湍东镇罗岗村安居小区5单元"</f>
        <v>河南省南阳市内乡县湍东镇罗岗村安居小区5单元</v>
      </c>
      <c r="H1789" s="1" t="str">
        <f>"法律职业资格证书"</f>
        <v>法律职业资格证书</v>
      </c>
      <c r="I1789" s="1" t="str">
        <f>"201307-201707 中原工学院 市场营销（时装销售与设计管理方向）专业 全日制
201707-201809 待业
201810-202306 内乡县人民法院 就业
202307-至今 河南菊城律师事务所 就业"</f>
        <v>201307-201707 中原工学院 市场营销（时装销售与设计管理方向）专业 全日制
201707-201809 待业
201810-202306 内乡县人民法院 就业
202307-至今 河南菊城律师事务所 就业</v>
      </c>
    </row>
    <row r="1790" spans="1:9">
      <c r="A1790" s="1" t="str">
        <f>"410481200211056016"</f>
        <v>410481200211056016</v>
      </c>
      <c r="B1790" s="1" t="str">
        <f t="shared" si="888"/>
        <v>共青团员</v>
      </c>
      <c r="C1790" s="1" t="str">
        <f t="shared" si="889"/>
        <v>本科</v>
      </c>
      <c r="D1790" s="1" t="str">
        <f>"20240601"</f>
        <v>20240601</v>
      </c>
      <c r="E1790" s="1" t="str">
        <f>"南阳师范学院"</f>
        <v>南阳师范学院</v>
      </c>
      <c r="F1790" s="1" t="str">
        <f>"法学"</f>
        <v>法学</v>
      </c>
      <c r="G1790" s="1" t="str">
        <f>"河南省平顶山舞钢市福田二期小区"</f>
        <v>河南省平顶山舞钢市福田二期小区</v>
      </c>
      <c r="H1790" s="1" t="str">
        <f>"国家法律职业资格证书A证"</f>
        <v>国家法律职业资格证书A证</v>
      </c>
      <c r="I1790" s="1" t="str">
        <f>"202009-202406 南阳师范学院 就读 法学系法学专业就读，是全日制学历"</f>
        <v>202009-202406 南阳师范学院 就读 法学系法学专业就读，是全日制学历</v>
      </c>
    </row>
    <row r="1791" spans="1:9">
      <c r="A1791" s="1" t="str">
        <f>"411327199912050030"</f>
        <v>411327199912050030</v>
      </c>
      <c r="B1791" s="1" t="str">
        <f t="shared" ref="B1791:B1796" si="890">"群众"</f>
        <v>群众</v>
      </c>
      <c r="C1791" s="1" t="str">
        <f t="shared" si="889"/>
        <v>本科</v>
      </c>
      <c r="D1791" s="1" t="str">
        <f>"20230701"</f>
        <v>20230701</v>
      </c>
      <c r="E1791" s="1" t="str">
        <f>"河南城建学院"</f>
        <v>河南城建学院</v>
      </c>
      <c r="F1791" s="1" t="str">
        <f>"能源与动力工程"</f>
        <v>能源与动力工程</v>
      </c>
      <c r="G1791" s="1" t="str">
        <f>"河南省南阳市内乡县万隆新天地"</f>
        <v>河南省南阳市内乡县万隆新天地</v>
      </c>
      <c r="H1791" s="1" t="str">
        <f t="shared" ref="H1791:H1799" si="891">"无"</f>
        <v>无</v>
      </c>
      <c r="I1791" s="1" t="str">
        <f>"201909-202307 河南城建学院 能源与动力工程"</f>
        <v>201909-202307 河南城建学院 能源与动力工程</v>
      </c>
    </row>
    <row r="1792" spans="1:9">
      <c r="A1792" s="1" t="str">
        <f>"411327200303014232"</f>
        <v>411327200303014232</v>
      </c>
      <c r="B1792" s="1" t="str">
        <f t="shared" si="890"/>
        <v>群众</v>
      </c>
      <c r="C1792" s="1" t="str">
        <f t="shared" si="889"/>
        <v>本科</v>
      </c>
      <c r="D1792" s="1" t="str">
        <f>"20250701"</f>
        <v>20250701</v>
      </c>
      <c r="E1792" s="1" t="str">
        <f>"华北水利水电大学"</f>
        <v>华北水利水电大学</v>
      </c>
      <c r="F1792" s="1" t="str">
        <f>"统计学"</f>
        <v>统计学</v>
      </c>
      <c r="G1792" s="1" t="str">
        <f>"河南省南阳市内乡县余关镇岳沟村"</f>
        <v>河南省南阳市内乡县余关镇岳沟村</v>
      </c>
      <c r="H1792" s="1" t="str">
        <f t="shared" si="891"/>
        <v>无</v>
      </c>
      <c r="I1792" s="1" t="str">
        <f>"202109-202506 华北水利水电大学 数学与统计学院 统计学专业 就读"</f>
        <v>202109-202506 华北水利水电大学 数学与统计学院 统计学专业 就读</v>
      </c>
    </row>
    <row r="1793" spans="1:9">
      <c r="A1793" s="1" t="str">
        <f>"411303199901073519"</f>
        <v>411303199901073519</v>
      </c>
      <c r="B1793" s="1" t="str">
        <f>"中共党员"</f>
        <v>中共党员</v>
      </c>
      <c r="C1793" s="1" t="str">
        <f>"专科"</f>
        <v>专科</v>
      </c>
      <c r="D1793" s="1" t="str">
        <f>"20200607"</f>
        <v>20200607</v>
      </c>
      <c r="E1793" s="1" t="str">
        <f>"三门峡职业技术学院"</f>
        <v>三门峡职业技术学院</v>
      </c>
      <c r="F1793" s="1" t="str">
        <f>"汽车检测与维修技术"</f>
        <v>汽车检测与维修技术</v>
      </c>
      <c r="G1793" s="1" t="str">
        <f>"河南省南阳市宛城区滨河园丁苑11号楼一单元104"</f>
        <v>河南省南阳市宛城区滨河园丁苑11号楼一单元104</v>
      </c>
      <c r="H1793" s="1" t="str">
        <f>"汽车维修工 三级/高级工"</f>
        <v>汽车维修工 三级/高级工</v>
      </c>
      <c r="I1793" s="1" t="str">
        <f>"201709-202006 三门峡职业技术学院 汽车学院 汽车检测与维修技术专业 就读全日制专科
202009-202207 广州市威盾彩印有限公司 任职 报价文员
202207-202302 南召县公安局 任职 辅警
202303-202507 南阳市公安局 任职 辅警"</f>
        <v>201709-202006 三门峡职业技术学院 汽车学院 汽车检测与维修技术专业 就读全日制专科
202009-202207 广州市威盾彩印有限公司 任职 报价文员
202207-202302 南召县公安局 任职 辅警
202303-202507 南阳市公安局 任职 辅警</v>
      </c>
    </row>
    <row r="1794" spans="1:9">
      <c r="A1794" s="1" t="str">
        <f>"411327199909231519"</f>
        <v>411327199909231519</v>
      </c>
      <c r="B1794" s="1" t="str">
        <f t="shared" ref="B1794:B1798" si="892">"共青团员"</f>
        <v>共青团员</v>
      </c>
      <c r="C1794" s="1" t="str">
        <f t="shared" ref="C1794:C1804" si="893">"本科"</f>
        <v>本科</v>
      </c>
      <c r="D1794" s="1" t="str">
        <f>"20210701"</f>
        <v>20210701</v>
      </c>
      <c r="E1794" s="1" t="str">
        <f>"华北水利水电大学"</f>
        <v>华北水利水电大学</v>
      </c>
      <c r="F1794" s="1" t="str">
        <f>"环境工程"</f>
        <v>环境工程</v>
      </c>
      <c r="G1794" s="1" t="str">
        <f>"河南省南阳市内乡县湍东镇罗岗村酸枣园31号201709-"</f>
        <v>河南省南阳市内乡县湍东镇罗岗村酸枣园31号201709-</v>
      </c>
      <c r="H1794" s="1" t="str">
        <f t="shared" si="891"/>
        <v>无</v>
      </c>
      <c r="I1794" s="1" t="str">
        <f>"201709-202107华北水利水电大学环境工程专业就读全日制本科
202107-202205深圳市深水水务有限公司就职
202206-202305在家待业
202306-今深圳市长隆科技有限公司就职"</f>
        <v>201709-202107华北水利水电大学环境工程专业就读全日制本科
202107-202205深圳市深水水务有限公司就职
202206-202305在家待业
202306-今深圳市长隆科技有限公司就职</v>
      </c>
    </row>
    <row r="1795" spans="1:9">
      <c r="A1795" s="1" t="str">
        <f>"411324200202115844"</f>
        <v>411324200202115844</v>
      </c>
      <c r="B1795" s="1" t="str">
        <f t="shared" si="892"/>
        <v>共青团员</v>
      </c>
      <c r="C1795" s="1" t="str">
        <f t="shared" si="893"/>
        <v>本科</v>
      </c>
      <c r="D1795" s="1" t="str">
        <f>"20200607"</f>
        <v>20200607</v>
      </c>
      <c r="E1795" s="1" t="str">
        <f>"南阳师范学院"</f>
        <v>南阳师范学院</v>
      </c>
      <c r="F1795" s="1" t="str">
        <f>"金融工程"</f>
        <v>金融工程</v>
      </c>
      <c r="G1795" s="1" t="str">
        <f>"河南省南阳市镇平县杏山大道启福家园"</f>
        <v>河南省南阳市镇平县杏山大道启福家园</v>
      </c>
      <c r="H1795" s="1" t="str">
        <f t="shared" si="891"/>
        <v>无</v>
      </c>
      <c r="I1795" s="1" t="str">
        <f>"202009-202406南阳师范学院金融工程专业就读
202006-至今南阳市镇平县待业"</f>
        <v>202009-202406南阳师范学院金融工程专业就读
202006-至今南阳市镇平县待业</v>
      </c>
    </row>
    <row r="1796" spans="1:9">
      <c r="A1796" s="1" t="str">
        <f>"411325200109111167"</f>
        <v>411325200109111167</v>
      </c>
      <c r="B1796" s="1" t="str">
        <f t="shared" si="890"/>
        <v>群众</v>
      </c>
      <c r="C1796" s="1" t="str">
        <f t="shared" si="893"/>
        <v>本科</v>
      </c>
      <c r="D1796" s="1" t="str">
        <f>"20250620"</f>
        <v>20250620</v>
      </c>
      <c r="E1796" s="1" t="str">
        <f>"青岛滨海学院"</f>
        <v>青岛滨海学院</v>
      </c>
      <c r="F1796" s="1" t="str">
        <f>"专科起点数字媒体艺术"</f>
        <v>专科起点数字媒体艺术</v>
      </c>
      <c r="G1796" s="1" t="str">
        <f>"河南省南阳市内乡县赤眉镇杨店村"</f>
        <v>河南省南阳市内乡县赤眉镇杨店村</v>
      </c>
      <c r="H1796" s="1" t="str">
        <f t="shared" si="891"/>
        <v>无</v>
      </c>
      <c r="I1796" s="1" t="str">
        <f>"202009-202306在山东传媒职业学院影视制作系影视编导专业就读，是全日制学历，202309-202506在青岛滨海学院艺术传媒学院数字媒体艺术专业就读，是全日制学历。"</f>
        <v>202009-202306在山东传媒职业学院影视制作系影视编导专业就读，是全日制学历，202309-202506在青岛滨海学院艺术传媒学院数字媒体艺术专业就读，是全日制学历。</v>
      </c>
    </row>
    <row r="1797" spans="1:9">
      <c r="A1797" s="1" t="str">
        <f>"411327200208184567"</f>
        <v>411327200208184567</v>
      </c>
      <c r="B1797" s="1" t="str">
        <f t="shared" si="892"/>
        <v>共青团员</v>
      </c>
      <c r="C1797" s="1" t="str">
        <f t="shared" si="893"/>
        <v>本科</v>
      </c>
      <c r="D1797" s="1" t="str">
        <f>"20250621"</f>
        <v>20250621</v>
      </c>
      <c r="E1797" s="1" t="str">
        <f>"广东科技学院"</f>
        <v>广东科技学院</v>
      </c>
      <c r="F1797" s="1" t="str">
        <f>"英语"</f>
        <v>英语</v>
      </c>
      <c r="G1797" s="1" t="str">
        <f>"河南省南阳市内乡县安泰荣盛公馆"</f>
        <v>河南省南阳市内乡县安泰荣盛公馆</v>
      </c>
      <c r="H1797" s="1" t="str">
        <f t="shared" si="891"/>
        <v>无</v>
      </c>
      <c r="I1797" s="1" t="str">
        <f>"202010-202306 广东科学技术学院 商务英语 全日制
202309-202506 广东科技学院         英语专业 全日制"</f>
        <v>202010-202306 广东科学技术学院 商务英语 全日制
202309-202506 广东科技学院         英语专业 全日制</v>
      </c>
    </row>
    <row r="1798" spans="1:9">
      <c r="A1798" s="1" t="str">
        <f>"411325200202122020"</f>
        <v>411325200202122020</v>
      </c>
      <c r="B1798" s="1" t="str">
        <f t="shared" si="892"/>
        <v>共青团员</v>
      </c>
      <c r="C1798" s="1" t="str">
        <f t="shared" si="893"/>
        <v>本科</v>
      </c>
      <c r="D1798" s="1" t="str">
        <f>"20250619"</f>
        <v>20250619</v>
      </c>
      <c r="E1798" s="1" t="str">
        <f>"哈尔滨师范大学"</f>
        <v>哈尔滨师范大学</v>
      </c>
      <c r="F1798" s="1" t="str">
        <f>"生态学"</f>
        <v>生态学</v>
      </c>
      <c r="G1798" s="1" t="str">
        <f>"河南省南阳市内乡县师岗镇王岗村苏刘营渠北45号"</f>
        <v>河南省南阳市内乡县师岗镇王岗村苏刘营渠北45号</v>
      </c>
      <c r="H1798" s="1" t="str">
        <f t="shared" si="891"/>
        <v>无</v>
      </c>
      <c r="I1798" s="1" t="str">
        <f>"202109-202506在哈尔滨师范大学生命科学与技术学院生态学专业就读，是全日制学历；202506-至今在家河南省内乡县师岗镇待业"</f>
        <v>202109-202506在哈尔滨师范大学生命科学与技术学院生态学专业就读，是全日制学历；202506-至今在家河南省内乡县师岗镇待业</v>
      </c>
    </row>
    <row r="1799" spans="1:9">
      <c r="A1799" s="1" t="str">
        <f>"411322199401022028"</f>
        <v>411322199401022028</v>
      </c>
      <c r="B1799" s="1" t="str">
        <f t="shared" ref="B1799:B1801" si="894">"群众"</f>
        <v>群众</v>
      </c>
      <c r="C1799" s="1" t="str">
        <f t="shared" si="893"/>
        <v>本科</v>
      </c>
      <c r="D1799" s="1" t="str">
        <f>"20210701"</f>
        <v>20210701</v>
      </c>
      <c r="E1799" s="1" t="str">
        <f>"南阳师范学院"</f>
        <v>南阳师范学院</v>
      </c>
      <c r="F1799" s="1" t="str">
        <f>"财务管理"</f>
        <v>财务管理</v>
      </c>
      <c r="G1799" s="1" t="str">
        <f>"河南省南阳市高新区建设西路麒麟首府"</f>
        <v>河南省南阳市高新区建设西路麒麟首府</v>
      </c>
      <c r="H1799" s="1" t="str">
        <f t="shared" si="891"/>
        <v>无</v>
      </c>
      <c r="I1799" s="1" t="str">
        <f>"201209-201507 郑州信息科技职业学院 人文财经系会计电算化专业就读 是全日制
201508-201902 在家待业
201903-202107 南阳师范学院  财务管理专业 非全日制
202107-202201 在家待业
202201-202408 南阳市文化馆上班
202408-至今 在家待业"</f>
        <v>201209-201507 郑州信息科技职业学院 人文财经系会计电算化专业就读 是全日制
201508-201902 在家待业
201903-202107 南阳师范学院  财务管理专业 非全日制
202107-202201 在家待业
202201-202408 南阳市文化馆上班
202408-至今 在家待业</v>
      </c>
    </row>
    <row r="1800" spans="1:9">
      <c r="A1800" s="1" t="str">
        <f>"41132719950127032X"</f>
        <v>41132719950127032X</v>
      </c>
      <c r="B1800" s="1" t="str">
        <f t="shared" si="894"/>
        <v>群众</v>
      </c>
      <c r="C1800" s="1" t="str">
        <f t="shared" si="893"/>
        <v>本科</v>
      </c>
      <c r="D1800" s="1" t="str">
        <f>"20170701"</f>
        <v>20170701</v>
      </c>
      <c r="E1800" s="1" t="str">
        <f>"郑州工业应用技术学院"</f>
        <v>郑州工业应用技术学院</v>
      </c>
      <c r="F1800" s="1" t="str">
        <f>"经济学（金融与会计方向）"</f>
        <v>经济学（金融与会计方向）</v>
      </c>
      <c r="G1800" s="1" t="str">
        <f>"内乡县大桥乡封营村"</f>
        <v>内乡县大桥乡封营村</v>
      </c>
      <c r="H1800" s="1" t="str">
        <f>"初级会计"</f>
        <v>初级会计</v>
      </c>
      <c r="I1800" s="1" t="str">
        <f>"2013.09－2017.07 郑州工业应用技术学院 经济学（金融与会计方向）专业学生  全日制本科 2017.02－2018.03 河南荣成汽车租赁有限公司 职员  2018.04 －2019.07浙江链钱科技有限公司 职员 2019.08－2019.11杭州豫新实业有限公司 职员 2019.12－2020.03待业  2020.04－至今内乡县审计局 政府购岗"</f>
        <v>2013.09－2017.07 郑州工业应用技术学院 经济学（金融与会计方向）专业学生  全日制本科 2017.02－2018.03 河南荣成汽车租赁有限公司 职员  2018.04 －2019.07浙江链钱科技有限公司 职员 2019.08－2019.11杭州豫新实业有限公司 职员 2019.12－2020.03待业  2020.04－至今内乡县审计局 政府购岗</v>
      </c>
    </row>
    <row r="1801" spans="1:9">
      <c r="A1801" s="1" t="str">
        <f>"341281199708281039"</f>
        <v>341281199708281039</v>
      </c>
      <c r="B1801" s="1" t="str">
        <f t="shared" si="894"/>
        <v>群众</v>
      </c>
      <c r="C1801" s="1" t="str">
        <f t="shared" si="893"/>
        <v>本科</v>
      </c>
      <c r="D1801" s="1" t="str">
        <f>"2020.07"</f>
        <v>2020.07</v>
      </c>
      <c r="E1801" s="1" t="str">
        <f>"安徽科技学院"</f>
        <v>安徽科技学院</v>
      </c>
      <c r="F1801" s="1" t="str">
        <f>"国际经济与贸易"</f>
        <v>国际经济与贸易</v>
      </c>
      <c r="G1801" s="1" t="str">
        <f>"安徽省亳州市谯城区十八里镇十八里社区涧清家园"</f>
        <v>安徽省亳州市谯城区十八里镇十八里社区涧清家园</v>
      </c>
      <c r="H1801" s="1" t="str">
        <f t="shared" ref="H1801:H1803" si="895">"无"</f>
        <v>无</v>
      </c>
      <c r="I1801" s="1" t="str">
        <f>"2016.09-2020.07  安徽科技学院财经学院国际经济与贸易专业（全日制本科）
2020.08-2023.09  谯城区人民政府办公室    劳务派遣职工
2023.10-至今        亳州市高新区公安分局    辅警"</f>
        <v>2016.09-2020.07  安徽科技学院财经学院国际经济与贸易专业（全日制本科）
2020.08-2023.09  谯城区人民政府办公室    劳务派遣职工
2023.10-至今        亳州市高新区公安分局    辅警</v>
      </c>
    </row>
    <row r="1802" spans="1:9">
      <c r="A1802" s="1" t="str">
        <f>"411327200002011118"</f>
        <v>411327200002011118</v>
      </c>
      <c r="B1802" s="1" t="str">
        <f t="shared" ref="B1802:B1805" si="896">"共青团员"</f>
        <v>共青团员</v>
      </c>
      <c r="C1802" s="1" t="str">
        <f t="shared" si="893"/>
        <v>本科</v>
      </c>
      <c r="D1802" s="1" t="str">
        <f>"20250628"</f>
        <v>20250628</v>
      </c>
      <c r="E1802" s="1" t="str">
        <f>"沈阳城市建设学院"</f>
        <v>沈阳城市建设学院</v>
      </c>
      <c r="F1802" s="1" t="str">
        <f>"土木工程"</f>
        <v>土木工程</v>
      </c>
      <c r="G1802" s="1" t="str">
        <f>"河南省三门峡市渑池县城关镇平板桥"</f>
        <v>河南省三门峡市渑池县城关镇平板桥</v>
      </c>
      <c r="H1802" s="1" t="str">
        <f t="shared" si="895"/>
        <v>无</v>
      </c>
      <c r="I1802" s="1" t="str">
        <f>"202109-202506沈阳城市建设学院土木工程学院土木工程专业就读，是全日制学历 "</f>
        <v>202109-202506沈阳城市建设学院土木工程学院土木工程专业就读，是全日制学历 </v>
      </c>
    </row>
    <row r="1803" spans="1:9">
      <c r="A1803" s="1" t="str">
        <f>"410422200111225919"</f>
        <v>410422200111225919</v>
      </c>
      <c r="B1803" s="1" t="str">
        <f t="shared" si="896"/>
        <v>共青团员</v>
      </c>
      <c r="C1803" s="1" t="str">
        <f t="shared" si="893"/>
        <v>本科</v>
      </c>
      <c r="D1803" s="1" t="str">
        <f>"20240618"</f>
        <v>20240618</v>
      </c>
      <c r="E1803" s="1" t="str">
        <f>"北华航天工业学院"</f>
        <v>北华航天工业学院</v>
      </c>
      <c r="F1803" s="1" t="str">
        <f>"数据科学与大数据技术"</f>
        <v>数据科学与大数据技术</v>
      </c>
      <c r="G1803" s="1" t="str">
        <f>"河南省平顶山市叶县仙台镇邱庄村"</f>
        <v>河南省平顶山市叶县仙台镇邱庄村</v>
      </c>
      <c r="H1803" s="1" t="str">
        <f t="shared" si="895"/>
        <v>无</v>
      </c>
      <c r="I1803" s="1" t="str">
        <f>"20200901-20240618 北华航天工业学院 计算机学院 数据科学与大数据技术"</f>
        <v>20200901-20240618 北华航天工业学院 计算机学院 数据科学与大数据技术</v>
      </c>
    </row>
    <row r="1804" spans="1:9">
      <c r="A1804" s="1" t="str">
        <f>"411324200210125532"</f>
        <v>411324200210125532</v>
      </c>
      <c r="B1804" s="1" t="str">
        <f t="shared" ref="B1804:B1808" si="897">"群众"</f>
        <v>群众</v>
      </c>
      <c r="C1804" s="1" t="str">
        <f t="shared" si="893"/>
        <v>本科</v>
      </c>
      <c r="D1804" s="1" t="str">
        <f>"20250606"</f>
        <v>20250606</v>
      </c>
      <c r="E1804" s="1" t="str">
        <f>"河南开封科技传媒学院"</f>
        <v>河南开封科技传媒学院</v>
      </c>
      <c r="F1804" s="1" t="str">
        <f>"旅游管理"</f>
        <v>旅游管理</v>
      </c>
      <c r="G1804" s="1" t="str">
        <f>"河南省南阳市镇平县彭营镇柳园村杨寨2组138号"</f>
        <v>河南省南阳市镇平县彭营镇柳园村杨寨2组138号</v>
      </c>
      <c r="H1804" s="1" t="str">
        <f>"礼仪主持人职业技能等级证书三级"</f>
        <v>礼仪主持人职业技能等级证书三级</v>
      </c>
      <c r="I1804" s="1" t="str">
        <f>"202109-202506河南开封科技传媒学院就读是全日制学历"</f>
        <v>202109-202506河南开封科技传媒学院就读是全日制学历</v>
      </c>
    </row>
    <row r="1805" spans="1:9">
      <c r="A1805" s="1" t="str">
        <f>"410882200008088678"</f>
        <v>410882200008088678</v>
      </c>
      <c r="B1805" s="1" t="str">
        <f t="shared" si="896"/>
        <v>共青团员</v>
      </c>
      <c r="C1805" s="1" t="str">
        <f>"硕士研究生"</f>
        <v>硕士研究生</v>
      </c>
      <c r="D1805" s="1" t="str">
        <f>"20230731"</f>
        <v>20230731</v>
      </c>
      <c r="E1805" s="1" t="str">
        <f>"香港科技大学"</f>
        <v>香港科技大学</v>
      </c>
      <c r="F1805" s="1" t="str">
        <f>"社会学（环球中国研究）"</f>
        <v>社会学（环球中国研究）</v>
      </c>
      <c r="G1805" s="1" t="str">
        <f>"河南省焦作市沁阳市桂园小区C20"</f>
        <v>河南省焦作市沁阳市桂园小区C20</v>
      </c>
      <c r="H1805" s="1" t="str">
        <f t="shared" ref="H1805:H1816" si="898">"无"</f>
        <v>无</v>
      </c>
      <c r="I1805" s="1" t="str">
        <f>"201809-202207 香港浸会大学 政府与国际关系 学士 全日制；
202209-202307 香港科技大学 社会学 硕士研究生 全日制；
202307-至今 待业"</f>
        <v>201809-202207 香港浸会大学 政府与国际关系 学士 全日制；
202209-202307 香港科技大学 社会学 硕士研究生 全日制；
202307-至今 待业</v>
      </c>
    </row>
    <row r="1806" spans="1:9">
      <c r="A1806" s="1" t="str">
        <f>"41132620020201005X"</f>
        <v>41132620020201005X</v>
      </c>
      <c r="B1806" s="1" t="str">
        <f t="shared" si="897"/>
        <v>群众</v>
      </c>
      <c r="C1806" s="1" t="str">
        <f t="shared" ref="C1806:C1810" si="899">"专科"</f>
        <v>专科</v>
      </c>
      <c r="D1806" s="1" t="str">
        <f>"20240101"</f>
        <v>20240101</v>
      </c>
      <c r="E1806" s="1" t="str">
        <f>"河南省医学高等专科学校"</f>
        <v>河南省医学高等专科学校</v>
      </c>
      <c r="F1806" s="1" t="str">
        <f>"药学"</f>
        <v>药学</v>
      </c>
      <c r="G1806" s="1" t="str">
        <f>"河南省南阳市南召县黄洋路城郊电管所"</f>
        <v>河南省南阳市南召县黄洋路城郊电管所</v>
      </c>
      <c r="H1806" s="1" t="str">
        <f t="shared" si="898"/>
        <v>无</v>
      </c>
      <c r="I1806" s="1" t="str">
        <f>"20210301-20240101河南医专高等专科学校就读，非全日制学历"</f>
        <v>20210301-20240101河南医专高等专科学校就读，非全日制学历</v>
      </c>
    </row>
    <row r="1807" spans="1:9">
      <c r="A1807" s="1" t="str">
        <f>"411528199902160022"</f>
        <v>411528199902160022</v>
      </c>
      <c r="B1807" s="1" t="str">
        <f>"共青团员"</f>
        <v>共青团员</v>
      </c>
      <c r="C1807" s="1" t="str">
        <f>"硕士研究生"</f>
        <v>硕士研究生</v>
      </c>
      <c r="D1807" s="1" t="str">
        <f>"20240612"</f>
        <v>20240612</v>
      </c>
      <c r="E1807" s="1" t="str">
        <f>"佛山大学"</f>
        <v>佛山大学</v>
      </c>
      <c r="F1807" s="1" t="str">
        <f>"渔业发展"</f>
        <v>渔业发展</v>
      </c>
      <c r="G1807" s="1" t="str">
        <f>"河南省郑州市金水区龙翔嘉苑三号院"</f>
        <v>河南省郑州市金水区龙翔嘉苑三号院</v>
      </c>
      <c r="H1807" s="1" t="str">
        <f t="shared" si="898"/>
        <v>无</v>
      </c>
      <c r="I1807" s="1" t="str">
        <f>"201709-202106在河南牧业经济学院的动物医药学院就读动物医学专业，全日制本科学历；
202109-202406在佛山大学的生命科学与工程学院就读渔业发展专业，全日制硕士学历；
202406-202507待业中。"</f>
        <v>201709-202106在河南牧业经济学院的动物医药学院就读动物医学专业，全日制本科学历；
202109-202406在佛山大学的生命科学与工程学院就读渔业发展专业，全日制硕士学历；
202406-202507待业中。</v>
      </c>
    </row>
    <row r="1808" spans="1:9">
      <c r="A1808" s="1" t="str">
        <f>"411330199602294820"</f>
        <v>411330199602294820</v>
      </c>
      <c r="B1808" s="1" t="str">
        <f t="shared" si="897"/>
        <v>群众</v>
      </c>
      <c r="C1808" s="1" t="str">
        <f t="shared" ref="C1808:C1812" si="900">"本科"</f>
        <v>本科</v>
      </c>
      <c r="D1808" s="1" t="str">
        <f>"20190630"</f>
        <v>20190630</v>
      </c>
      <c r="E1808" s="1" t="str">
        <f>"湖北工业大学工程技术学院"</f>
        <v>湖北工业大学工程技术学院</v>
      </c>
      <c r="F1808" s="1" t="str">
        <f>"环境设计"</f>
        <v>环境设计</v>
      </c>
      <c r="G1808" s="1" t="str">
        <f>"河南省南阳市西峡县莲花路与北二环交叉口"</f>
        <v>河南省南阳市西峡县莲花路与北二环交叉口</v>
      </c>
      <c r="H1808" s="1" t="str">
        <f t="shared" si="898"/>
        <v>无</v>
      </c>
      <c r="I1808" s="1" t="str">
        <f>"201509-201906   湖北工业大学工程技术学院     环境设计
201907-201909   清华园教育培训学校                员工
201010-202507    南阳职业学院                           员工              "</f>
        <v>201509-201906   湖北工业大学工程技术学院     环境设计
201907-201909   清华园教育培训学校                员工
201010-202507    南阳职业学院                           员工              </v>
      </c>
    </row>
    <row r="1809" spans="1:9">
      <c r="A1809" s="1" t="str">
        <f>"411102199008120135"</f>
        <v>411102199008120135</v>
      </c>
      <c r="B1809" s="1" t="str">
        <f t="shared" ref="B1809:B1812" si="901">"中共党员"</f>
        <v>中共党员</v>
      </c>
      <c r="C1809" s="1" t="str">
        <f t="shared" si="899"/>
        <v>专科</v>
      </c>
      <c r="D1809" s="1" t="str">
        <f>"20110607"</f>
        <v>20110607</v>
      </c>
      <c r="E1809" s="1" t="str">
        <f>"漯河市职业技术学院"</f>
        <v>漯河市职业技术学院</v>
      </c>
      <c r="F1809" s="1" t="str">
        <f>"电子信息"</f>
        <v>电子信息</v>
      </c>
      <c r="G1809" s="1" t="str">
        <f>"河南省漯河市源汇区银江路1号"</f>
        <v>河南省漯河市源汇区银江路1号</v>
      </c>
      <c r="H1809" s="1" t="str">
        <f t="shared" si="898"/>
        <v>无</v>
      </c>
      <c r="I1809" s="1" t="str">
        <f>"200809-201106 漯河市职业技术学院
201106-201705  待业
201705-至今  漯河市公安局源汇分局辅警"</f>
        <v>200809-201106 漯河市职业技术学院
201106-201705  待业
201705-至今  漯河市公安局源汇分局辅警</v>
      </c>
    </row>
    <row r="1810" spans="1:9">
      <c r="A1810" s="1" t="str">
        <f>"411327200002073917"</f>
        <v>411327200002073917</v>
      </c>
      <c r="B1810" s="1" t="str">
        <f>"群众"</f>
        <v>群众</v>
      </c>
      <c r="C1810" s="1" t="str">
        <f t="shared" si="899"/>
        <v>专科</v>
      </c>
      <c r="D1810" s="1" t="str">
        <f>"20220701"</f>
        <v>20220701</v>
      </c>
      <c r="E1810" s="1" t="str">
        <f>"武汉商贸职业学院"</f>
        <v>武汉商贸职业学院</v>
      </c>
      <c r="F1810" s="1" t="str">
        <f>"艺术设计"</f>
        <v>艺术设计</v>
      </c>
      <c r="G1810" s="1" t="str">
        <f>"河南省南阳市内乡县岞曲镇彭营村"</f>
        <v>河南省南阳市内乡县岞曲镇彭营村</v>
      </c>
      <c r="H1810" s="1" t="str">
        <f t="shared" si="898"/>
        <v>无</v>
      </c>
      <c r="I1810" s="1" t="str">
        <f>"201909-202207  在武汉商贸职业技术学院设计与艺术学院学习艺术设计 是全日制学历
202207-202302 在河南星工建筑工程有限公司任职设计师助理
202302-202402在河南凯创装饰工程有限公司任职设计师
202402-202502因病在河南省南阳市内乡县岞曲乡彭营村待业
202502-至今在南阳嘉邦装饰工程有限公司任职设计师"</f>
        <v>201909-202207  在武汉商贸职业技术学院设计与艺术学院学习艺术设计 是全日制学历
202207-202302 在河南星工建筑工程有限公司任职设计师助理
202302-202402在河南凯创装饰工程有限公司任职设计师
202402-202502因病在河南省南阳市内乡县岞曲乡彭营村待业
202502-至今在南阳嘉邦装饰工程有限公司任职设计师</v>
      </c>
    </row>
    <row r="1811" spans="1:9">
      <c r="A1811" s="1" t="str">
        <f>"411525200201185135"</f>
        <v>411525200201185135</v>
      </c>
      <c r="B1811" s="1" t="str">
        <f t="shared" si="901"/>
        <v>中共党员</v>
      </c>
      <c r="C1811" s="1" t="str">
        <f t="shared" si="900"/>
        <v>本科</v>
      </c>
      <c r="D1811" s="1" t="str">
        <f>"20240603"</f>
        <v>20240603</v>
      </c>
      <c r="E1811" s="1" t="str">
        <f>"安阳工学院"</f>
        <v>安阳工学院</v>
      </c>
      <c r="F1811" s="1" t="str">
        <f>"信息与计算科学"</f>
        <v>信息与计算科学</v>
      </c>
      <c r="G1811" s="1" t="str">
        <f>"河南省信阳市固始县岳桥社区"</f>
        <v>河南省信阳市固始县岳桥社区</v>
      </c>
      <c r="H1811" s="1" t="str">
        <f t="shared" si="898"/>
        <v>无</v>
      </c>
      <c r="I1811" s="1" t="str">
        <f>"202009-202406 安阳工学院 数学与信息科学学院 信息与计算科学专业 就读 全日制本科。"</f>
        <v>202009-202406 安阳工学院 数学与信息科学学院 信息与计算科学专业 就读 全日制本科。</v>
      </c>
    </row>
    <row r="1812" spans="1:9">
      <c r="A1812" s="1" t="str">
        <f>"411327199904031139"</f>
        <v>411327199904031139</v>
      </c>
      <c r="B1812" s="1" t="str">
        <f t="shared" si="901"/>
        <v>中共党员</v>
      </c>
      <c r="C1812" s="1" t="str">
        <f t="shared" si="900"/>
        <v>本科</v>
      </c>
      <c r="D1812" s="1" t="str">
        <f>"20220701"</f>
        <v>20220701</v>
      </c>
      <c r="E1812" s="1" t="str">
        <f>"大庆师范学院"</f>
        <v>大庆师范学院</v>
      </c>
      <c r="F1812" s="1" t="str">
        <f>"汉语国际教育"</f>
        <v>汉语国际教育</v>
      </c>
      <c r="G1812" s="1" t="str">
        <f>"南阳市桐柏县"</f>
        <v>南阳市桐柏县</v>
      </c>
      <c r="H1812" s="1" t="str">
        <f t="shared" si="898"/>
        <v>无</v>
      </c>
      <c r="I1812" s="1" t="str">
        <f>"2018.09-2022.07 大庆师范学院 文学院汉语国际教育 全日制学生
2022.07-2024.10 菊潭高级中学 教师
2024.10-至今 桐柏县人大常委会办公室"</f>
        <v>2018.09-2022.07 大庆师范学院 文学院汉语国际教育 全日制学生
2022.07-2024.10 菊潭高级中学 教师
2024.10-至今 桐柏县人大常委会办公室</v>
      </c>
    </row>
    <row r="1813" spans="1:9">
      <c r="A1813" s="1" t="str">
        <f>"411327199912180046"</f>
        <v>411327199912180046</v>
      </c>
      <c r="B1813" s="1" t="str">
        <f t="shared" ref="B1813:B1817" si="902">"群众"</f>
        <v>群众</v>
      </c>
      <c r="C1813" s="1" t="str">
        <f>"专科"</f>
        <v>专科</v>
      </c>
      <c r="D1813" s="1" t="str">
        <f>"20200701"</f>
        <v>20200701</v>
      </c>
      <c r="E1813" s="1" t="str">
        <f>"南阳师范学院"</f>
        <v>南阳师范学院</v>
      </c>
      <c r="F1813" s="1" t="str">
        <f>"学前教育"</f>
        <v>学前教育</v>
      </c>
      <c r="G1813" s="1" t="str">
        <f>"车站三色鸽"</f>
        <v>车站三色鸽</v>
      </c>
      <c r="H1813" s="1" t="str">
        <f t="shared" si="898"/>
        <v>无</v>
      </c>
      <c r="I1813" s="1" t="str">
        <f>"201509-202006 在南阳师范学院学前教育就读.是全日制学历
202007-至今 待业"</f>
        <v>201509-202006 在南阳师范学院学前教育就读.是全日制学历
202007-至今 待业</v>
      </c>
    </row>
    <row r="1814" spans="1:9">
      <c r="A1814" s="1" t="str">
        <f>"411327200208200643"</f>
        <v>411327200208200643</v>
      </c>
      <c r="B1814" s="1" t="str">
        <f>"共青团员"</f>
        <v>共青团员</v>
      </c>
      <c r="C1814" s="1" t="str">
        <f t="shared" ref="C1814:C1818" si="903">"本科"</f>
        <v>本科</v>
      </c>
      <c r="D1814" s="1" t="str">
        <f>"20240625"</f>
        <v>20240625</v>
      </c>
      <c r="E1814" s="1" t="str">
        <f>"郑州西亚斯学院"</f>
        <v>郑州西亚斯学院</v>
      </c>
      <c r="F1814" s="1" t="str">
        <f>"金融学"</f>
        <v>金融学</v>
      </c>
      <c r="G1814" s="1" t="str">
        <f>"南阳市内乡县马山口镇"</f>
        <v>南阳市内乡县马山口镇</v>
      </c>
      <c r="H1814" s="1" t="str">
        <f t="shared" si="898"/>
        <v>无</v>
      </c>
      <c r="I1814" s="1" t="str">
        <f>"202009-202407 郑州西亚斯学院 堪萨斯国际学院 金融学专业就读
202407-至今 待业"</f>
        <v>202009-202407 郑州西亚斯学院 堪萨斯国际学院 金融学专业就读
202407-至今 待业</v>
      </c>
    </row>
    <row r="1815" spans="1:9">
      <c r="A1815" s="1" t="str">
        <f>"411327200110103714"</f>
        <v>411327200110103714</v>
      </c>
      <c r="B1815" s="1" t="str">
        <f>"共青团员"</f>
        <v>共青团员</v>
      </c>
      <c r="C1815" s="1" t="str">
        <f t="shared" si="903"/>
        <v>本科</v>
      </c>
      <c r="D1815" s="1" t="str">
        <f>"20240625"</f>
        <v>20240625</v>
      </c>
      <c r="E1815" s="1" t="str">
        <f>"河南财政金融学院"</f>
        <v>河南财政金融学院</v>
      </c>
      <c r="F1815" s="1" t="str">
        <f>"税收学"</f>
        <v>税收学</v>
      </c>
      <c r="G1815" s="1" t="str">
        <f>"河南省南阳市内乡县桃溪镇吴沟村"</f>
        <v>河南省南阳市内乡县桃溪镇吴沟村</v>
      </c>
      <c r="H1815" s="1" t="str">
        <f t="shared" si="898"/>
        <v>无</v>
      </c>
      <c r="I1815" s="1" t="str">
        <f>"20200901-20240625 河南财政金融学院（税收学  全日制）
20240625至今  待业"</f>
        <v>20200901-20240625 河南财政金融学院（税收学  全日制）
20240625至今  待业</v>
      </c>
    </row>
    <row r="1816" spans="1:9">
      <c r="A1816" s="1" t="str">
        <f>"410481200001289014"</f>
        <v>410481200001289014</v>
      </c>
      <c r="B1816" s="1" t="str">
        <f t="shared" si="902"/>
        <v>群众</v>
      </c>
      <c r="C1816" s="1" t="str">
        <f t="shared" si="903"/>
        <v>本科</v>
      </c>
      <c r="D1816" s="1" t="str">
        <f>"20220605"</f>
        <v>20220605</v>
      </c>
      <c r="E1816" s="1" t="str">
        <f>"大连海洋大学"</f>
        <v>大连海洋大学</v>
      </c>
      <c r="F1816" s="1" t="str">
        <f>"能源与动力工程"</f>
        <v>能源与动力工程</v>
      </c>
      <c r="G1816" s="1" t="str">
        <f>"河南省平顶山市舞钢市垭口街道"</f>
        <v>河南省平顶山市舞钢市垭口街道</v>
      </c>
      <c r="H1816" s="1" t="str">
        <f t="shared" si="898"/>
        <v>无</v>
      </c>
      <c r="I1816" s="1" t="str">
        <f>"201809-202206 大连海洋大学在机械与动力工程学院能源与动力工程专业就读 全日制本科学历
202207-202404 太阳雨集团有限公司任职售后服务工程师"</f>
        <v>201809-202206 大连海洋大学在机械与动力工程学院能源与动力工程专业就读 全日制本科学历
202207-202404 太阳雨集团有限公司任职售后服务工程师</v>
      </c>
    </row>
    <row r="1817" spans="1:9">
      <c r="A1817" s="1" t="str">
        <f>"411327199408120036"</f>
        <v>411327199408120036</v>
      </c>
      <c r="B1817" s="1" t="str">
        <f t="shared" si="902"/>
        <v>群众</v>
      </c>
      <c r="C1817" s="1" t="str">
        <f t="shared" si="903"/>
        <v>本科</v>
      </c>
      <c r="D1817" s="1" t="str">
        <f>"20170701"</f>
        <v>20170701</v>
      </c>
      <c r="E1817" s="1" t="str">
        <f>"河南科技大学"</f>
        <v>河南科技大学</v>
      </c>
      <c r="F1817" s="1" t="str">
        <f>"法学"</f>
        <v>法学</v>
      </c>
      <c r="G1817" s="1" t="str">
        <f>"内乡县教育路居委会155号"</f>
        <v>内乡县教育路居委会155号</v>
      </c>
      <c r="H1817" s="1" t="str">
        <f>"法律职业资格证"</f>
        <v>法律职业资格证</v>
      </c>
      <c r="I1817" s="1" t="str">
        <f>"201309-201707 河南科技大学法学院 全日制本科学历 就读"</f>
        <v>201309-201707 河南科技大学法学院 全日制本科学历 就读</v>
      </c>
    </row>
    <row r="1818" spans="1:9">
      <c r="A1818" s="1" t="str">
        <f>"411302200212080368"</f>
        <v>411302200212080368</v>
      </c>
      <c r="B1818" s="1" t="str">
        <f>"中共党员"</f>
        <v>中共党员</v>
      </c>
      <c r="C1818" s="1" t="str">
        <f t="shared" si="903"/>
        <v>本科</v>
      </c>
      <c r="D1818" s="1" t="str">
        <f>"20250701"</f>
        <v>20250701</v>
      </c>
      <c r="E1818" s="1" t="str">
        <f>"通化师范学院"</f>
        <v>通化师范学院</v>
      </c>
      <c r="F1818" s="1" t="str">
        <f>"财务管理"</f>
        <v>财务管理</v>
      </c>
      <c r="G1818" s="1" t="str">
        <f>"河南省南阳市宛城区滨河园丁苑"</f>
        <v>河南省南阳市宛城区滨河园丁苑</v>
      </c>
      <c r="H1818" s="1" t="str">
        <f>"初级会计资格证"</f>
        <v>初级会计资格证</v>
      </c>
      <c r="I1818" s="1" t="str">
        <f>"202109—202507  通化师范学院  财务管理"</f>
        <v>202109—202507  通化师范学院  财务管理</v>
      </c>
    </row>
    <row r="1819" spans="1:9">
      <c r="A1819" s="1" t="str">
        <f>"411327200408213529"</f>
        <v>411327200408213529</v>
      </c>
      <c r="B1819" s="1" t="str">
        <f t="shared" ref="B1819:B1824" si="904">"群众"</f>
        <v>群众</v>
      </c>
      <c r="C1819" s="1" t="str">
        <f t="shared" ref="C1819:C1825" si="905">"专科"</f>
        <v>专科</v>
      </c>
      <c r="D1819" s="1" t="str">
        <f>"202407"</f>
        <v>202407</v>
      </c>
      <c r="E1819" s="1" t="str">
        <f>"驻马店幼儿师范高等专科学校"</f>
        <v>驻马店幼儿师范高等专科学校</v>
      </c>
      <c r="F1819" s="1" t="str">
        <f>"学前教育（师范）"</f>
        <v>学前教育（师范）</v>
      </c>
      <c r="G1819" s="1" t="str">
        <f>"河南省南阳市内乡县板场乡"</f>
        <v>河南省南阳市内乡县板场乡</v>
      </c>
      <c r="H1819" s="1" t="str">
        <f t="shared" ref="H1819:H1836" si="906">"无"</f>
        <v>无</v>
      </c>
      <c r="I1819" s="1" t="str">
        <f>"202209-202407 驻马店幼儿师范高等专科学校
202407-202507河南省南阳市内乡县待业"</f>
        <v>202209-202407 驻马店幼儿师范高等专科学校
202407-202507河南省南阳市内乡县待业</v>
      </c>
    </row>
    <row r="1820" spans="1:9">
      <c r="A1820" s="1" t="str">
        <f>"411323199104062636"</f>
        <v>411323199104062636</v>
      </c>
      <c r="B1820" s="1" t="str">
        <f t="shared" si="904"/>
        <v>群众</v>
      </c>
      <c r="C1820" s="1" t="str">
        <f t="shared" si="905"/>
        <v>专科</v>
      </c>
      <c r="D1820" s="1" t="str">
        <f>"20150701"</f>
        <v>20150701</v>
      </c>
      <c r="E1820" s="1" t="str">
        <f>"周口科技职业学院"</f>
        <v>周口科技职业学院</v>
      </c>
      <c r="F1820" s="1" t="str">
        <f>"工商企业管理"</f>
        <v>工商企业管理</v>
      </c>
      <c r="G1820" s="1" t="str">
        <f>"河南省南阳市淅川县淅西路口邦德汽车美容楼上4楼"</f>
        <v>河南省南阳市淅川县淅西路口邦德汽车美容楼上4楼</v>
      </c>
      <c r="H1820" s="1" t="str">
        <f>"20206501921000829"</f>
        <v>20206501921000829</v>
      </c>
      <c r="I1820" s="1" t="str">
        <f>"201209-201506在在周口科技职业学院经济管理系工商企业管理专业全日制就读。"</f>
        <v>201209-201506在在周口科技职业学院经济管理系工商企业管理专业全日制就读。</v>
      </c>
    </row>
    <row r="1821" spans="1:9">
      <c r="A1821" s="1" t="str">
        <f>"41132719990312005X"</f>
        <v>41132719990312005X</v>
      </c>
      <c r="B1821" s="1" t="str">
        <f t="shared" si="904"/>
        <v>群众</v>
      </c>
      <c r="C1821" s="1" t="str">
        <f t="shared" ref="C1821:C1823" si="907">"本科"</f>
        <v>本科</v>
      </c>
      <c r="D1821" s="1" t="str">
        <f>"20210630"</f>
        <v>20210630</v>
      </c>
      <c r="E1821" s="1" t="str">
        <f>"郑州轻工业大学"</f>
        <v>郑州轻工业大学</v>
      </c>
      <c r="F1821" s="1" t="str">
        <f>"法学"</f>
        <v>法学</v>
      </c>
      <c r="G1821" s="1" t="str">
        <f>"河南省南阳市内乡县郦都大道"</f>
        <v>河南省南阳市内乡县郦都大道</v>
      </c>
      <c r="H1821" s="1" t="str">
        <f t="shared" si="906"/>
        <v>无</v>
      </c>
      <c r="I1821" s="1" t="str">
        <f>"201709-202106 郑州轻工业大学法学院法学专业就读，全日制学历"</f>
        <v>201709-202106 郑州轻工业大学法学院法学专业就读，全日制学历</v>
      </c>
    </row>
    <row r="1822" spans="1:9">
      <c r="A1822" s="1" t="str">
        <f>"13040620000927061X"</f>
        <v>13040620000927061X</v>
      </c>
      <c r="B1822" s="1" t="str">
        <f t="shared" si="904"/>
        <v>群众</v>
      </c>
      <c r="C1822" s="1" t="str">
        <f t="shared" si="907"/>
        <v>本科</v>
      </c>
      <c r="D1822" s="1" t="str">
        <f>"20230630"</f>
        <v>20230630</v>
      </c>
      <c r="E1822" s="1" t="str">
        <f>"河北外国语学院"</f>
        <v>河北外国语学院</v>
      </c>
      <c r="F1822" s="1" t="str">
        <f>"网络工程"</f>
        <v>网络工程</v>
      </c>
      <c r="G1822" s="1" t="str">
        <f>"河南省南阳市内乡县大桥乡南王村"</f>
        <v>河南省南阳市内乡县大桥乡南王村</v>
      </c>
      <c r="H1822" s="1" t="str">
        <f t="shared" si="906"/>
        <v>无</v>
      </c>
      <c r="I1822" s="1" t="str">
        <f>"201809-202106唐山职业技术学院就读全日制专科
202109-202306河北外国语学院就读全日制本科"</f>
        <v>201809-202106唐山职业技术学院就读全日制专科
202109-202306河北外国语学院就读全日制本科</v>
      </c>
    </row>
    <row r="1823" spans="1:9">
      <c r="A1823" s="1" t="str">
        <f>"340122199509065417"</f>
        <v>340122199509065417</v>
      </c>
      <c r="B1823" s="1" t="str">
        <f t="shared" si="904"/>
        <v>群众</v>
      </c>
      <c r="C1823" s="1" t="str">
        <f t="shared" si="907"/>
        <v>本科</v>
      </c>
      <c r="D1823" s="1" t="str">
        <f>"2017-06-15"</f>
        <v>2017-06-15</v>
      </c>
      <c r="E1823" s="1" t="str">
        <f>"河海大学文天学院（现皖江工学院）"</f>
        <v>河海大学文天学院（现皖江工学院）</v>
      </c>
      <c r="F1823" s="1" t="str">
        <f>"酒店管理"</f>
        <v>酒店管理</v>
      </c>
      <c r="G1823" s="1" t="str">
        <f>"安徽省合肥市包河区龙湖景粼玖序C区G7-501室"</f>
        <v>安徽省合肥市包河区龙湖景粼玖序C区G7-501室</v>
      </c>
      <c r="H1823" s="1" t="str">
        <f t="shared" si="906"/>
        <v>无</v>
      </c>
      <c r="I1823" s="1" t="str">
        <f>"201309-201706 河海大学文天学院 管理系酒店管理专业 全日制本科学历
201707-201807 安徽世联行房地产顾问有限公司 营销策划岗
201807-202403 安徽合富辉煌房地产顾问有限公司 前期策划岗
202404-至今 合肥明洁到家家政服务有限公司 总经理助理岗"</f>
        <v>201309-201706 河海大学文天学院 管理系酒店管理专业 全日制本科学历
201707-201807 安徽世联行房地产顾问有限公司 营销策划岗
201807-202403 安徽合富辉煌房地产顾问有限公司 前期策划岗
202404-至今 合肥明洁到家家政服务有限公司 总经理助理岗</v>
      </c>
    </row>
    <row r="1824" spans="1:9">
      <c r="A1824" s="1" t="str">
        <f>"411302199807020828"</f>
        <v>411302199807020828</v>
      </c>
      <c r="B1824" s="1" t="str">
        <f t="shared" si="904"/>
        <v>群众</v>
      </c>
      <c r="C1824" s="1" t="str">
        <f t="shared" si="905"/>
        <v>专科</v>
      </c>
      <c r="D1824" s="1" t="str">
        <f>"20180702"</f>
        <v>20180702</v>
      </c>
      <c r="E1824" s="1" t="str">
        <f>"河南财经政法大学"</f>
        <v>河南财经政法大学</v>
      </c>
      <c r="F1824" s="1" t="str">
        <f>"计算机与信息管理"</f>
        <v>计算机与信息管理</v>
      </c>
      <c r="G1824" s="1" t="str">
        <f>"河南省南阳市宛城区汉冶路万家园华鑫苑"</f>
        <v>河南省南阳市宛城区汉冶路万家园华鑫苑</v>
      </c>
      <c r="H1824" s="1" t="str">
        <f t="shared" si="906"/>
        <v>无</v>
      </c>
      <c r="I1824" s="1" t="str">
        <f>"201609—201807就读于河南财经政法大学计算机与信息管理专业"</f>
        <v>201609—201807就读于河南财经政法大学计算机与信息管理专业</v>
      </c>
    </row>
    <row r="1825" spans="1:9">
      <c r="A1825" s="1" t="str">
        <f>"411325200312194922"</f>
        <v>411325200312194922</v>
      </c>
      <c r="B1825" s="1" t="str">
        <f t="shared" ref="B1825:B1831" si="908">"共青团员"</f>
        <v>共青团员</v>
      </c>
      <c r="C1825" s="1" t="str">
        <f t="shared" si="905"/>
        <v>专科</v>
      </c>
      <c r="D1825" s="1" t="str">
        <f>"20250620"</f>
        <v>20250620</v>
      </c>
      <c r="E1825" s="1" t="str">
        <f>"安阳幼儿师范高等专科学校"</f>
        <v>安阳幼儿师范高等专科学校</v>
      </c>
      <c r="F1825" s="1" t="str">
        <f>"数字媒体技术"</f>
        <v>数字媒体技术</v>
      </c>
      <c r="G1825" s="1" t="str">
        <f>"河南省南阳市内乡县灌涨镇水田村"</f>
        <v>河南省南阳市内乡县灌涨镇水田村</v>
      </c>
      <c r="H1825" s="1" t="str">
        <f t="shared" si="906"/>
        <v>无</v>
      </c>
      <c r="I1825" s="1" t="str">
        <f>"202209-202506在安阳幼儿师范高等专科学校应用技术学院数字媒体技术专业就读，是全日制学历。"</f>
        <v>202209-202506在安阳幼儿师范高等专科学校应用技术学院数字媒体技术专业就读，是全日制学历。</v>
      </c>
    </row>
    <row r="1826" spans="1:9">
      <c r="A1826" s="1" t="str">
        <f>"411327199605240037"</f>
        <v>411327199605240037</v>
      </c>
      <c r="B1826" s="1" t="str">
        <f>"群众"</f>
        <v>群众</v>
      </c>
      <c r="C1826" s="1" t="str">
        <f t="shared" ref="C1826:C1838" si="909">"本科"</f>
        <v>本科</v>
      </c>
      <c r="D1826" s="1" t="str">
        <f>"20180701"</f>
        <v>20180701</v>
      </c>
      <c r="E1826" s="1" t="str">
        <f>"郑州成功财经学院"</f>
        <v>郑州成功财经学院</v>
      </c>
      <c r="F1826" s="1" t="str">
        <f>"环境设计"</f>
        <v>环境设计</v>
      </c>
      <c r="G1826" s="1" t="str">
        <f>"河南省南阳市内乡县城关镇渚阳大街北14巷40号"</f>
        <v>河南省南阳市内乡县城关镇渚阳大街北14巷40号</v>
      </c>
      <c r="H1826" s="1" t="str">
        <f t="shared" si="906"/>
        <v>无</v>
      </c>
      <c r="I1826" s="1" t="str">
        <f>"2014.9.1至2018.7.1在郑州成功财经学院环境设计专业就读
2018.8月至2022.12月待业
2023.1月至12月在利安人寿股份有限公司南阳支公司在岗
2024.1月至今待业
"</f>
        <v>2014.9.1至2018.7.1在郑州成功财经学院环境设计专业就读
2018.8月至2022.12月待业
2023.1月至12月在利安人寿股份有限公司南阳支公司在岗
2024.1月至今待业
</v>
      </c>
    </row>
    <row r="1827" spans="1:9">
      <c r="A1827" s="1" t="str">
        <f>"411303200407010163"</f>
        <v>411303200407010163</v>
      </c>
      <c r="B1827" s="1" t="str">
        <f t="shared" si="908"/>
        <v>共青团员</v>
      </c>
      <c r="C1827" s="1" t="str">
        <f>"专科"</f>
        <v>专科</v>
      </c>
      <c r="D1827" s="1" t="str">
        <f>"20250701"</f>
        <v>20250701</v>
      </c>
      <c r="E1827" s="1" t="str">
        <f>"无锡城市职业技术学院"</f>
        <v>无锡城市职业技术学院</v>
      </c>
      <c r="F1827" s="1" t="str">
        <f>"酒店管理与数字化运营"</f>
        <v>酒店管理与数字化运营</v>
      </c>
      <c r="G1827" s="1" t="str">
        <f>"河南省南阳市宛城区 宛城区姚庄社区小陈庄153号"</f>
        <v>河南省南阳市宛城区 宛城区姚庄社区小陈庄153号</v>
      </c>
      <c r="H1827" s="1" t="str">
        <f t="shared" si="906"/>
        <v>无</v>
      </c>
      <c r="I1827" s="1" t="str">
        <f>"20220911-20250701 无锡城市职业技术学院 就读
20250702-至今在家待业"</f>
        <v>20220911-20250701 无锡城市职业技术学院 就读
20250702-至今在家待业</v>
      </c>
    </row>
    <row r="1828" spans="1:9">
      <c r="A1828" s="1" t="str">
        <f>"411327199701161128"</f>
        <v>411327199701161128</v>
      </c>
      <c r="B1828" s="1" t="str">
        <f t="shared" ref="B1828:B1834" si="910">"群众"</f>
        <v>群众</v>
      </c>
      <c r="C1828" s="1" t="str">
        <f>"硕士研究生"</f>
        <v>硕士研究生</v>
      </c>
      <c r="D1828" s="1" t="str">
        <f>"20220607"</f>
        <v>20220607</v>
      </c>
      <c r="E1828" s="1" t="str">
        <f>"河南师范大学"</f>
        <v>河南师范大学</v>
      </c>
      <c r="F1828" s="1" t="str">
        <f>"环境工程"</f>
        <v>环境工程</v>
      </c>
      <c r="G1828" s="1" t="str">
        <f>"河南省南阳市内乡县赤眉镇"</f>
        <v>河南省南阳市内乡县赤眉镇</v>
      </c>
      <c r="H1828" s="1" t="str">
        <f t="shared" si="906"/>
        <v>无</v>
      </c>
      <c r="I1828" s="1" t="str">
        <f>"201509-201906在太原科技大学环境工程专业就读本科；
201909-202206在河南师范大学环境工程专业就读硕士；
202206-202409在武汉大学（肇庆）资源与环境技术研究院工作；
202409至今在赤眉镇待业。"</f>
        <v>201509-201906在太原科技大学环境工程专业就读本科；
201909-202206在河南师范大学环境工程专业就读硕士；
202206-202409在武汉大学（肇庆）资源与环境技术研究院工作；
202409至今在赤眉镇待业。</v>
      </c>
    </row>
    <row r="1829" ht="94.5" spans="1:9">
      <c r="A1829" s="1" t="str">
        <f>"41152619930808073X"</f>
        <v>41152619930808073X</v>
      </c>
      <c r="B1829" s="1" t="str">
        <f t="shared" si="908"/>
        <v>共青团员</v>
      </c>
      <c r="C1829" s="1" t="str">
        <f t="shared" si="909"/>
        <v>本科</v>
      </c>
      <c r="D1829" s="1" t="str">
        <f>"2017-06"</f>
        <v>2017-06</v>
      </c>
      <c r="E1829" s="1" t="str">
        <f>"吉林化工学院"</f>
        <v>吉林化工学院</v>
      </c>
      <c r="F1829" s="1" t="str">
        <f>"环境科学与工程"</f>
        <v>环境科学与工程</v>
      </c>
      <c r="G1829" s="1" t="str">
        <f>"河南省信阳市潢川县弋阳街道和美家园"</f>
        <v>河南省信阳市潢川县弋阳街道和美家园</v>
      </c>
      <c r="H1829" s="1" t="str">
        <f t="shared" si="906"/>
        <v>无</v>
      </c>
      <c r="I1829" s="3" t="s">
        <v>232</v>
      </c>
    </row>
    <row r="1830" spans="1:9">
      <c r="A1830" s="1" t="str">
        <f>"41132620000629442X"</f>
        <v>41132620000629442X</v>
      </c>
      <c r="B1830" s="1" t="str">
        <f t="shared" si="908"/>
        <v>共青团员</v>
      </c>
      <c r="C1830" s="1" t="str">
        <f t="shared" si="909"/>
        <v>本科</v>
      </c>
      <c r="D1830" s="1" t="str">
        <f>"20230701"</f>
        <v>20230701</v>
      </c>
      <c r="E1830" s="1" t="str">
        <f>"商丘学院"</f>
        <v>商丘学院</v>
      </c>
      <c r="F1830" s="1" t="str">
        <f>"视觉传达设计"</f>
        <v>视觉传达设计</v>
      </c>
      <c r="G1830" s="1" t="str">
        <f>"河南省南阳市南召县杜村"</f>
        <v>河南省南阳市南召县杜村</v>
      </c>
      <c r="H1830" s="1" t="str">
        <f t="shared" si="906"/>
        <v>无</v>
      </c>
      <c r="I1830" s="1" t="str">
        <f>"201909-202307商丘学院应用科技学院艺术传媒系视觉传达专业就读，是全日制；202307-至今在河南省南阳市待业"</f>
        <v>201909-202307商丘学院应用科技学院艺术传媒系视觉传达专业就读，是全日制；202307-至今在河南省南阳市待业</v>
      </c>
    </row>
    <row r="1831" spans="1:9">
      <c r="A1831" s="1" t="str">
        <f>"513902199809135838"</f>
        <v>513902199809135838</v>
      </c>
      <c r="B1831" s="1" t="str">
        <f t="shared" si="908"/>
        <v>共青团员</v>
      </c>
      <c r="C1831" s="1" t="str">
        <f t="shared" si="909"/>
        <v>本科</v>
      </c>
      <c r="D1831" s="1" t="str">
        <f>"20200618"</f>
        <v>20200618</v>
      </c>
      <c r="E1831" s="1" t="str">
        <f>"四川轻化工大学"</f>
        <v>四川轻化工大学</v>
      </c>
      <c r="F1831" s="1" t="str">
        <f>"给排水科学与工程"</f>
        <v>给排水科学与工程</v>
      </c>
      <c r="G1831" s="1" t="str">
        <f>"四川省成都市锦江区茶花街"</f>
        <v>四川省成都市锦江区茶花街</v>
      </c>
      <c r="H1831" s="1" t="str">
        <f t="shared" si="906"/>
        <v>无</v>
      </c>
      <c r="I1831" s="1" t="str">
        <f>"201609—202006  四川轻化工大学土木工程学院给排水科学与工程专业就读（全日制 获得工学学士学位）
2020.09—至今      待业
"</f>
        <v>201609—202006  四川轻化工大学土木工程学院给排水科学与工程专业就读（全日制 获得工学学士学位）
2020.09—至今      待业
</v>
      </c>
    </row>
    <row r="1832" spans="1:9">
      <c r="A1832" s="1" t="str">
        <f>"411326200204044851"</f>
        <v>411326200204044851</v>
      </c>
      <c r="B1832" s="1" t="str">
        <f t="shared" si="910"/>
        <v>群众</v>
      </c>
      <c r="C1832" s="1" t="str">
        <f t="shared" si="909"/>
        <v>本科</v>
      </c>
      <c r="D1832" s="1" t="str">
        <f>"20230701"</f>
        <v>20230701</v>
      </c>
      <c r="E1832" s="1" t="str">
        <f>"华北水利水电大学"</f>
        <v>华北水利水电大学</v>
      </c>
      <c r="F1832" s="1" t="str">
        <f>"计算机科学与技术"</f>
        <v>计算机科学与技术</v>
      </c>
      <c r="G1832" s="1" t="str">
        <f>"河南省南阳市南召县板山坪镇"</f>
        <v>河南省南阳市南召县板山坪镇</v>
      </c>
      <c r="H1832" s="1" t="str">
        <f t="shared" si="906"/>
        <v>无</v>
      </c>
      <c r="I1832" s="1" t="str">
        <f>"2019.09--2023.06华北水利水电大学信息工程学院计算机科学与技术专业
就读 全日制本科学历
"</f>
        <v>2019.09--2023.06华北水利水电大学信息工程学院计算机科学与技术专业
就读 全日制本科学历
</v>
      </c>
    </row>
    <row r="1833" spans="1:9">
      <c r="A1833" s="1" t="str">
        <f>"411327200305230027"</f>
        <v>411327200305230027</v>
      </c>
      <c r="B1833" s="1" t="str">
        <f t="shared" si="910"/>
        <v>群众</v>
      </c>
      <c r="C1833" s="1" t="str">
        <f t="shared" si="909"/>
        <v>本科</v>
      </c>
      <c r="D1833" s="1" t="str">
        <f>"20250705"</f>
        <v>20250705</v>
      </c>
      <c r="E1833" s="1" t="str">
        <f>"西安信息职业大学"</f>
        <v>西安信息职业大学</v>
      </c>
      <c r="F1833" s="1" t="str">
        <f>"现代通信工程"</f>
        <v>现代通信工程</v>
      </c>
      <c r="G1833" s="1" t="str">
        <f>"河南省南阳市内乡县师苑小区"</f>
        <v>河南省南阳市内乡县师苑小区</v>
      </c>
      <c r="H1833" s="1" t="str">
        <f t="shared" si="906"/>
        <v>无</v>
      </c>
      <c r="I1833" s="1" t="str">
        <f>"202109-202507西安信息职业大学信息与通信工程学院现代通信工程专业就读"</f>
        <v>202109-202507西安信息职业大学信息与通信工程学院现代通信工程专业就读</v>
      </c>
    </row>
    <row r="1834" spans="1:9">
      <c r="A1834" s="1" t="str">
        <f>"410923199004110014"</f>
        <v>410923199004110014</v>
      </c>
      <c r="B1834" s="1" t="str">
        <f t="shared" si="910"/>
        <v>群众</v>
      </c>
      <c r="C1834" s="1" t="str">
        <f t="shared" si="909"/>
        <v>本科</v>
      </c>
      <c r="D1834" s="1" t="str">
        <f>"20200701"</f>
        <v>20200701</v>
      </c>
      <c r="E1834" s="1" t="str">
        <f>"河南科技大学"</f>
        <v>河南科技大学</v>
      </c>
      <c r="F1834" s="1" t="str">
        <f>"土木工程"</f>
        <v>土木工程</v>
      </c>
      <c r="G1834" s="1" t="str">
        <f>"河南省濮阳市东湖方舟"</f>
        <v>河南省濮阳市东湖方舟</v>
      </c>
      <c r="H1834" s="1" t="str">
        <f t="shared" si="906"/>
        <v>无</v>
      </c>
      <c r="I1834" s="1" t="str">
        <f>"201109-201407  河南建筑职业技术学院土木工程系建筑工程技术专业，全日制就读
201803-202007  河南科技大学土木工程专业，非全日制就读
201407-201903  河南省宏大建设工程有限公司
201904-202405  郑州市派遣人才有限公司（派遣至中铁建设集团有限公司）
202405-至今  待业"</f>
        <v>201109-201407  河南建筑职业技术学院土木工程系建筑工程技术专业，全日制就读
201803-202007  河南科技大学土木工程专业，非全日制就读
201407-201903  河南省宏大建设工程有限公司
201904-202405  郑州市派遣人才有限公司（派遣至中铁建设集团有限公司）
202405-至今  待业</v>
      </c>
    </row>
    <row r="1835" spans="1:9">
      <c r="A1835" s="1" t="str">
        <f>"411502200005277011"</f>
        <v>411502200005277011</v>
      </c>
      <c r="B1835" s="1" t="str">
        <f>"中共党员"</f>
        <v>中共党员</v>
      </c>
      <c r="C1835" s="1" t="str">
        <f t="shared" si="909"/>
        <v>本科</v>
      </c>
      <c r="D1835" s="1" t="str">
        <f>"2024.07"</f>
        <v>2024.07</v>
      </c>
      <c r="E1835" s="1" t="str">
        <f>"黄河交通学院"</f>
        <v>黄河交通学院</v>
      </c>
      <c r="F1835" s="1" t="str">
        <f>"能源与动力工程"</f>
        <v>能源与动力工程</v>
      </c>
      <c r="G1835" s="1" t="str">
        <f>"河南省信阳市浉河区谭家河乡土门村25号"</f>
        <v>河南省信阳市浉河区谭家河乡土门村25号</v>
      </c>
      <c r="H1835" s="1" t="str">
        <f t="shared" si="906"/>
        <v>无</v>
      </c>
      <c r="I1835" s="1" t="str">
        <f>"202009-202407，黄河交通学院汽车工程学院能源与动力工程就读，全日制本科
202407-至今在河南省信阳市浉河区谭家河乡待业"</f>
        <v>202009-202407，黄河交通学院汽车工程学院能源与动力工程就读，全日制本科
202407-至今在河南省信阳市浉河区谭家河乡待业</v>
      </c>
    </row>
    <row r="1836" spans="1:9">
      <c r="A1836" s="1" t="str">
        <f>"411324200210160012"</f>
        <v>411324200210160012</v>
      </c>
      <c r="B1836" s="1" t="str">
        <f>"共青团员"</f>
        <v>共青团员</v>
      </c>
      <c r="C1836" s="1" t="str">
        <f t="shared" si="909"/>
        <v>本科</v>
      </c>
      <c r="D1836" s="1" t="str">
        <f>"20250701"</f>
        <v>20250701</v>
      </c>
      <c r="E1836" s="1" t="str">
        <f>"河南科技大学"</f>
        <v>河南科技大学</v>
      </c>
      <c r="F1836" s="1" t="str">
        <f>"工业工程"</f>
        <v>工业工程</v>
      </c>
      <c r="G1836" s="1" t="str">
        <f>"河南省南阳市镇平县涅阳街道祥润名邸"</f>
        <v>河南省南阳市镇平县涅阳街道祥润名邸</v>
      </c>
      <c r="H1836" s="1" t="str">
        <f t="shared" si="906"/>
        <v>无</v>
      </c>
      <c r="I1836" s="1" t="str">
        <f>"202109-202507 在河南科技大学国际教育学院工业工程专业就读，是全日制学历。"</f>
        <v>202109-202507 在河南科技大学国际教育学院工业工程专业就读，是全日制学历。</v>
      </c>
    </row>
    <row r="1837" spans="1:9">
      <c r="A1837" s="1" t="str">
        <f>"411327199006281566"</f>
        <v>411327199006281566</v>
      </c>
      <c r="B1837" s="1" t="str">
        <f>"中共党员"</f>
        <v>中共党员</v>
      </c>
      <c r="C1837" s="1" t="str">
        <f t="shared" si="909"/>
        <v>本科</v>
      </c>
      <c r="D1837" s="1" t="str">
        <f>"2025-06-28"</f>
        <v>2025-06-28</v>
      </c>
      <c r="E1837" s="1" t="str">
        <f>"通化师范学院"</f>
        <v>通化师范学院</v>
      </c>
      <c r="F1837" s="1" t="str">
        <f>"法学"</f>
        <v>法学</v>
      </c>
      <c r="G1837" s="1" t="str">
        <f>"内乡县湍东镇东王营村李三"</f>
        <v>内乡县湍东镇东王营村李三</v>
      </c>
      <c r="H1837" s="1" t="str">
        <f>"助理工作师"</f>
        <v>助理工作师</v>
      </c>
      <c r="I1837" s="1" t="str">
        <f>"201009-201307郑州科技学院 食品加工技术  全日制大专
201307-2023051邓州市牧原养殖股份有限公司     办公室专员
202305-202506   通化师范学院       法学     成人本科"</f>
        <v>201009-201307郑州科技学院 食品加工技术  全日制大专
201307-2023051邓州市牧原养殖股份有限公司     办公室专员
202305-202506   通化师范学院       法学     成人本科</v>
      </c>
    </row>
    <row r="1838" spans="1:9">
      <c r="A1838" s="1" t="str">
        <f>"411302199208251827"</f>
        <v>411302199208251827</v>
      </c>
      <c r="B1838" s="1" t="str">
        <f t="shared" ref="B1838:B1843" si="911">"群众"</f>
        <v>群众</v>
      </c>
      <c r="C1838" s="1" t="str">
        <f t="shared" si="909"/>
        <v>本科</v>
      </c>
      <c r="D1838" s="1" t="str">
        <f>"20150701"</f>
        <v>20150701</v>
      </c>
      <c r="E1838" s="1" t="str">
        <f>"河南师范大学新联学院"</f>
        <v>河南师范大学新联学院</v>
      </c>
      <c r="F1838" s="1" t="str">
        <f>"音乐学"</f>
        <v>音乐学</v>
      </c>
      <c r="G1838" s="1" t="str">
        <f>"内乡县印象江南小区"</f>
        <v>内乡县印象江南小区</v>
      </c>
      <c r="H1838" s="1" t="str">
        <f>"中小学二级"</f>
        <v>中小学二级</v>
      </c>
      <c r="I1838" s="1" t="str">
        <f>"201109-201507在河南师范大学新联学院就读。
201508-202506在内乡县初级中学执教音乐。"</f>
        <v>201109-201507在河南师范大学新联学院就读。
201508-202506在内乡县初级中学执教音乐。</v>
      </c>
    </row>
    <row r="1839" spans="1:9">
      <c r="A1839" s="1" t="str">
        <f>"411330200310151532"</f>
        <v>411330200310151532</v>
      </c>
      <c r="B1839" s="1" t="str">
        <f t="shared" si="911"/>
        <v>群众</v>
      </c>
      <c r="C1839" s="1" t="str">
        <f t="shared" ref="C1839:C1843" si="912">"专科"</f>
        <v>专科</v>
      </c>
      <c r="D1839" s="1" t="str">
        <f>"2025710"</f>
        <v>2025710</v>
      </c>
      <c r="E1839" s="1" t="str">
        <f>"平顶山职业技术学院"</f>
        <v>平顶山职业技术学院</v>
      </c>
      <c r="F1839" s="1" t="str">
        <f>"智能机电技术"</f>
        <v>智能机电技术</v>
      </c>
      <c r="G1839" s="1" t="str">
        <f>"河南省南阳市"</f>
        <v>河南省南阳市</v>
      </c>
      <c r="H1839" s="1" t="str">
        <f t="shared" ref="H1839:H1842" si="913">"无"</f>
        <v>无</v>
      </c>
      <c r="I1839" s="1" t="str">
        <f>"202209-202507平顶山职业技术学院机电工程系智能机电技术专业就读是全日制
201909-202207  西峡县第三高级中学就读是全日制。
201609-201907  西峡县第二初级中学就读是全日制。
201009-201607  西峡县城区二小就读是全日制
"</f>
        <v>202209-202507平顶山职业技术学院机电工程系智能机电技术专业就读是全日制
201909-202207  西峡县第三高级中学就读是全日制。
201609-201907  西峡县第二初级中学就读是全日制。
201009-201607  西峡县城区二小就读是全日制
</v>
      </c>
    </row>
    <row r="1840" spans="1:9">
      <c r="A1840" s="1" t="str">
        <f>"41133019990227512X"</f>
        <v>41133019990227512X</v>
      </c>
      <c r="B1840" s="1" t="str">
        <f t="shared" si="911"/>
        <v>群众</v>
      </c>
      <c r="C1840" s="1" t="str">
        <f t="shared" ref="C1840:C1845" si="914">"本科"</f>
        <v>本科</v>
      </c>
      <c r="D1840" s="1" t="str">
        <f>"20220701"</f>
        <v>20220701</v>
      </c>
      <c r="E1840" s="1" t="str">
        <f>"信阳师范学院"</f>
        <v>信阳师范学院</v>
      </c>
      <c r="F1840" s="1" t="str">
        <f>"文化产业管理"</f>
        <v>文化产业管理</v>
      </c>
      <c r="G1840" s="1" t="str">
        <f>"河南省南阳市西峡县财富路在水一方"</f>
        <v>河南省南阳市西峡县财富路在水一方</v>
      </c>
      <c r="H1840" s="1" t="str">
        <f t="shared" si="913"/>
        <v>无</v>
      </c>
      <c r="I1840" s="1" t="str">
        <f>"201809-202207 信阳师范学院历史文化学院就读 全日制
202207-202303 在河南省南阳市待业
202303-202309 就职于邓州春雨国文高中 任办公室岗位
202309-202507 在河南省南阳市西峡县待业"</f>
        <v>201809-202207 信阳师范学院历史文化学院就读 全日制
202207-202303 在河南省南阳市待业
202303-202309 就职于邓州春雨国文高中 任办公室岗位
202309-202507 在河南省南阳市西峡县待业</v>
      </c>
    </row>
    <row r="1841" spans="1:9">
      <c r="A1841" s="1" t="str">
        <f>"411323199907205311"</f>
        <v>411323199907205311</v>
      </c>
      <c r="B1841" s="1" t="str">
        <f t="shared" si="911"/>
        <v>群众</v>
      </c>
      <c r="C1841" s="1" t="str">
        <f t="shared" si="912"/>
        <v>专科</v>
      </c>
      <c r="D1841" s="1" t="str">
        <f>"20210701"</f>
        <v>20210701</v>
      </c>
      <c r="E1841" s="1" t="str">
        <f>"商丘学院"</f>
        <v>商丘学院</v>
      </c>
      <c r="F1841" s="1" t="str">
        <f>"会计"</f>
        <v>会计</v>
      </c>
      <c r="G1841" s="1" t="str">
        <f>"河南省南阳市淅川县香花镇香南村周岗组26号"</f>
        <v>河南省南阳市淅川县香花镇香南村周岗组26号</v>
      </c>
      <c r="H1841" s="1" t="str">
        <f>"初级会计职称 计算机二级 普通话二级甲等"</f>
        <v>初级会计职称 计算机二级 普通话二级甲等</v>
      </c>
      <c r="I1841" s="1" t="str">
        <f>"201809-202107于商丘学院商学院会计专业就读 为全日制学历
202107-202401于杭州鑫得饭店任店长一职
202401-202409于淅川老寿星养老服务中心任会计一职
202410-至今于邓州市公安局三产分局任辅警一职"</f>
        <v>201809-202107于商丘学院商学院会计专业就读 为全日制学历
202107-202401于杭州鑫得饭店任店长一职
202401-202409于淅川老寿星养老服务中心任会计一职
202410-至今于邓州市公安局三产分局任辅警一职</v>
      </c>
    </row>
    <row r="1842" spans="1:9">
      <c r="A1842" s="1" t="str">
        <f>"411303199310300011"</f>
        <v>411303199310300011</v>
      </c>
      <c r="B1842" s="1" t="str">
        <f t="shared" si="911"/>
        <v>群众</v>
      </c>
      <c r="C1842" s="1" t="str">
        <f t="shared" si="914"/>
        <v>本科</v>
      </c>
      <c r="D1842" s="1" t="str">
        <f>"20250701"</f>
        <v>20250701</v>
      </c>
      <c r="E1842" s="1" t="str">
        <f>"河南财经政法大学"</f>
        <v>河南财经政法大学</v>
      </c>
      <c r="F1842" s="1" t="str">
        <f>"计算机科学与技术"</f>
        <v>计算机科学与技术</v>
      </c>
      <c r="G1842" s="1" t="str">
        <f>"南阳市卧龙区"</f>
        <v>南阳市卧龙区</v>
      </c>
      <c r="H1842" s="1" t="str">
        <f t="shared" si="913"/>
        <v>无</v>
      </c>
      <c r="I1842" s="1" t="str">
        <f>"20120901-20150701 郑州信息科技职业技术学院（建筑工程技术） 全日制
"</f>
        <v>20120901-20150701 郑州信息科技职业技术学院（建筑工程技术） 全日制
</v>
      </c>
    </row>
    <row r="1843" spans="1:9">
      <c r="A1843" s="1" t="str">
        <f>"411327199205103746"</f>
        <v>411327199205103746</v>
      </c>
      <c r="B1843" s="1" t="str">
        <f t="shared" si="911"/>
        <v>群众</v>
      </c>
      <c r="C1843" s="1" t="str">
        <f t="shared" si="912"/>
        <v>专科</v>
      </c>
      <c r="D1843" s="1" t="str">
        <f>"20150701"</f>
        <v>20150701</v>
      </c>
      <c r="E1843" s="1" t="str">
        <f>"济源职业技术学院"</f>
        <v>济源职业技术学院</v>
      </c>
      <c r="F1843" s="1" t="str">
        <f>"会计电算化专业"</f>
        <v>会计电算化专业</v>
      </c>
      <c r="G1843" s="1" t="str">
        <f>"河南省南阳市内乡县湍东镇"</f>
        <v>河南省南阳市内乡县湍东镇</v>
      </c>
      <c r="H1843" s="1" t="str">
        <f>"初级会计资格证     教师资格证-小学数学"</f>
        <v>初级会计资格证     教师资格证-小学数学</v>
      </c>
      <c r="I1843" s="1" t="str">
        <f>"2012年9月-2015年7月     济源职业技术学院      财经管理系    会计电算化专业
2015-2019年            四川海底捞餐饮股份有限公司        出纳
2019-至今          从事教育行业
"</f>
        <v>2012年9月-2015年7月     济源职业技术学院      财经管理系    会计电算化专业
2015-2019年            四川海底捞餐饮股份有限公司        出纳
2019-至今          从事教育行业
</v>
      </c>
    </row>
    <row r="1844" spans="1:9">
      <c r="A1844" s="1" t="str">
        <f>"41090120020419001X"</f>
        <v>41090120020419001X</v>
      </c>
      <c r="B1844" s="1" t="str">
        <f>"中共党员"</f>
        <v>中共党员</v>
      </c>
      <c r="C1844" s="1" t="str">
        <f t="shared" si="914"/>
        <v>本科</v>
      </c>
      <c r="D1844" s="1" t="str">
        <f>"20250701"</f>
        <v>20250701</v>
      </c>
      <c r="E1844" s="1" t="str">
        <f>"郑州财经学院"</f>
        <v>郑州财经学院</v>
      </c>
      <c r="F1844" s="1" t="str">
        <f>"学前教育"</f>
        <v>学前教育</v>
      </c>
      <c r="G1844" s="1" t="str">
        <f>"河南省濮阳市华龙区长庆南路清华玖号院5号楼二单元702"</f>
        <v>河南省濮阳市华龙区长庆南路清华玖号院5号楼二单元702</v>
      </c>
      <c r="H1844" s="1" t="str">
        <f>"保育师三级"</f>
        <v>保育师三级</v>
      </c>
      <c r="I1844" s="1" t="str">
        <f>"202109-202507 郑州财经学院教育学院学前教育专业就读 全日制学历"</f>
        <v>202109-202507 郑州财经学院教育学院学前教育专业就读 全日制学历</v>
      </c>
    </row>
    <row r="1845" spans="1:9">
      <c r="A1845" s="1" t="str">
        <f>"411327200002260034"</f>
        <v>411327200002260034</v>
      </c>
      <c r="B1845" s="1" t="str">
        <f t="shared" ref="B1845:B1850" si="915">"共青团员"</f>
        <v>共青团员</v>
      </c>
      <c r="C1845" s="1" t="str">
        <f t="shared" si="914"/>
        <v>本科</v>
      </c>
      <c r="D1845" s="1" t="str">
        <f>"20220701"</f>
        <v>20220701</v>
      </c>
      <c r="E1845" s="1" t="str">
        <f>"郑州工商学院"</f>
        <v>郑州工商学院</v>
      </c>
      <c r="F1845" s="1" t="str">
        <f>"土木工程"</f>
        <v>土木工程</v>
      </c>
      <c r="G1845" s="1" t="str">
        <f>"南阳市"</f>
        <v>南阳市</v>
      </c>
      <c r="H1845" s="1" t="str">
        <f>"英语四级"</f>
        <v>英语四级</v>
      </c>
      <c r="I1845" s="1" t="str">
        <f>"2016.09-2018.06 内乡县高级中学
2018.09-2022.07 郑州工商学院
2022.07-2023.09 牧原食品股份有限公司
2023.12-2025.07 团县委（公益岗）"</f>
        <v>2016.09-2018.06 内乡县高级中学
2018.09-2022.07 郑州工商学院
2022.07-2023.09 牧原食品股份有限公司
2023.12-2025.07 团县委（公益岗）</v>
      </c>
    </row>
    <row r="1846" spans="1:9">
      <c r="A1846" s="1" t="str">
        <f>"411327200204172542"</f>
        <v>411327200204172542</v>
      </c>
      <c r="B1846" s="1" t="str">
        <f t="shared" si="915"/>
        <v>共青团员</v>
      </c>
      <c r="C1846" s="1" t="str">
        <f>"专科"</f>
        <v>专科</v>
      </c>
      <c r="D1846" s="1" t="str">
        <f>"20230701"</f>
        <v>20230701</v>
      </c>
      <c r="E1846" s="1" t="str">
        <f>"安阳幼儿师范高等专科学校"</f>
        <v>安阳幼儿师范高等专科学校</v>
      </c>
      <c r="F1846" s="1" t="str">
        <f>"音乐教育"</f>
        <v>音乐教育</v>
      </c>
      <c r="G1846" s="1" t="str">
        <f>"河南省南阳市内乡县王店镇岗樊村东张"</f>
        <v>河南省南阳市内乡县王店镇岗樊村东张</v>
      </c>
      <c r="H1846" s="1" t="str">
        <f t="shared" ref="H1846:H1855" si="916">"无"</f>
        <v>无</v>
      </c>
      <c r="I1846" s="1" t="str">
        <f>"202009-202307安阳幼儿师范高等专科学校艺术系音乐教育就读。全日制学历"</f>
        <v>202009-202307安阳幼儿师范高等专科学校艺术系音乐教育就读。全日制学历</v>
      </c>
    </row>
    <row r="1847" spans="1:9">
      <c r="A1847" s="1" t="str">
        <f>"410523199704193058"</f>
        <v>410523199704193058</v>
      </c>
      <c r="B1847" s="1" t="str">
        <f t="shared" ref="B1847:B1849" si="917">"群众"</f>
        <v>群众</v>
      </c>
      <c r="C1847" s="1" t="str">
        <f>"专科"</f>
        <v>专科</v>
      </c>
      <c r="D1847" s="1" t="str">
        <f>"2019-07-01"</f>
        <v>2019-07-01</v>
      </c>
      <c r="E1847" s="1" t="str">
        <f>"河南职业技术学院"</f>
        <v>河南职业技术学院</v>
      </c>
      <c r="F1847" s="1" t="str">
        <f>"计算机网络技术"</f>
        <v>计算机网络技术</v>
      </c>
      <c r="G1847" s="1" t="str">
        <f>"河南省安阳市汤阴县城关镇南元村"</f>
        <v>河南省安阳市汤阴县城关镇南元村</v>
      </c>
      <c r="H1847" s="1" t="str">
        <f t="shared" si="916"/>
        <v>无</v>
      </c>
      <c r="I1847" s="1" t="str">
        <f>"201609—201906 河南职业技术学院信息工程学院计算机网络技术专业就读，全日制大专；
201909—202109 中国人民解放军66029部队服役；
202109至今待业"</f>
        <v>201609—201906 河南职业技术学院信息工程学院计算机网络技术专业就读，全日制大专；
201909—202109 中国人民解放军66029部队服役；
202109至今待业</v>
      </c>
    </row>
    <row r="1848" spans="1:9">
      <c r="A1848" s="1" t="str">
        <f>"411326199405305362"</f>
        <v>411326199405305362</v>
      </c>
      <c r="B1848" s="1" t="str">
        <f t="shared" si="917"/>
        <v>群众</v>
      </c>
      <c r="C1848" s="1" t="str">
        <f t="shared" ref="C1848:C1862" si="918">"本科"</f>
        <v>本科</v>
      </c>
      <c r="D1848" s="1" t="str">
        <f>"20180701"</f>
        <v>20180701</v>
      </c>
      <c r="E1848" s="1" t="str">
        <f>"中原工学院信息商务学院"</f>
        <v>中原工学院信息商务学院</v>
      </c>
      <c r="F1848" s="1" t="str">
        <f>"国际经济与贸易"</f>
        <v>国际经济与贸易</v>
      </c>
      <c r="G1848" s="1" t="str">
        <f>"河南省南阳市淅川县"</f>
        <v>河南省南阳市淅川县</v>
      </c>
      <c r="H1848" s="1" t="str">
        <f t="shared" si="916"/>
        <v>无</v>
      </c>
      <c r="I1848" s="1" t="str">
        <f>"201409-201807中原工学院信息商务学院商学系国际经济与贸易专业就读全日制学历
201807-201909检察院实习
201909-至今淅川县人民检察院政治部书记员"</f>
        <v>201409-201807中原工学院信息商务学院商学系国际经济与贸易专业就读全日制学历
201807-201909检察院实习
201909-至今淅川县人民检察院政治部书记员</v>
      </c>
    </row>
    <row r="1849" ht="175.5" spans="1:9">
      <c r="A1849" s="1" t="str">
        <f>"411324199211300026"</f>
        <v>411324199211300026</v>
      </c>
      <c r="B1849" s="1" t="str">
        <f t="shared" si="917"/>
        <v>群众</v>
      </c>
      <c r="C1849" s="1" t="str">
        <f t="shared" si="918"/>
        <v>本科</v>
      </c>
      <c r="D1849" s="1" t="str">
        <f>"20150701"</f>
        <v>20150701</v>
      </c>
      <c r="E1849" s="1" t="str">
        <f>"南阳师范学院"</f>
        <v>南阳师范学院</v>
      </c>
      <c r="F1849" s="1" t="str">
        <f>"软件工程（软件开发方向）"</f>
        <v>软件工程（软件开发方向）</v>
      </c>
      <c r="G1849" s="1" t="str">
        <f>"河南省南阳市卧龙区七里园乡"</f>
        <v>河南省南阳市卧龙区七里园乡</v>
      </c>
      <c r="H1849" s="1" t="str">
        <f t="shared" si="916"/>
        <v>无</v>
      </c>
      <c r="I1849" s="3" t="s">
        <v>233</v>
      </c>
    </row>
    <row r="1850" spans="1:9">
      <c r="A1850" s="1" t="str">
        <f>"410502200003080038"</f>
        <v>410502200003080038</v>
      </c>
      <c r="B1850" s="1" t="str">
        <f t="shared" si="915"/>
        <v>共青团员</v>
      </c>
      <c r="C1850" s="1" t="str">
        <f t="shared" si="918"/>
        <v>本科</v>
      </c>
      <c r="D1850" s="1" t="str">
        <f>"20220630"</f>
        <v>20220630</v>
      </c>
      <c r="E1850" s="1" t="str">
        <f>"河南工业大学"</f>
        <v>河南工业大学</v>
      </c>
      <c r="F1850" s="1" t="str">
        <f>"计算机科学与技术"</f>
        <v>计算机科学与技术</v>
      </c>
      <c r="G1850" s="1" t="str">
        <f>"河南省安阳市北关区北辰家园一期"</f>
        <v>河南省安阳市北关区北辰家园一期</v>
      </c>
      <c r="H1850" s="1" t="str">
        <f t="shared" si="916"/>
        <v>无</v>
      </c>
      <c r="I1850" s="1" t="str">
        <f>"201809-202206 河南工业大学 就读
202207-202501 上海市龙旗科技 第五事业部 协议开发组 协议工程师
202501-202503  河南省安阳市待业
202503-202504  北京远志博慧知识产权有限公司安阳分公司 专利工程师
202505-至今       河南省安阳市待业
"</f>
        <v>201809-202206 河南工业大学 就读
202207-202501 上海市龙旗科技 第五事业部 协议开发组 协议工程师
202501-202503  河南省安阳市待业
202503-202504  北京远志博慧知识产权有限公司安阳分公司 专利工程师
202505-至今       河南省安阳市待业
</v>
      </c>
    </row>
    <row r="1851" ht="108" spans="1:9">
      <c r="A1851" s="1" t="str">
        <f>"610322199011253919"</f>
        <v>610322199011253919</v>
      </c>
      <c r="B1851" s="1" t="str">
        <f t="shared" ref="B1851:B1855" si="919">"群众"</f>
        <v>群众</v>
      </c>
      <c r="C1851" s="1" t="str">
        <f t="shared" si="918"/>
        <v>本科</v>
      </c>
      <c r="D1851" s="1" t="str">
        <f>"20140701"</f>
        <v>20140701</v>
      </c>
      <c r="E1851" s="1" t="str">
        <f>"西安石油大学"</f>
        <v>西安石油大学</v>
      </c>
      <c r="F1851" s="1" t="str">
        <f>"人力资源管理"</f>
        <v>人力资源管理</v>
      </c>
      <c r="G1851" s="1" t="str">
        <f>"陕西省宝鸡市凤翔区柳林镇邱村一组"</f>
        <v>陕西省宝鸡市凤翔区柳林镇邱村一组</v>
      </c>
      <c r="H1851" s="1" t="str">
        <f t="shared" si="916"/>
        <v>无</v>
      </c>
      <c r="I1851" s="3" t="s">
        <v>234</v>
      </c>
    </row>
    <row r="1852" spans="1:9">
      <c r="A1852" s="1" t="str">
        <f>"411381199601270472"</f>
        <v>411381199601270472</v>
      </c>
      <c r="B1852" s="1" t="str">
        <f>"共青团员"</f>
        <v>共青团员</v>
      </c>
      <c r="C1852" s="1" t="str">
        <f t="shared" si="918"/>
        <v>本科</v>
      </c>
      <c r="D1852" s="1" t="str">
        <f>"20190701"</f>
        <v>20190701</v>
      </c>
      <c r="E1852" s="1" t="str">
        <f>"郑州科技学院"</f>
        <v>郑州科技学院</v>
      </c>
      <c r="F1852" s="1" t="str">
        <f>"国际经济与贸易"</f>
        <v>国际经济与贸易</v>
      </c>
      <c r="G1852" s="1" t="str">
        <f>"河南省邓州市花洲街道办事处古城路435号"</f>
        <v>河南省邓州市花洲街道办事处古城路435号</v>
      </c>
      <c r="H1852" s="1" t="str">
        <f t="shared" si="916"/>
        <v>无</v>
      </c>
      <c r="I1852" s="1" t="str">
        <f>"2014.09--2017.07  河南工业大学 中英国际学院 金融与证券 全日制
2017.09--2019.07  郑州科技学院 财经学院 国际经济与贸易 全日制
2019.07--2022.047 待业
2022.07--至今邓州市人民法院立案庭速裁团队聘用书记员
"</f>
        <v>2014.09--2017.07  河南工业大学 中英国际学院 金融与证券 全日制
2017.09--2019.07  郑州科技学院 财经学院 国际经济与贸易 全日制
2019.07--2022.047 待业
2022.07--至今邓州市人民法院立案庭速裁团队聘用书记员
</v>
      </c>
    </row>
    <row r="1853" spans="1:9">
      <c r="A1853" s="1" t="str">
        <f>"411327200301113149"</f>
        <v>411327200301113149</v>
      </c>
      <c r="B1853" s="1" t="str">
        <f t="shared" si="919"/>
        <v>群众</v>
      </c>
      <c r="C1853" s="1" t="str">
        <f t="shared" si="918"/>
        <v>本科</v>
      </c>
      <c r="D1853" s="1" t="str">
        <f>"20250606"</f>
        <v>20250606</v>
      </c>
      <c r="E1853" s="1" t="str">
        <f>"信阳学院"</f>
        <v>信阳学院</v>
      </c>
      <c r="F1853" s="1" t="str">
        <f>"化学"</f>
        <v>化学</v>
      </c>
      <c r="G1853" s="1" t="str">
        <f>"河南省南阳市内乡县城关镇"</f>
        <v>河南省南阳市内乡县城关镇</v>
      </c>
      <c r="H1853" s="1" t="str">
        <f t="shared" si="916"/>
        <v>无</v>
      </c>
      <c r="I1853" s="1" t="str">
        <f>"202109-202506信阳学院理工学院化学专业就读，是全日制学历"</f>
        <v>202109-202506信阳学院理工学院化学专业就读，是全日制学历</v>
      </c>
    </row>
    <row r="1854" spans="1:9">
      <c r="A1854" s="1" t="str">
        <f>"411327200002150062"</f>
        <v>411327200002150062</v>
      </c>
      <c r="B1854" s="1" t="str">
        <f>"共青团员"</f>
        <v>共青团员</v>
      </c>
      <c r="C1854" s="1" t="str">
        <f t="shared" si="918"/>
        <v>本科</v>
      </c>
      <c r="D1854" s="1" t="str">
        <f>"20230701"</f>
        <v>20230701</v>
      </c>
      <c r="E1854" s="1" t="str">
        <f>"许昌学院"</f>
        <v>许昌学院</v>
      </c>
      <c r="F1854" s="1" t="str">
        <f>"学前教育"</f>
        <v>学前教育</v>
      </c>
      <c r="G1854" s="1" t="str">
        <f>"内乡县城关镇花园路1巷16号"</f>
        <v>内乡县城关镇花园路1巷16号</v>
      </c>
      <c r="H1854" s="1" t="str">
        <f t="shared" si="916"/>
        <v>无</v>
      </c>
      <c r="I1854" s="1" t="str">
        <f>"201909-202306 许昌学院 学前教育专业就读 全日制学历
202306-至今 待业"</f>
        <v>201909-202306 许昌学院 学前教育专业就读 全日制学历
202306-至今 待业</v>
      </c>
    </row>
    <row r="1855" spans="1:9">
      <c r="A1855" s="1" t="str">
        <f>"411323199207190016"</f>
        <v>411323199207190016</v>
      </c>
      <c r="B1855" s="1" t="str">
        <f t="shared" si="919"/>
        <v>群众</v>
      </c>
      <c r="C1855" s="1" t="str">
        <f t="shared" si="918"/>
        <v>本科</v>
      </c>
      <c r="D1855" s="1" t="str">
        <f>"2017-07-01"</f>
        <v>2017-07-01</v>
      </c>
      <c r="E1855" s="1" t="str">
        <f>"南阳理工学院"</f>
        <v>南阳理工学院</v>
      </c>
      <c r="F1855" s="1" t="str">
        <f>"食品科学与工程"</f>
        <v>食品科学与工程</v>
      </c>
      <c r="G1855" s="1" t="str">
        <f>"河南省淅川县东环路旭康养老附近"</f>
        <v>河南省淅川县东环路旭康养老附近</v>
      </c>
      <c r="H1855" s="1" t="str">
        <f t="shared" si="916"/>
        <v>无</v>
      </c>
      <c r="I1855" s="1" t="str">
        <f>"201209-201507  河南农业职业学院食品营养与检测专业就读，是全日制；201509-201707  南阳理工学院食品科学与工程专业就读，是全日制；201707-201812 待业 201907至今  淅川县人民法院上班"</f>
        <v>201209-201507  河南农业职业学院食品营养与检测专业就读，是全日制；201509-201707  南阳理工学院食品科学与工程专业就读，是全日制；201707-201812 待业 201907至今  淅川县人民法院上班</v>
      </c>
    </row>
    <row r="1856" spans="1:9">
      <c r="A1856" s="1" t="str">
        <f>"411327200310170022"</f>
        <v>411327200310170022</v>
      </c>
      <c r="B1856" s="1" t="str">
        <f>"中共预备党员"</f>
        <v>中共预备党员</v>
      </c>
      <c r="C1856" s="1" t="str">
        <f t="shared" si="918"/>
        <v>本科</v>
      </c>
      <c r="D1856" s="1" t="str">
        <f>"20250630"</f>
        <v>20250630</v>
      </c>
      <c r="E1856" s="1" t="str">
        <f>"新乡学院"</f>
        <v>新乡学院</v>
      </c>
      <c r="F1856" s="1" t="str">
        <f>"动画"</f>
        <v>动画</v>
      </c>
      <c r="G1856" s="1" t="str">
        <f>"河南省南阳市内乡县城关镇菊潭大街1号附6号"</f>
        <v>河南省南阳市内乡县城关镇菊潭大街1号附6号</v>
      </c>
      <c r="H1856" s="1" t="str">
        <f>"色彩搭配师 三级"</f>
        <v>色彩搭配师 三级</v>
      </c>
      <c r="I1856" s="1" t="str">
        <f>"202109-202506 新乡学院动画专业就读 是全日制学历"</f>
        <v>202109-202506 新乡学院动画专业就读 是全日制学历</v>
      </c>
    </row>
    <row r="1857" spans="1:9">
      <c r="A1857" s="1" t="str">
        <f>"412825199710227921"</f>
        <v>412825199710227921</v>
      </c>
      <c r="B1857" s="1" t="str">
        <f t="shared" ref="B1857:B1859" si="920">"群众"</f>
        <v>群众</v>
      </c>
      <c r="C1857" s="1" t="str">
        <f t="shared" si="918"/>
        <v>本科</v>
      </c>
      <c r="D1857" s="1" t="str">
        <f>"20190701"</f>
        <v>20190701</v>
      </c>
      <c r="E1857" s="1" t="str">
        <f>"河南科技学院新科学院"</f>
        <v>河南科技学院新科学院</v>
      </c>
      <c r="F1857" s="1" t="str">
        <f>"人力资源管理（师范）"</f>
        <v>人力资源管理（师范）</v>
      </c>
      <c r="G1857" s="1" t="str">
        <f>"河南省驻马店市上蔡县"</f>
        <v>河南省驻马店市上蔡县</v>
      </c>
      <c r="H1857" s="1" t="str">
        <f t="shared" ref="H1857:H1860" si="921">"无"</f>
        <v>无</v>
      </c>
      <c r="I1857" s="1" t="str">
        <f>"201509-201907 河南科技学院新科学院 管理系 人力资源管理专业就读"</f>
        <v>201509-201907 河南科技学院新科学院 管理系 人力资源管理专业就读</v>
      </c>
    </row>
    <row r="1858" spans="1:9">
      <c r="A1858" s="1" t="str">
        <f>"411327199204231113"</f>
        <v>411327199204231113</v>
      </c>
      <c r="B1858" s="1" t="str">
        <f t="shared" si="920"/>
        <v>群众</v>
      </c>
      <c r="C1858" s="1" t="str">
        <f t="shared" si="918"/>
        <v>本科</v>
      </c>
      <c r="D1858" s="1" t="str">
        <f>"20150701"</f>
        <v>20150701</v>
      </c>
      <c r="E1858" s="1" t="str">
        <f>"中原工学院"</f>
        <v>中原工学院</v>
      </c>
      <c r="F1858" s="1" t="str">
        <f>"会计学"</f>
        <v>会计学</v>
      </c>
      <c r="G1858" s="1" t="str">
        <f>"河南省内乡县赤眉镇赤眉村街西南组"</f>
        <v>河南省内乡县赤眉镇赤眉村街西南组</v>
      </c>
      <c r="H1858" s="1" t="str">
        <f t="shared" si="921"/>
        <v>无</v>
      </c>
      <c r="I1858" s="1" t="str">
        <f>"2011年9月-2015年7月，在中原工学院学习会计学，全日制学历；
2015年8月-2020年10月，在岳灵生发南阳运营中心从事运营工作；
2020年11月-2025年7月，在内乡县赤眉镇财政所（政府购岗）从事会计工作"</f>
        <v>2011年9月-2015年7月，在中原工学院学习会计学，全日制学历；
2015年8月-2020年10月，在岳灵生发南阳运营中心从事运营工作；
2020年11月-2025年7月，在内乡县赤眉镇财政所（政府购岗）从事会计工作</v>
      </c>
    </row>
    <row r="1859" spans="1:9">
      <c r="A1859" s="1" t="str">
        <f>"411327199612113319"</f>
        <v>411327199612113319</v>
      </c>
      <c r="B1859" s="1" t="str">
        <f t="shared" si="920"/>
        <v>群众</v>
      </c>
      <c r="C1859" s="1" t="str">
        <f t="shared" si="918"/>
        <v>本科</v>
      </c>
      <c r="D1859" s="1" t="str">
        <f>"20190701"</f>
        <v>20190701</v>
      </c>
      <c r="E1859" s="1" t="str">
        <f>"中原工学院"</f>
        <v>中原工学院</v>
      </c>
      <c r="F1859" s="1" t="str">
        <f>"材料成型及控制工程"</f>
        <v>材料成型及控制工程</v>
      </c>
      <c r="G1859" s="1" t="str">
        <f>"河南省南阳市内乡县七里坪乡"</f>
        <v>河南省南阳市内乡县七里坪乡</v>
      </c>
      <c r="H1859" s="1" t="str">
        <f t="shared" si="921"/>
        <v>无</v>
      </c>
      <c r="I1859" s="1" t="str">
        <f>"201409至201907   中原工学院  就读 全日制本科
201908至202004   郑州博特硬质材料有限公司
202005至202108   内乡郦都学校
202109至今            内乡县第三高级中学"</f>
        <v>201409至201907   中原工学院  就读 全日制本科
201908至202004   郑州博特硬质材料有限公司
202005至202108   内乡郦都学校
202109至今            内乡县第三高级中学</v>
      </c>
    </row>
    <row r="1860" spans="1:9">
      <c r="A1860" s="1" t="str">
        <f>"411381200012163957"</f>
        <v>411381200012163957</v>
      </c>
      <c r="B1860" s="1" t="str">
        <f t="shared" ref="B1860:B1863" si="922">"共青团员"</f>
        <v>共青团员</v>
      </c>
      <c r="C1860" s="1" t="str">
        <f t="shared" si="918"/>
        <v>本科</v>
      </c>
      <c r="D1860" s="1" t="str">
        <f>"20250630"</f>
        <v>20250630</v>
      </c>
      <c r="E1860" s="1" t="str">
        <f>"河南科技学院"</f>
        <v>河南科技学院</v>
      </c>
      <c r="F1860" s="1" t="str">
        <f>"数据科学与大数据技术"</f>
        <v>数据科学与大数据技术</v>
      </c>
      <c r="G1860" s="1" t="str">
        <f>"河南省邓州市罗庄镇马岗村"</f>
        <v>河南省邓州市罗庄镇马岗村</v>
      </c>
      <c r="H1860" s="1" t="str">
        <f t="shared" si="921"/>
        <v>无</v>
      </c>
      <c r="I1860" s="1" t="str">
        <f>"202109-202506在河南科技学院计算机科学与技术学院数据科学与大数据技术专业就读，全日制本科"</f>
        <v>202109-202506在河南科技学院计算机科学与技术学院数据科学与大数据技术专业就读，全日制本科</v>
      </c>
    </row>
    <row r="1861" spans="1:9">
      <c r="A1861" s="1" t="str">
        <f>"411330200105121545"</f>
        <v>411330200105121545</v>
      </c>
      <c r="B1861" s="1" t="str">
        <f t="shared" si="922"/>
        <v>共青团员</v>
      </c>
      <c r="C1861" s="1" t="str">
        <f t="shared" si="918"/>
        <v>本科</v>
      </c>
      <c r="D1861" s="1" t="str">
        <f>"2023.6.9"</f>
        <v>2023.6.9</v>
      </c>
      <c r="E1861" s="1" t="str">
        <f>"信阳农林学院"</f>
        <v>信阳农林学院</v>
      </c>
      <c r="F1861" s="1" t="str">
        <f>"林学"</f>
        <v>林学</v>
      </c>
      <c r="G1861" s="1" t="str">
        <f>"河南省南阳市西峡县"</f>
        <v>河南省南阳市西峡县</v>
      </c>
      <c r="H1861" s="1" t="str">
        <f>"林工育种工"</f>
        <v>林工育种工</v>
      </c>
      <c r="I1861" s="1" t="str">
        <f>"2019.9.1一2023.6.9，就读信阳农林学院，全日制
"</f>
        <v>2019.9.1一2023.6.9，就读信阳农林学院，全日制
</v>
      </c>
    </row>
    <row r="1862" spans="1:9">
      <c r="A1862" s="1" t="str">
        <f>"411324200011214516"</f>
        <v>411324200011214516</v>
      </c>
      <c r="B1862" s="1" t="str">
        <f t="shared" ref="B1862:B1867" si="923">"群众"</f>
        <v>群众</v>
      </c>
      <c r="C1862" s="1" t="str">
        <f t="shared" si="918"/>
        <v>本科</v>
      </c>
      <c r="D1862" s="1" t="str">
        <f>"20240605"</f>
        <v>20240605</v>
      </c>
      <c r="E1862" s="1" t="str">
        <f>"商丘学院"</f>
        <v>商丘学院</v>
      </c>
      <c r="F1862" s="1" t="str">
        <f>"小学教育（师范）"</f>
        <v>小学教育（师范）</v>
      </c>
      <c r="G1862" s="1" t="str">
        <f>"河南省南阳市镇平县杨营镇魏营村魏营九组"</f>
        <v>河南省南阳市镇平县杨营镇魏营村魏营九组</v>
      </c>
      <c r="H1862" s="1" t="str">
        <f t="shared" ref="H1862:H1871" si="924">"无"</f>
        <v>无</v>
      </c>
      <c r="I1862" s="1" t="str">
        <f>"202009-202406  商丘学院人文学院小学教育（师范）专业就读 
202406到现在在家待业"</f>
        <v>202009-202406  商丘学院人文学院小学教育（师范）专业就读 
202406到现在在家待业</v>
      </c>
    </row>
    <row r="1863" spans="1:9">
      <c r="A1863" s="1" t="str">
        <f>"350212200307274026"</f>
        <v>350212200307274026</v>
      </c>
      <c r="B1863" s="1" t="str">
        <f t="shared" si="922"/>
        <v>共青团员</v>
      </c>
      <c r="C1863" s="1" t="str">
        <f>"专科"</f>
        <v>专科</v>
      </c>
      <c r="D1863" s="1" t="str">
        <f>"20240704"</f>
        <v>20240704</v>
      </c>
      <c r="E1863" s="1" t="str">
        <f>"湄洲湾职业技术学院"</f>
        <v>湄洲湾职业技术学院</v>
      </c>
      <c r="F1863" s="1" t="str">
        <f>"食品药品监督管理"</f>
        <v>食品药品监督管理</v>
      </c>
      <c r="G1863" s="1" t="str">
        <f>"福建省厦门市同安区汀溪镇隘头村溪湖38号"</f>
        <v>福建省厦门市同安区汀溪镇隘头村溪湖38号</v>
      </c>
      <c r="H1863" s="1" t="str">
        <f>"粮农1+x"</f>
        <v>粮农1+x</v>
      </c>
      <c r="I1863" s="1" t="str">
        <f>" 2018.9-2021.7 在厦门市同安职业技术学校 护理专业学习并在 2020-2021 年内第三医院护理轮转实习一年，顺利毕业，为全日制学历
2021.9-2024.7 在湄洲湾职业技术学院 食品药品监督管理专业学习并顺利毕业，全日制学历
2024.7-2025.7 在厦门市第三医院药学部担任见习药房人员
2025.7-至今 待业"</f>
        <v> 2018.9-2021.7 在厦门市同安职业技术学校 护理专业学习并在 2020-2021 年内第三医院护理轮转实习一年，顺利毕业，为全日制学历
2021.9-2024.7 在湄洲湾职业技术学院 食品药品监督管理专业学习并顺利毕业，全日制学历
2024.7-2025.7 在厦门市第三医院药学部担任见习药房人员
2025.7-至今 待业</v>
      </c>
    </row>
    <row r="1864" spans="1:9">
      <c r="A1864" s="1" t="str">
        <f>"41132719950421354X"</f>
        <v>41132719950421354X</v>
      </c>
      <c r="B1864" s="1" t="str">
        <f t="shared" si="923"/>
        <v>群众</v>
      </c>
      <c r="C1864" s="1" t="str">
        <f t="shared" ref="C1864:C1869" si="925">"本科"</f>
        <v>本科</v>
      </c>
      <c r="D1864" s="1" t="str">
        <f>"20180701"</f>
        <v>20180701</v>
      </c>
      <c r="E1864" s="1" t="str">
        <f>"河南师范大学"</f>
        <v>河南师范大学</v>
      </c>
      <c r="F1864" s="1" t="str">
        <f>"英语"</f>
        <v>英语</v>
      </c>
      <c r="G1864" s="1" t="str">
        <f>"河南省南阳市卧龙区常绿运河壹号院"</f>
        <v>河南省南阳市卧龙区常绿运河壹号院</v>
      </c>
      <c r="H1864" s="1" t="str">
        <f>"普通话二级甲等"</f>
        <v>普通话二级甲等</v>
      </c>
      <c r="I1864" s="1" t="str">
        <f>"201409-201806 在河南师范大学外国语学院英语专业就读，全日制学历"</f>
        <v>201409-201806 在河南师范大学外国语学院英语专业就读，全日制学历</v>
      </c>
    </row>
    <row r="1865" spans="1:9">
      <c r="A1865" s="1" t="str">
        <f>"410503199811085014"</f>
        <v>410503199811085014</v>
      </c>
      <c r="B1865" s="1" t="str">
        <f>"共青团员"</f>
        <v>共青团员</v>
      </c>
      <c r="C1865" s="1" t="str">
        <f t="shared" si="925"/>
        <v>本科</v>
      </c>
      <c r="D1865" s="1" t="str">
        <f>"20220701"</f>
        <v>20220701</v>
      </c>
      <c r="E1865" s="1" t="str">
        <f>"安阳师范学院"</f>
        <v>安阳师范学院</v>
      </c>
      <c r="F1865" s="1" t="str">
        <f>"工商管理类会计学"</f>
        <v>工商管理类会计学</v>
      </c>
      <c r="G1865" s="1" t="str">
        <f>"河南省安阳市文峰区三官庙"</f>
        <v>河南省安阳市文峰区三官庙</v>
      </c>
      <c r="H1865" s="1" t="str">
        <f t="shared" si="924"/>
        <v>无</v>
      </c>
      <c r="I1865" s="1" t="str">
        <f>"201409-201706 安阳市实验中学
201909-201806 林州市第一中学
201809-202206 安阳师范学院 工商管理类会计学"</f>
        <v>201409-201706 安阳市实验中学
201909-201806 林州市第一中学
201809-202206 安阳师范学院 工商管理类会计学</v>
      </c>
    </row>
    <row r="1866" spans="1:9">
      <c r="A1866" s="1" t="str">
        <f>"411381199908106554"</f>
        <v>411381199908106554</v>
      </c>
      <c r="B1866" s="1" t="str">
        <f>"中共党员"</f>
        <v>中共党员</v>
      </c>
      <c r="C1866" s="1" t="str">
        <f>"专科"</f>
        <v>专科</v>
      </c>
      <c r="D1866" s="1" t="str">
        <f>"20220701"</f>
        <v>20220701</v>
      </c>
      <c r="E1866" s="1" t="str">
        <f>"郑州电力职业技术学院"</f>
        <v>郑州电力职业技术学院</v>
      </c>
      <c r="F1866" s="1" t="str">
        <f>"工程造价"</f>
        <v>工程造价</v>
      </c>
      <c r="G1866" s="1" t="str">
        <f>"河南省邓州市花洲街道新华东路"</f>
        <v>河南省邓州市花洲街道新华东路</v>
      </c>
      <c r="H1866" s="1" t="str">
        <f t="shared" si="924"/>
        <v>无</v>
      </c>
      <c r="I1866" s="1" t="str">
        <f>"2016年09月至2019年06月邓州市第六高级中学
2019年09月至2022年06月郑州电力职业技术学院
2022年09月至2024年09月北京武警机动二支队
2024年12月至今北京金蓝盾安保公司邓州分公司"</f>
        <v>2016年09月至2019年06月邓州市第六高级中学
2019年09月至2022年06月郑州电力职业技术学院
2022年09月至2024年09月北京武警机动二支队
2024年12月至今北京金蓝盾安保公司邓州分公司</v>
      </c>
    </row>
    <row r="1867" spans="1:9">
      <c r="A1867" s="1" t="str">
        <f>"411327199806291113"</f>
        <v>411327199806291113</v>
      </c>
      <c r="B1867" s="1" t="str">
        <f t="shared" si="923"/>
        <v>群众</v>
      </c>
      <c r="C1867" s="1" t="str">
        <f t="shared" si="925"/>
        <v>本科</v>
      </c>
      <c r="D1867" s="1" t="str">
        <f>"20210701"</f>
        <v>20210701</v>
      </c>
      <c r="E1867" s="1" t="str">
        <f>"河南理工大学"</f>
        <v>河南理工大学</v>
      </c>
      <c r="F1867" s="1" t="str">
        <f>"广告学"</f>
        <v>广告学</v>
      </c>
      <c r="G1867" s="1" t="str">
        <f>"河南省南阳市内乡县赤眉镇杨店村坡根24号"</f>
        <v>河南省南阳市内乡县赤眉镇杨店村坡根24号</v>
      </c>
      <c r="H1867" s="1" t="str">
        <f t="shared" si="924"/>
        <v>无</v>
      </c>
      <c r="I1867" s="1" t="str">
        <f>"201709-202106 河南理工大学就读
202107-202507 内乡县待业"</f>
        <v>201709-202106 河南理工大学就读
202107-202507 内乡县待业</v>
      </c>
    </row>
    <row r="1868" spans="1:9">
      <c r="A1868" s="1" t="str">
        <f>"411327200302133846"</f>
        <v>411327200302133846</v>
      </c>
      <c r="B1868" s="1" t="str">
        <f>"共青团员"</f>
        <v>共青团员</v>
      </c>
      <c r="C1868" s="1" t="str">
        <f t="shared" si="925"/>
        <v>本科</v>
      </c>
      <c r="D1868" s="1" t="str">
        <f>"20250607"</f>
        <v>20250607</v>
      </c>
      <c r="E1868" s="1" t="str">
        <f>"安阳学院"</f>
        <v>安阳学院</v>
      </c>
      <c r="F1868" s="1" t="str">
        <f>"英语（师范）"</f>
        <v>英语（师范）</v>
      </c>
      <c r="G1868" s="1" t="str">
        <f>"河南省南阳市社旗县华府"</f>
        <v>河南省南阳市社旗县华府</v>
      </c>
      <c r="H1868" s="1" t="str">
        <f t="shared" si="924"/>
        <v>无</v>
      </c>
      <c r="I1868" s="1" t="str">
        <f>"202109-202506 安阳学院外国语学院英语师范专业 就读"</f>
        <v>202109-202506 安阳学院外国语学院英语师范专业 就读</v>
      </c>
    </row>
    <row r="1869" spans="1:9">
      <c r="A1869" s="1" t="str">
        <f>"411327199411111544"</f>
        <v>411327199411111544</v>
      </c>
      <c r="B1869" s="1" t="str">
        <f t="shared" ref="B1869:B1873" si="926">"群众"</f>
        <v>群众</v>
      </c>
      <c r="C1869" s="1" t="str">
        <f t="shared" si="925"/>
        <v>本科</v>
      </c>
      <c r="D1869" s="1" t="str">
        <f>"20180701"</f>
        <v>20180701</v>
      </c>
      <c r="E1869" s="1" t="str">
        <f>"安阳工学院"</f>
        <v>安阳工学院</v>
      </c>
      <c r="F1869" s="1" t="str">
        <f>"财务管理"</f>
        <v>财务管理</v>
      </c>
      <c r="G1869" s="1" t="str">
        <f>"河南省南阳市内乡县城关镇南园村"</f>
        <v>河南省南阳市内乡县城关镇南园村</v>
      </c>
      <c r="H1869" s="1" t="str">
        <f t="shared" si="924"/>
        <v>无</v>
      </c>
      <c r="I1869" s="1" t="str">
        <f>"2016.9-2018.7 安阳工学院    财务管理专业 就读
2013.9-2016.7  河南牧业经济学院  会计与审计专业 就读
是全日制学历
"</f>
        <v>2016.9-2018.7 安阳工学院    财务管理专业 就读
2013.9-2016.7  河南牧业经济学院  会计与审计专业 就读
是全日制学历
</v>
      </c>
    </row>
    <row r="1870" spans="1:9">
      <c r="A1870" s="1" t="str">
        <f>"410923200109154254"</f>
        <v>410923200109154254</v>
      </c>
      <c r="B1870" s="1" t="str">
        <f t="shared" si="926"/>
        <v>群众</v>
      </c>
      <c r="C1870" s="1" t="str">
        <f t="shared" ref="C1870:C1875" si="927">"专科"</f>
        <v>专科</v>
      </c>
      <c r="D1870" s="1" t="str">
        <f>"2024-07-01"</f>
        <v>2024-07-01</v>
      </c>
      <c r="E1870" s="1" t="str">
        <f>"河南建筑职业技术学院"</f>
        <v>河南建筑职业技术学院</v>
      </c>
      <c r="F1870" s="1" t="str">
        <f>"建筑工程技术"</f>
        <v>建筑工程技术</v>
      </c>
      <c r="G1870" s="1" t="str">
        <f>"河南省濮阳市南乐县西邵乡刘任村"</f>
        <v>河南省濮阳市南乐县西邵乡刘任村</v>
      </c>
      <c r="H1870" s="1" t="str">
        <f t="shared" si="924"/>
        <v>无</v>
      </c>
      <c r="I1870" s="1" t="str">
        <f>"2015年9月-2018年7月在西邵及初级中学学习
2018年9月-2021年7月 在南乐县职业专等院校学习
2021年9月-2024年7月 在河南建筑职业技术学院学习"</f>
        <v>2015年9月-2018年7月在西邵及初级中学学习
2018年9月-2021年7月 在南乐县职业专等院校学习
2021年9月-2024年7月 在河南建筑职业技术学院学习</v>
      </c>
    </row>
    <row r="1871" spans="1:9">
      <c r="A1871" s="1" t="str">
        <f>"411330199809200529"</f>
        <v>411330199809200529</v>
      </c>
      <c r="B1871" s="1" t="str">
        <f>"共青团员"</f>
        <v>共青团员</v>
      </c>
      <c r="C1871" s="1" t="str">
        <f t="shared" ref="C1871:C1874" si="928">"本科"</f>
        <v>本科</v>
      </c>
      <c r="D1871" s="1" t="str">
        <f>"20210610"</f>
        <v>20210610</v>
      </c>
      <c r="E1871" s="1" t="str">
        <f>"周口师范学院"</f>
        <v>周口师范学院</v>
      </c>
      <c r="F1871" s="1" t="str">
        <f>"汉语言文学"</f>
        <v>汉语言文学</v>
      </c>
      <c r="G1871" s="1" t="str">
        <f>"河南省南阳市西峡县建设路新天地小区8号楼"</f>
        <v>河南省南阳市西峡县建设路新天地小区8号楼</v>
      </c>
      <c r="H1871" s="1" t="str">
        <f t="shared" si="924"/>
        <v>无</v>
      </c>
      <c r="I1871" s="1" t="str">
        <f>"201709-202106  周口师范学院 文学院 汉语言文学专业就读  
是全日制学历
202107-202208   在家待业
202209-202307    西峡县丁河镇第二初级中学  （代课）
202309-202407   西峡县城区莲花小学（代课）
202407-202507   在家待业"</f>
        <v>201709-202106  周口师范学院 文学院 汉语言文学专业就读  
是全日制学历
202107-202208   在家待业
202209-202307    西峡县丁河镇第二初级中学  （代课）
202309-202407   西峡县城区莲花小学（代课）
202407-202507   在家待业</v>
      </c>
    </row>
    <row r="1872" spans="1:9">
      <c r="A1872" s="1" t="str">
        <f>"522631199412190026"</f>
        <v>522631199412190026</v>
      </c>
      <c r="B1872" s="1" t="str">
        <f t="shared" si="926"/>
        <v>群众</v>
      </c>
      <c r="C1872" s="1" t="str">
        <f t="shared" si="927"/>
        <v>专科</v>
      </c>
      <c r="D1872" s="1" t="str">
        <f>"2018.07"</f>
        <v>2018.07</v>
      </c>
      <c r="E1872" s="1" t="str">
        <f>"山东现代学院"</f>
        <v>山东现代学院</v>
      </c>
      <c r="F1872" s="1" t="str">
        <f>"护理"</f>
        <v>护理</v>
      </c>
      <c r="G1872" s="1" t="str">
        <f>"南阳市宛城区经十路"</f>
        <v>南阳市宛城区经十路</v>
      </c>
      <c r="H1872" s="1" t="str">
        <f>"护士资格证"</f>
        <v>护士资格证</v>
      </c>
      <c r="I1872" s="1" t="str">
        <f>"2015.09-2018.07 山东现代学院 护理学院 护理专业就读。全日制。
2018.09-2021.06 河南南阳待业。
2021.07-2025.01 南阳市卧龙区中医院从事临床护理工作。
2025.01-- 河南南阳待业。
"</f>
        <v>2015.09-2018.07 山东现代学院 护理学院 护理专业就读。全日制。
2018.09-2021.06 河南南阳待业。
2021.07-2025.01 南阳市卧龙区中医院从事临床护理工作。
2025.01-- 河南南阳待业。
</v>
      </c>
    </row>
    <row r="1873" spans="1:9">
      <c r="A1873" s="1" t="str">
        <f>"620122199008020226"</f>
        <v>620122199008020226</v>
      </c>
      <c r="B1873" s="1" t="str">
        <f t="shared" si="926"/>
        <v>群众</v>
      </c>
      <c r="C1873" s="1" t="str">
        <f t="shared" si="928"/>
        <v>本科</v>
      </c>
      <c r="D1873" s="1" t="str">
        <f>"20140630"</f>
        <v>20140630</v>
      </c>
      <c r="E1873" s="1" t="str">
        <f>"闽南师范大学"</f>
        <v>闽南师范大学</v>
      </c>
      <c r="F1873" s="1" t="str">
        <f>"国际经济与贸易"</f>
        <v>国际经济与贸易</v>
      </c>
      <c r="G1873" s="1" t="str">
        <f>"甘肃省兰州市皋兰县石洞乡明星村五社40号"</f>
        <v>甘肃省兰州市皋兰县石洞乡明星村五社40号</v>
      </c>
      <c r="H1873" s="1" t="str">
        <f t="shared" ref="H1873:H1875" si="929">"无"</f>
        <v>无</v>
      </c>
      <c r="I1873" s="1" t="str">
        <f>"201009-201406 闽南师范大学经济学系国际经济与贸易专业 就读  全日制学历。"</f>
        <v>201009-201406 闽南师范大学经济学系国际经济与贸易专业 就读  全日制学历。</v>
      </c>
    </row>
    <row r="1874" spans="1:9">
      <c r="A1874" s="1" t="str">
        <f>"652701200302115123"</f>
        <v>652701200302115123</v>
      </c>
      <c r="B1874" s="1" t="str">
        <f>"共青团员"</f>
        <v>共青团员</v>
      </c>
      <c r="C1874" s="1" t="str">
        <f t="shared" si="928"/>
        <v>本科</v>
      </c>
      <c r="D1874" s="1" t="str">
        <f>"20250620"</f>
        <v>20250620</v>
      </c>
      <c r="E1874" s="1" t="str">
        <f>"河南财经政法大学"</f>
        <v>河南财经政法大学</v>
      </c>
      <c r="F1874" s="1" t="str">
        <f>"投资学(期货方向)"</f>
        <v>投资学(期货方向)</v>
      </c>
      <c r="G1874" s="1" t="str">
        <f>"河南省南阳市内乡县城关镇"</f>
        <v>河南省南阳市内乡县城关镇</v>
      </c>
      <c r="H1874" s="1" t="str">
        <f t="shared" si="929"/>
        <v>无</v>
      </c>
      <c r="I1874" s="1" t="str">
        <f>"202109-202506在河南财经政法大学金融学院投资学(期货方向)专业就读，是全日制学历"</f>
        <v>202109-202506在河南财经政法大学金融学院投资学(期货方向)专业就读，是全日制学历</v>
      </c>
    </row>
    <row r="1875" spans="1:9">
      <c r="A1875" s="1" t="str">
        <f>"411302200501060152"</f>
        <v>411302200501060152</v>
      </c>
      <c r="B1875" s="1" t="str">
        <f t="shared" ref="B1875:B1878" si="930">"群众"</f>
        <v>群众</v>
      </c>
      <c r="C1875" s="1" t="str">
        <f t="shared" si="927"/>
        <v>专科</v>
      </c>
      <c r="D1875" s="1" t="str">
        <f>"20250630"</f>
        <v>20250630</v>
      </c>
      <c r="E1875" s="1" t="str">
        <f>"三门峡职业技术学院"</f>
        <v>三门峡职业技术学院</v>
      </c>
      <c r="F1875" s="1" t="str">
        <f>"医学影像技术"</f>
        <v>医学影像技术</v>
      </c>
      <c r="G1875" s="1" t="str">
        <f>"南阳市靖宇路86号玉阳小区"</f>
        <v>南阳市靖宇路86号玉阳小区</v>
      </c>
      <c r="H1875" s="1" t="str">
        <f t="shared" si="929"/>
        <v>无</v>
      </c>
      <c r="I1875" s="1" t="str">
        <f>"202209-202506三门峡职业技术学院医护学院医学影像技术专业就读，全日制专科
202406-202505在南阳市第二人民医院医学影像科实习"</f>
        <v>202209-202506三门峡职业技术学院医护学院医学影像技术专业就读，全日制专科
202406-202505在南阳市第二人民医院医学影像科实习</v>
      </c>
    </row>
    <row r="1876" spans="1:9">
      <c r="A1876" s="1" t="str">
        <f>"411321199104154167"</f>
        <v>411321199104154167</v>
      </c>
      <c r="B1876" s="1" t="str">
        <f t="shared" si="930"/>
        <v>群众</v>
      </c>
      <c r="C1876" s="1" t="str">
        <f t="shared" ref="C1876:C1879" si="931">"本科"</f>
        <v>本科</v>
      </c>
      <c r="D1876" s="1" t="str">
        <f>"20130701"</f>
        <v>20130701</v>
      </c>
      <c r="E1876" s="1" t="str">
        <f>"郑州大学升达经贸管理学院"</f>
        <v>郑州大学升达经贸管理学院</v>
      </c>
      <c r="F1876" s="1" t="str">
        <f>"市场营销（国际营销方向）"</f>
        <v>市场营销（国际营销方向）</v>
      </c>
      <c r="G1876" s="1" t="str">
        <f>"河南省南阳市桐柏县"</f>
        <v>河南省南阳市桐柏县</v>
      </c>
      <c r="H1876" s="1" t="str">
        <f>"中小学二级"</f>
        <v>中小学二级</v>
      </c>
      <c r="I1876" s="1" t="str">
        <f>"200909-201307郑州大学升达经贸管理学院 市场营销系 全日制
201309-201707唐河县东王集乡二中
201709-202207桐柏县回龙乡初级中学
202209-至今 桐柏县淮渎完全学校"</f>
        <v>200909-201307郑州大学升达经贸管理学院 市场营销系 全日制
201309-201707唐河县东王集乡二中
201709-202207桐柏县回龙乡初级中学
202209-至今 桐柏县淮渎完全学校</v>
      </c>
    </row>
    <row r="1877" spans="1:9">
      <c r="A1877" s="1" t="str">
        <f>"411327199505201110"</f>
        <v>411327199505201110</v>
      </c>
      <c r="B1877" s="1" t="str">
        <f>"中共党员"</f>
        <v>中共党员</v>
      </c>
      <c r="C1877" s="1" t="str">
        <f t="shared" si="931"/>
        <v>本科</v>
      </c>
      <c r="D1877" s="1" t="str">
        <f>"20190701"</f>
        <v>20190701</v>
      </c>
      <c r="E1877" s="1" t="str">
        <f>"安阳师范学院"</f>
        <v>安阳师范学院</v>
      </c>
      <c r="F1877" s="1" t="str">
        <f>"行政管理"</f>
        <v>行政管理</v>
      </c>
      <c r="G1877" s="1" t="str">
        <f>"内乡县赤眉镇天宝社区"</f>
        <v>内乡县赤眉镇天宝社区</v>
      </c>
      <c r="H1877" s="1" t="str">
        <f t="shared" ref="H1877:H1894" si="932">"无"</f>
        <v>无</v>
      </c>
      <c r="I1877" s="1" t="str">
        <f>"201309-201607济源职业技术学院机电一体化专业就读，全日制学历。
201607-201704在家待业。
201703-201907安阳师范学院行政管理专业就读，非全日制学历。
201704-201908邓州牧原养殖有限公司就业。
201909-201910在家待业。
201910-202001光大银行信用卡南阳分部就业
202002-202502新野县明德双语学校就业。
202502-至今    在家待业。"</f>
        <v>201309-201607济源职业技术学院机电一体化专业就读，全日制学历。
201607-201704在家待业。
201703-201907安阳师范学院行政管理专业就读，非全日制学历。
201704-201908邓州牧原养殖有限公司就业。
201909-201910在家待业。
201910-202001光大银行信用卡南阳分部就业
202002-202502新野县明德双语学校就业。
202502-至今    在家待业。</v>
      </c>
    </row>
    <row r="1878" spans="1:9">
      <c r="A1878" s="1" t="str">
        <f>"410326200006130010"</f>
        <v>410326200006130010</v>
      </c>
      <c r="B1878" s="1" t="str">
        <f t="shared" si="930"/>
        <v>群众</v>
      </c>
      <c r="C1878" s="1" t="str">
        <f t="shared" si="931"/>
        <v>本科</v>
      </c>
      <c r="D1878" s="1" t="str">
        <f>"20220701"</f>
        <v>20220701</v>
      </c>
      <c r="E1878" s="1" t="str">
        <f>"河南工学院"</f>
        <v>河南工学院</v>
      </c>
      <c r="F1878" s="1" t="str">
        <f>"机器人工程"</f>
        <v>机器人工程</v>
      </c>
      <c r="G1878" s="1" t="str">
        <f>"河南省洛阳市汝阳县城关镇医药公司家属楼"</f>
        <v>河南省洛阳市汝阳县城关镇医药公司家属楼</v>
      </c>
      <c r="H1878" s="1" t="str">
        <f t="shared" si="932"/>
        <v>无</v>
      </c>
      <c r="I1878" s="1" t="str">
        <f>"201809-202207 河南工学院 智能工程学院 机器人工程专业就读 全日制
202207-202312 江苏省远东电缆 任电气工程师
202212-至今 待业"</f>
        <v>201809-202207 河南工学院 智能工程学院 机器人工程专业就读 全日制
202207-202312 江苏省远东电缆 任电气工程师
202212-至今 待业</v>
      </c>
    </row>
    <row r="1879" spans="1:9">
      <c r="A1879" s="1" t="str">
        <f>"411327200112274912"</f>
        <v>411327200112274912</v>
      </c>
      <c r="B1879" s="1" t="str">
        <f>"中共党员"</f>
        <v>中共党员</v>
      </c>
      <c r="C1879" s="1" t="str">
        <f t="shared" si="931"/>
        <v>本科</v>
      </c>
      <c r="D1879" s="1" t="str">
        <f>"20240615"</f>
        <v>20240615</v>
      </c>
      <c r="E1879" s="1" t="str">
        <f>"郑州科技学院"</f>
        <v>郑州科技学院</v>
      </c>
      <c r="F1879" s="1" t="str">
        <f>"交通运输"</f>
        <v>交通运输</v>
      </c>
      <c r="G1879" s="1" t="str">
        <f>"河南省南阳市内乡县灌涨镇"</f>
        <v>河南省南阳市内乡县灌涨镇</v>
      </c>
      <c r="H1879" s="1" t="str">
        <f t="shared" si="932"/>
        <v>无</v>
      </c>
      <c r="I1879" s="1" t="str">
        <f>"202009-202406于郑州科技学院车辆与交通工程学院交通运输专业就读，全日制本科毕业。"</f>
        <v>202009-202406于郑州科技学院车辆与交通工程学院交通运输专业就读，全日制本科毕业。</v>
      </c>
    </row>
    <row r="1880" spans="1:9">
      <c r="A1880" s="1" t="str">
        <f>"411330199705120022"</f>
        <v>411330199705120022</v>
      </c>
      <c r="B1880" s="1" t="str">
        <f t="shared" ref="B1880:B1884" si="933">"群众"</f>
        <v>群众</v>
      </c>
      <c r="C1880" s="1" t="str">
        <f>"专科"</f>
        <v>专科</v>
      </c>
      <c r="D1880" s="1" t="str">
        <f>"20190701"</f>
        <v>20190701</v>
      </c>
      <c r="E1880" s="1" t="str">
        <f>"河南经贸职业学院"</f>
        <v>河南经贸职业学院</v>
      </c>
      <c r="F1880" s="1" t="str">
        <f>"报关与国际货运"</f>
        <v>报关与国际货运</v>
      </c>
      <c r="G1880" s="1" t="str">
        <f>"河南省南阳市西峡县丹水镇七峪村崔凹组"</f>
        <v>河南省南阳市西峡县丹水镇七峪村崔凹组</v>
      </c>
      <c r="H1880" s="1" t="str">
        <f t="shared" si="932"/>
        <v>无</v>
      </c>
      <c r="I1880" s="1" t="str">
        <f>"2016.09-2019.07  河南经贸职业学院  就读
2018.12-2024.01  河南盛煌电力设备有限公司 工作
2024.02-至今        西峡县鑫汇石墨制品有限公司 工作"</f>
        <v>2016.09-2019.07  河南经贸职业学院  就读
2018.12-2024.01  河南盛煌电力设备有限公司 工作
2024.02-至今        西峡县鑫汇石墨制品有限公司 工作</v>
      </c>
    </row>
    <row r="1881" spans="1:9">
      <c r="A1881" s="1" t="str">
        <f>"411303199801262419"</f>
        <v>411303199801262419</v>
      </c>
      <c r="B1881" s="1" t="str">
        <f>"共青团员"</f>
        <v>共青团员</v>
      </c>
      <c r="C1881" s="1" t="str">
        <f t="shared" ref="C1881:C1885" si="934">"本科"</f>
        <v>本科</v>
      </c>
      <c r="D1881" s="1" t="str">
        <f t="shared" ref="D1881:D1886" si="935">"20200701"</f>
        <v>20200701</v>
      </c>
      <c r="E1881" s="1" t="str">
        <f>"河南城建学院"</f>
        <v>河南城建学院</v>
      </c>
      <c r="F1881" s="1" t="str">
        <f>"给排水科学与工程"</f>
        <v>给排水科学与工程</v>
      </c>
      <c r="G1881" s="1" t="str">
        <f>"南阳市宛城区新华街道南阳市四中操场家属院四号楼一单元"</f>
        <v>南阳市宛城区新华街道南阳市四中操场家属院四号楼一单元</v>
      </c>
      <c r="H1881" s="1" t="str">
        <f t="shared" si="932"/>
        <v>无</v>
      </c>
      <c r="I1881" s="1" t="str">
        <f>"201609-202007 河南城建学院 市政与环境工程学院 给排水科学与工程专业就读 全日制本科学历
202007-202207 居家待业
202207-202210 想念集团有限公司计划部计划专员
202211-202308 居家待业
202309-202505 南阳文旅体集团三级子公司河南星娱传媒文化有限公司
202506-202507 居家待业"</f>
        <v>201609-202007 河南城建学院 市政与环境工程学院 给排水科学与工程专业就读 全日制本科学历
202007-202207 居家待业
202207-202210 想念集团有限公司计划部计划专员
202211-202308 居家待业
202309-202505 南阳文旅体集团三级子公司河南星娱传媒文化有限公司
202506-202507 居家待业</v>
      </c>
    </row>
    <row r="1882" spans="1:9">
      <c r="A1882" s="1" t="str">
        <f>"411327199801023128"</f>
        <v>411327199801023128</v>
      </c>
      <c r="B1882" s="1" t="str">
        <f t="shared" si="933"/>
        <v>群众</v>
      </c>
      <c r="C1882" s="1" t="str">
        <f t="shared" si="934"/>
        <v>本科</v>
      </c>
      <c r="D1882" s="1" t="str">
        <f t="shared" si="935"/>
        <v>20200701</v>
      </c>
      <c r="E1882" s="1" t="str">
        <f>"中原工学院信息商务学院"</f>
        <v>中原工学院信息商务学院</v>
      </c>
      <c r="F1882" s="1" t="str">
        <f>"商务英语"</f>
        <v>商务英语</v>
      </c>
      <c r="G1882" s="1" t="str">
        <f>"河南省南阳市内乡县"</f>
        <v>河南省南阳市内乡县</v>
      </c>
      <c r="H1882" s="1" t="str">
        <f t="shared" si="932"/>
        <v>无</v>
      </c>
      <c r="I1882" s="1" t="str">
        <f>"20160901-20200701 中原工学院信息商务学院 外语系 商务英语专业 全日制本科
20200805-20210628 内乡牧原综合体 发展建设部 办公室专员
20210629-20221116 内乡牧原综合体 销售部 统计分析岗
20230321-20231113 可可包装 办公室专员
20231114-20240814 南阳东福新材料有限公司 研发部 研发专员
20240815至今 在家待业"</f>
        <v>20160901-20200701 中原工学院信息商务学院 外语系 商务英语专业 全日制本科
20200805-20210628 内乡牧原综合体 发展建设部 办公室专员
20210629-20221116 内乡牧原综合体 销售部 统计分析岗
20230321-20231113 可可包装 办公室专员
20231114-20240814 南阳东福新材料有限公司 研发部 研发专员
20240815至今 在家待业</v>
      </c>
    </row>
    <row r="1883" spans="1:9">
      <c r="A1883" s="1" t="str">
        <f>"411327199909053919"</f>
        <v>411327199909053919</v>
      </c>
      <c r="B1883" s="1" t="str">
        <f t="shared" si="933"/>
        <v>群众</v>
      </c>
      <c r="C1883" s="1" t="str">
        <f t="shared" si="934"/>
        <v>本科</v>
      </c>
      <c r="D1883" s="1" t="str">
        <f>"20210701"</f>
        <v>20210701</v>
      </c>
      <c r="E1883" s="1" t="str">
        <f>"河南中医药大学"</f>
        <v>河南中医药大学</v>
      </c>
      <c r="F1883" s="1" t="str">
        <f>"计算机科学与技术"</f>
        <v>计算机科学与技术</v>
      </c>
      <c r="G1883" s="1" t="str">
        <f>"河南省南阳市内乡县公园里璟庭一号楼一单元203"</f>
        <v>河南省南阳市内乡县公园里璟庭一号楼一单元203</v>
      </c>
      <c r="H1883" s="1" t="str">
        <f t="shared" si="932"/>
        <v>无</v>
      </c>
      <c r="I1883" s="1" t="str">
        <f>"201709-202107 河南中医药大学 信息技术学院 计算机科学与技术专业 全日制学历"</f>
        <v>201709-202107 河南中医药大学 信息技术学院 计算机科学与技术专业 全日制学历</v>
      </c>
    </row>
    <row r="1884" spans="1:9">
      <c r="A1884" s="1" t="str">
        <f>"411327199904193525"</f>
        <v>411327199904193525</v>
      </c>
      <c r="B1884" s="1" t="str">
        <f t="shared" si="933"/>
        <v>群众</v>
      </c>
      <c r="C1884" s="1" t="str">
        <f t="shared" si="934"/>
        <v>本科</v>
      </c>
      <c r="D1884" s="1" t="str">
        <f>"20211230"</f>
        <v>20211230</v>
      </c>
      <c r="E1884" s="1" t="str">
        <f>"南京艺术学院"</f>
        <v>南京艺术学院</v>
      </c>
      <c r="F1884" s="1" t="str">
        <f>"视觉传达设计"</f>
        <v>视觉传达设计</v>
      </c>
      <c r="G1884" s="1" t="str">
        <f>"河南省南阳书内乡县郦都花园"</f>
        <v>河南省南阳书内乡县郦都花园</v>
      </c>
      <c r="H1884" s="1" t="str">
        <f t="shared" si="932"/>
        <v>无</v>
      </c>
      <c r="I1884" s="1" t="str">
        <f>"201709-202006 苏州工艺美术职业技术学院 首饰设计与工艺 是全日制
201906-202112 南京艺术学院 视觉传达设计 非全日制 "</f>
        <v>201709-202006 苏州工艺美术职业技术学院 首饰设计与工艺 是全日制
201906-202112 南京艺术学院 视觉传达设计 非全日制 </v>
      </c>
    </row>
    <row r="1885" spans="1:9">
      <c r="A1885" s="1" t="str">
        <f>"41138120030719454X"</f>
        <v>41138120030719454X</v>
      </c>
      <c r="B1885" s="1" t="str">
        <f>"中共党员"</f>
        <v>中共党员</v>
      </c>
      <c r="C1885" s="1" t="str">
        <f t="shared" si="934"/>
        <v>本科</v>
      </c>
      <c r="D1885" s="1" t="str">
        <f>"20250607"</f>
        <v>20250607</v>
      </c>
      <c r="E1885" s="1" t="str">
        <f>"河南理工大学"</f>
        <v>河南理工大学</v>
      </c>
      <c r="F1885" s="1" t="str">
        <f>"土木工程"</f>
        <v>土木工程</v>
      </c>
      <c r="G1885" s="1" t="str">
        <f>"河南省南阳市邓州市张村镇梁庄村"</f>
        <v>河南省南阳市邓州市张村镇梁庄村</v>
      </c>
      <c r="H1885" s="1" t="str">
        <f t="shared" si="932"/>
        <v>无</v>
      </c>
      <c r="I1885" s="1" t="str">
        <f>"202109-202506 河南理工大学土木工程学院土木工程专业就读全日制"</f>
        <v>202109-202506 河南理工大学土木工程学院土木工程专业就读全日制</v>
      </c>
    </row>
    <row r="1886" spans="1:9">
      <c r="A1886" s="1" t="str">
        <f>"412822199805125363"</f>
        <v>412822199805125363</v>
      </c>
      <c r="B1886" s="1" t="str">
        <f t="shared" ref="B1886:B1890" si="936">"群众"</f>
        <v>群众</v>
      </c>
      <c r="C1886" s="1" t="str">
        <f>"专科"</f>
        <v>专科</v>
      </c>
      <c r="D1886" s="1" t="str">
        <f t="shared" si="935"/>
        <v>20200701</v>
      </c>
      <c r="E1886" s="1" t="str">
        <f>"河南财政金融学院"</f>
        <v>河南财政金融学院</v>
      </c>
      <c r="F1886" s="1" t="str">
        <f>"商务英语"</f>
        <v>商务英语</v>
      </c>
      <c r="G1886" s="1" t="str">
        <f>"河南省驻马店市泌阳县王店镇"</f>
        <v>河南省驻马店市泌阳县王店镇</v>
      </c>
      <c r="H1886" s="1" t="str">
        <f t="shared" si="932"/>
        <v>无</v>
      </c>
      <c r="I1886" s="1" t="str">
        <f>"201809-202007河南财政金融学院商务英语专业"</f>
        <v>201809-202007河南财政金融学院商务英语专业</v>
      </c>
    </row>
    <row r="1887" spans="1:9">
      <c r="A1887" s="1" t="str">
        <f>"411327200001170061"</f>
        <v>411327200001170061</v>
      </c>
      <c r="B1887" s="1" t="str">
        <f>"共青团员"</f>
        <v>共青团员</v>
      </c>
      <c r="C1887" s="1" t="str">
        <f t="shared" ref="C1887:C1892" si="937">"本科"</f>
        <v>本科</v>
      </c>
      <c r="D1887" s="1" t="str">
        <f>"2024.7.1"</f>
        <v>2024.7.1</v>
      </c>
      <c r="E1887" s="1" t="str">
        <f>"安阳师范学院"</f>
        <v>安阳师范学院</v>
      </c>
      <c r="F1887" s="1" t="str">
        <f>"小学教育"</f>
        <v>小学教育</v>
      </c>
      <c r="G1887" s="1" t="str">
        <f>"内乡县城关镇渚阳大街125号"</f>
        <v>内乡县城关镇渚阳大街125号</v>
      </c>
      <c r="H1887" s="1" t="str">
        <f t="shared" si="932"/>
        <v>无</v>
      </c>
      <c r="I1887" s="1" t="str">
        <f>"2018.09-2021.07 商丘工学院 教育与现代艺术学院 学前教育就读 专科全日制
2021.07-2021.12  内乡县待业
2021.12-2022.03 内乡县人民检察院 宣传科辅助人员           
2022.03-2024.07  安阳师范学院   教育学院 小学教育就读 大学本科          2024.07-至今 内乡县人民检察院 宣传科辅助人员                                                       "</f>
        <v>2018.09-2021.07 商丘工学院 教育与现代艺术学院 学前教育就读 专科全日制
2021.07-2021.12  内乡县待业
2021.12-2022.03 内乡县人民检察院 宣传科辅助人员           
2022.03-2024.07  安阳师范学院   教育学院 小学教育就读 大学本科          2024.07-至今 内乡县人民检察院 宣传科辅助人员                                                       </v>
      </c>
    </row>
    <row r="1888" spans="1:9">
      <c r="A1888" s="1" t="str">
        <f>"411325200002112522"</f>
        <v>411325200002112522</v>
      </c>
      <c r="B1888" s="1" t="str">
        <f t="shared" si="936"/>
        <v>群众</v>
      </c>
      <c r="C1888" s="1" t="str">
        <f t="shared" si="937"/>
        <v>本科</v>
      </c>
      <c r="D1888" s="1" t="str">
        <f>"20210607"</f>
        <v>20210607</v>
      </c>
      <c r="E1888" s="1" t="str">
        <f>"郑州航空工业管理学院"</f>
        <v>郑州航空工业管理学院</v>
      </c>
      <c r="F1888" s="1" t="str">
        <f>"工业工程"</f>
        <v>工业工程</v>
      </c>
      <c r="G1888" s="1" t="str">
        <f>"河南省南阳市内乡县"</f>
        <v>河南省南阳市内乡县</v>
      </c>
      <c r="H1888" s="1" t="str">
        <f t="shared" si="932"/>
        <v>无</v>
      </c>
      <c r="I1888" s="1" t="str">
        <f>"201709-202106 在郑州航空工业管理学院就读工业工程专业 全日制
202203-202309 在宁波拓普汽车部件有限公司就业
202310-202505 在浙江吉润汽车有限公司就业"</f>
        <v>201709-202106 在郑州航空工业管理学院就读工业工程专业 全日制
202203-202309 在宁波拓普汽车部件有限公司就业
202310-202505 在浙江吉润汽车有限公司就业</v>
      </c>
    </row>
    <row r="1889" spans="1:9">
      <c r="A1889" s="1" t="str">
        <f>"411323199003180721"</f>
        <v>411323199003180721</v>
      </c>
      <c r="B1889" s="1" t="str">
        <f t="shared" si="936"/>
        <v>群众</v>
      </c>
      <c r="C1889" s="1" t="str">
        <f>"专科"</f>
        <v>专科</v>
      </c>
      <c r="D1889" s="1" t="str">
        <f>"20240607"</f>
        <v>20240607</v>
      </c>
      <c r="E1889" s="1" t="str">
        <f>"三门峡职业技术学院"</f>
        <v>三门峡职业技术学院</v>
      </c>
      <c r="F1889" s="1" t="str">
        <f>"计算机应用技术"</f>
        <v>计算机应用技术</v>
      </c>
      <c r="G1889" s="1" t="str">
        <f>"河南省南阳市淅川县东环路卫生局附近"</f>
        <v>河南省南阳市淅川县东环路卫生局附近</v>
      </c>
      <c r="H1889" s="1" t="str">
        <f t="shared" si="932"/>
        <v>无</v>
      </c>
      <c r="I1889" s="1" t="str">
        <f>"202201-202406三门峡职业技术学院就读  非全日制"</f>
        <v>202201-202406三门峡职业技术学院就读  非全日制</v>
      </c>
    </row>
    <row r="1890" spans="1:9">
      <c r="A1890" s="1" t="str">
        <f>"411330199903261547"</f>
        <v>411330199903261547</v>
      </c>
      <c r="B1890" s="1" t="str">
        <f t="shared" si="936"/>
        <v>群众</v>
      </c>
      <c r="C1890" s="1" t="str">
        <f t="shared" si="937"/>
        <v>本科</v>
      </c>
      <c r="D1890" s="1" t="str">
        <f>"2025.07"</f>
        <v>2025.07</v>
      </c>
      <c r="E1890" s="1" t="str">
        <f>"西安工程大学"</f>
        <v>西安工程大学</v>
      </c>
      <c r="F1890" s="1" t="str">
        <f>"汉语言文学"</f>
        <v>汉语言文学</v>
      </c>
      <c r="G1890" s="1" t="str">
        <f>"河南省南阳市西峡县东菜园路16-3"</f>
        <v>河南省南阳市西峡县东菜园路16-3</v>
      </c>
      <c r="H1890" s="1" t="str">
        <f t="shared" si="932"/>
        <v>无</v>
      </c>
      <c r="I1890" s="1" t="str">
        <f>"2018.09.01-2021.07.01河南工业大学中英国际学院 专业：播音与主持 全日制
2021.07.01-2022.10 待业
2022.10-至今 西峡县人民检察院  书记员（2023.4.12-2025.6.24 西安工程大学 专业：汉语言文学 非全日制）"</f>
        <v>2018.09.01-2021.07.01河南工业大学中英国际学院 专业：播音与主持 全日制
2021.07.01-2022.10 待业
2022.10-至今 西峡县人民检察院  书记员（2023.4.12-2025.6.24 西安工程大学 专业：汉语言文学 非全日制）</v>
      </c>
    </row>
    <row r="1891" spans="1:9">
      <c r="A1891" s="1" t="str">
        <f>"411327200204202510"</f>
        <v>411327200204202510</v>
      </c>
      <c r="B1891" s="1" t="str">
        <f>"中共党员"</f>
        <v>中共党员</v>
      </c>
      <c r="C1891" s="1" t="str">
        <f t="shared" si="937"/>
        <v>本科</v>
      </c>
      <c r="D1891" s="1" t="str">
        <f t="shared" ref="D1891:D1896" si="938">"20240701"</f>
        <v>20240701</v>
      </c>
      <c r="E1891" s="1" t="str">
        <f>"郑州轻工业大学"</f>
        <v>郑州轻工业大学</v>
      </c>
      <c r="F1891" s="1" t="str">
        <f>"数据科学与大数据专业"</f>
        <v>数据科学与大数据专业</v>
      </c>
      <c r="G1891" s="1" t="str">
        <f>"河南省南阳市淅川县金河镇"</f>
        <v>河南省南阳市淅川县金河镇</v>
      </c>
      <c r="H1891" s="1" t="str">
        <f t="shared" si="932"/>
        <v>无</v>
      </c>
      <c r="I1891" s="1" t="str">
        <f>"202009-202407 郑州轻工业大学学校国际教育学院数据科学与大数据技术专业就读  全日制学历；
202407-至今金河镇人民政府工作"</f>
        <v>202009-202407 郑州轻工业大学学校国际教育学院数据科学与大数据技术专业就读  全日制学历；
202407-至今金河镇人民政府工作</v>
      </c>
    </row>
    <row r="1892" spans="1:9">
      <c r="A1892" s="1" t="str">
        <f>"410327200109139655"</f>
        <v>410327200109139655</v>
      </c>
      <c r="B1892" s="1" t="str">
        <f t="shared" ref="B1892:B1894" si="939">"共青团员"</f>
        <v>共青团员</v>
      </c>
      <c r="C1892" s="1" t="str">
        <f t="shared" si="937"/>
        <v>本科</v>
      </c>
      <c r="D1892" s="1" t="str">
        <f t="shared" si="938"/>
        <v>20240701</v>
      </c>
      <c r="E1892" s="1" t="str">
        <f>"河南农业大学"</f>
        <v>河南农业大学</v>
      </c>
      <c r="F1892" s="1" t="str">
        <f>"工商管理"</f>
        <v>工商管理</v>
      </c>
      <c r="G1892" s="1" t="str">
        <f>"河南省洛阳市宜阳县阳光花园八号楼"</f>
        <v>河南省洛阳市宜阳县阳光花园八号楼</v>
      </c>
      <c r="H1892" s="1" t="str">
        <f t="shared" si="932"/>
        <v>无</v>
      </c>
      <c r="I1892" s="1" t="str">
        <f>"202009-202407 河南农业大学国际教育学院工商管理专业就读，是全日制学历"</f>
        <v>202009-202407 河南农业大学国际教育学院工商管理专业就读，是全日制学历</v>
      </c>
    </row>
    <row r="1893" spans="1:9">
      <c r="A1893" s="1" t="str">
        <f>"411327199611250039"</f>
        <v>411327199611250039</v>
      </c>
      <c r="B1893" s="1" t="str">
        <f t="shared" si="939"/>
        <v>共青团员</v>
      </c>
      <c r="C1893" s="1" t="str">
        <f>"专科"</f>
        <v>专科</v>
      </c>
      <c r="D1893" s="1" t="str">
        <f>"2016-06-01"</f>
        <v>2016-06-01</v>
      </c>
      <c r="E1893" s="1" t="str">
        <f>"石家庄陆军指挥学院"</f>
        <v>石家庄陆军指挥学院</v>
      </c>
      <c r="F1893" s="1" t="str">
        <f>"军事高技术应用与管理"</f>
        <v>军事高技术应用与管理</v>
      </c>
      <c r="G1893" s="1" t="str">
        <f>"内乡县梨苑山庄香樟园3单元5号楼"</f>
        <v>内乡县梨苑山庄香樟园3单元5号楼</v>
      </c>
      <c r="H1893" s="1" t="str">
        <f t="shared" si="932"/>
        <v>无</v>
      </c>
      <c r="I1893" s="1" t="str">
        <f>"201212-202012  东部战区联指情报局    图像情报制作员
201309-201606  特种作战学院               学员          否全"</f>
        <v>201212-202012  东部战区联指情报局    图像情报制作员
201309-201606  特种作战学院               学员          否全</v>
      </c>
    </row>
    <row r="1894" spans="1:9">
      <c r="A1894" s="1" t="str">
        <f>"411327200012253727"</f>
        <v>411327200012253727</v>
      </c>
      <c r="B1894" s="1" t="str">
        <f t="shared" si="939"/>
        <v>共青团员</v>
      </c>
      <c r="C1894" s="1" t="str">
        <f t="shared" ref="C1894:C1898" si="940">"本科"</f>
        <v>本科</v>
      </c>
      <c r="D1894" s="1" t="str">
        <f>"20250615"</f>
        <v>20250615</v>
      </c>
      <c r="E1894" s="1" t="str">
        <f>"安阳学院"</f>
        <v>安阳学院</v>
      </c>
      <c r="F1894" s="1" t="str">
        <f>"英语"</f>
        <v>英语</v>
      </c>
      <c r="G1894" s="1" t="str">
        <f>"河南省南阳市内乡县桃溪镇桃庄河村庞庄9号"</f>
        <v>河南省南阳市内乡县桃溪镇桃庄河村庞庄9号</v>
      </c>
      <c r="H1894" s="1" t="str">
        <f t="shared" si="932"/>
        <v>无</v>
      </c>
      <c r="I1894" s="1" t="str">
        <f>"202109-202506在安阳学院就读全日制本科"</f>
        <v>202109-202506在安阳学院就读全日制本科</v>
      </c>
    </row>
    <row r="1895" spans="1:9">
      <c r="A1895" s="1" t="str">
        <f>"411327200105053732"</f>
        <v>411327200105053732</v>
      </c>
      <c r="B1895" s="1" t="str">
        <f t="shared" ref="B1895:B1900" si="941">"群众"</f>
        <v>群众</v>
      </c>
      <c r="C1895" s="1" t="str">
        <f>"专科"</f>
        <v>专科</v>
      </c>
      <c r="D1895" s="1" t="str">
        <f>"20210630"</f>
        <v>20210630</v>
      </c>
      <c r="E1895" s="1" t="str">
        <f>"南阳农业职业学院"</f>
        <v>南阳农业职业学院</v>
      </c>
      <c r="F1895" s="1" t="str">
        <f>"机电一体化技术"</f>
        <v>机电一体化技术</v>
      </c>
      <c r="G1895" s="1" t="str">
        <f>"内乡县城关镇宏达北路八巷8号"</f>
        <v>内乡县城关镇宏达北路八巷8号</v>
      </c>
      <c r="H1895" s="1" t="str">
        <f>"中级车工证，中级电子商务师"</f>
        <v>中级车工证，中级电子商务师</v>
      </c>
      <c r="I1895" s="1" t="str">
        <f>"201609-202103南阳农业职业学院机电工程学院机电一体化技术专业就读
202103-202303中国人民武装警察部队江西总队南昌支队服役
202303-至今南阳寅兴电子商务科技有限公司就职"</f>
        <v>201609-202103南阳农业职业学院机电工程学院机电一体化技术专业就读
202103-202303中国人民武装警察部队江西总队南昌支队服役
202303-至今南阳寅兴电子商务科技有限公司就职</v>
      </c>
    </row>
    <row r="1896" spans="1:9">
      <c r="A1896" s="1" t="str">
        <f>"412801200203163534"</f>
        <v>412801200203163534</v>
      </c>
      <c r="B1896" s="1" t="str">
        <f>"中共党员"</f>
        <v>中共党员</v>
      </c>
      <c r="C1896" s="1" t="str">
        <f t="shared" si="940"/>
        <v>本科</v>
      </c>
      <c r="D1896" s="1" t="str">
        <f t="shared" si="938"/>
        <v>20240701</v>
      </c>
      <c r="E1896" s="1" t="str">
        <f>"河南工程学院"</f>
        <v>河南工程学院</v>
      </c>
      <c r="F1896" s="1" t="str">
        <f>"财务管理"</f>
        <v>财务管理</v>
      </c>
      <c r="G1896" s="1" t="str">
        <f>"河南省驻马店市驿城区水屯镇"</f>
        <v>河南省驻马店市驿城区水屯镇</v>
      </c>
      <c r="H1896" s="1" t="str">
        <f>"初级会计师资格证"</f>
        <v>初级会计师资格证</v>
      </c>
      <c r="I1896" s="1" t="str">
        <f>"202009-202407  河南工程学院会计学院财务管理专业就读  全日制本科学历"</f>
        <v>202009-202407  河南工程学院会计学院财务管理专业就读  全日制本科学历</v>
      </c>
    </row>
    <row r="1897" spans="1:9">
      <c r="A1897" s="1" t="str">
        <f>"411327199210144518"</f>
        <v>411327199210144518</v>
      </c>
      <c r="B1897" s="1" t="str">
        <f t="shared" si="941"/>
        <v>群众</v>
      </c>
      <c r="C1897" s="1" t="str">
        <f t="shared" si="940"/>
        <v>本科</v>
      </c>
      <c r="D1897" s="1" t="str">
        <f>"20160625"</f>
        <v>20160625</v>
      </c>
      <c r="E1897" s="1" t="str">
        <f>"湖南工业大学"</f>
        <v>湖南工业大学</v>
      </c>
      <c r="F1897" s="1" t="str">
        <f>"公共事业管理"</f>
        <v>公共事业管理</v>
      </c>
      <c r="G1897" s="1" t="str">
        <f>"河南省内乡县城关镇金河家园"</f>
        <v>河南省内乡县城关镇金河家园</v>
      </c>
      <c r="H1897" s="1" t="str">
        <f>"中华人民共和国法律职业资格证书  C证"</f>
        <v>中华人民共和国法律职业资格证书  C证</v>
      </c>
      <c r="I1897" s="1" t="str">
        <f>"201209-201606  湖南工业大学商学院公共事业管理专业就读，全日制本科；
201609-202205   内乡县工业和信息化局工作；
202205-202404   内乡县人民法院工作；
202405-至今        待业。"</f>
        <v>201209-201606  湖南工业大学商学院公共事业管理专业就读，全日制本科；
201609-202205   内乡县工业和信息化局工作；
202205-202404   内乡县人民法院工作；
202405-至今        待业。</v>
      </c>
    </row>
    <row r="1898" spans="1:9">
      <c r="A1898" s="1" t="str">
        <f>"610202199409182419"</f>
        <v>610202199409182419</v>
      </c>
      <c r="B1898" s="1" t="str">
        <f t="shared" ref="B1898:B1903" si="942">"共青团员"</f>
        <v>共青团员</v>
      </c>
      <c r="C1898" s="1" t="str">
        <f t="shared" si="940"/>
        <v>本科</v>
      </c>
      <c r="D1898" s="1" t="str">
        <f>"20180701"</f>
        <v>20180701</v>
      </c>
      <c r="E1898" s="1" t="str">
        <f>"西安欧亚学院"</f>
        <v>西安欧亚学院</v>
      </c>
      <c r="F1898" s="1" t="str">
        <f>"工商管理"</f>
        <v>工商管理</v>
      </c>
      <c r="G1898" s="1" t="str">
        <f>"南阳市卧龙区建业壹号城邦"</f>
        <v>南阳市卧龙区建业壹号城邦</v>
      </c>
      <c r="H1898" s="1" t="str">
        <f t="shared" ref="H1898:H1902" si="943">"无"</f>
        <v>无</v>
      </c>
      <c r="I1898" s="1" t="str">
        <f>"201609-201807 西安欧亚学院 工商管理 全日制
201807-201901 南阳待业
201901-202211 西安市交警支队曲江大队 辅警
202211-202408 西安待业
202408-至今      南阳市未来物业公司        职员"</f>
        <v>201609-201807 西安欧亚学院 工商管理 全日制
201807-201901 南阳待业
201901-202211 西安市交警支队曲江大队 辅警
202211-202408 西安待业
202408-至今      南阳市未来物业公司        职员</v>
      </c>
    </row>
    <row r="1899" ht="40.5" spans="1:9">
      <c r="A1899" s="1" t="str">
        <f>"411303199406240033"</f>
        <v>411303199406240033</v>
      </c>
      <c r="B1899" s="1" t="str">
        <f>"中共党员"</f>
        <v>中共党员</v>
      </c>
      <c r="C1899" s="1" t="str">
        <f>"专科"</f>
        <v>专科</v>
      </c>
      <c r="D1899" s="1" t="str">
        <f>"20170710"</f>
        <v>20170710</v>
      </c>
      <c r="E1899" s="1" t="str">
        <f>"辽宁省辽阳市职业技术学院"</f>
        <v>辽宁省辽阳市职业技术学院</v>
      </c>
      <c r="F1899" s="1" t="str">
        <f>"会计电算化"</f>
        <v>会计电算化</v>
      </c>
      <c r="G1899" s="1" t="str">
        <f>"河南省南阳市卧龙区滨河西路市政府住宅小区"</f>
        <v>河南省南阳市卧龙区滨河西路市政府住宅小区</v>
      </c>
      <c r="H1899" s="1" t="str">
        <f t="shared" si="943"/>
        <v>无</v>
      </c>
      <c r="I1899" s="3" t="s">
        <v>235</v>
      </c>
    </row>
    <row r="1900" spans="1:9">
      <c r="A1900" s="1" t="str">
        <f>"411327199812301541"</f>
        <v>411327199812301541</v>
      </c>
      <c r="B1900" s="1" t="str">
        <f t="shared" si="941"/>
        <v>群众</v>
      </c>
      <c r="C1900" s="1" t="str">
        <f t="shared" ref="C1900:C1903" si="944">"本科"</f>
        <v>本科</v>
      </c>
      <c r="D1900" s="1" t="str">
        <f>"20210605"</f>
        <v>20210605</v>
      </c>
      <c r="E1900" s="1" t="str">
        <f>"河南理工大学"</f>
        <v>河南理工大学</v>
      </c>
      <c r="F1900" s="1" t="str">
        <f>"材料科学与工程"</f>
        <v>材料科学与工程</v>
      </c>
      <c r="G1900" s="1" t="str">
        <f>"河南省南阳市内乡县湍东镇牛铺村营西7号"</f>
        <v>河南省南阳市内乡县湍东镇牛铺村营西7号</v>
      </c>
      <c r="H1900" s="1" t="str">
        <f t="shared" si="943"/>
        <v>无</v>
      </c>
      <c r="I1900" s="1" t="str">
        <f>"201709-202106河南理工大学 就读
202106至今于内乡县菊潭高中 就职"</f>
        <v>201709-202106河南理工大学 就读
202106至今于内乡县菊潭高中 就职</v>
      </c>
    </row>
    <row r="1901" spans="1:9">
      <c r="A1901" s="1" t="str">
        <f>"41122119990126024X"</f>
        <v>41122119990126024X</v>
      </c>
      <c r="B1901" s="1" t="str">
        <f t="shared" si="942"/>
        <v>共青团员</v>
      </c>
      <c r="C1901" s="1" t="str">
        <f t="shared" si="944"/>
        <v>本科</v>
      </c>
      <c r="D1901" s="1" t="str">
        <f>"20230620"</f>
        <v>20230620</v>
      </c>
      <c r="E1901" s="1" t="str">
        <f>"齐齐哈尔大学"</f>
        <v>齐齐哈尔大学</v>
      </c>
      <c r="F1901" s="1" t="str">
        <f>"音乐表演"</f>
        <v>音乐表演</v>
      </c>
      <c r="G1901" s="1" t="str">
        <f>"河南省洛阳市洛龙区开元大道宝龙广场B区"</f>
        <v>河南省洛阳市洛龙区开元大道宝龙广场B区</v>
      </c>
      <c r="H1901" s="1" t="str">
        <f t="shared" si="943"/>
        <v>无</v>
      </c>
      <c r="I1901" s="1" t="str">
        <f>"201909-202306 齐齐哈尔大学音乐与舞蹈学院音乐表演专业就读，全日制本科生。
"</f>
        <v>201909-202306 齐齐哈尔大学音乐与舞蹈学院音乐表演专业就读，全日制本科生。
</v>
      </c>
    </row>
    <row r="1902" spans="1:9">
      <c r="A1902" s="1" t="str">
        <f>"411327199802141556"</f>
        <v>411327199802141556</v>
      </c>
      <c r="B1902" s="1" t="str">
        <f t="shared" si="942"/>
        <v>共青团员</v>
      </c>
      <c r="C1902" s="1" t="str">
        <f t="shared" si="944"/>
        <v>本科</v>
      </c>
      <c r="D1902" s="1" t="str">
        <f>"20200630"</f>
        <v>20200630</v>
      </c>
      <c r="E1902" s="1" t="str">
        <f>"西北师范大学"</f>
        <v>西北师范大学</v>
      </c>
      <c r="F1902" s="1" t="str">
        <f>"软件工程"</f>
        <v>软件工程</v>
      </c>
      <c r="G1902" s="1" t="str">
        <f>"河南省内乡县城关镇民主社区"</f>
        <v>河南省内乡县城关镇民主社区</v>
      </c>
      <c r="H1902" s="1" t="str">
        <f t="shared" si="943"/>
        <v>无</v>
      </c>
      <c r="I1902" s="1" t="str">
        <f>"201608-202006 西北师范大学 计算机科学与工程学院软件工程专业就读
202009-202209 中国人民解放军66188部队 战士
202301至今 内乡县退役军人事务局 公益岗
"</f>
        <v>201608-202006 西北师范大学 计算机科学与工程学院软件工程专业就读
202009-202209 中国人民解放军66188部队 战士
202301至今 内乡县退役军人事务局 公益岗
</v>
      </c>
    </row>
    <row r="1903" spans="1:9">
      <c r="A1903" s="1" t="str">
        <f>"410323200104240054"</f>
        <v>410323200104240054</v>
      </c>
      <c r="B1903" s="1" t="str">
        <f t="shared" si="942"/>
        <v>共青团员</v>
      </c>
      <c r="C1903" s="1" t="str">
        <f t="shared" si="944"/>
        <v>本科</v>
      </c>
      <c r="D1903" s="1" t="str">
        <f>"20190701"</f>
        <v>20190701</v>
      </c>
      <c r="E1903" s="1" t="str">
        <f>"黄淮学院"</f>
        <v>黄淮学院</v>
      </c>
      <c r="F1903" s="1" t="str">
        <f>"网络工程"</f>
        <v>网络工程</v>
      </c>
      <c r="G1903" s="1" t="str">
        <f>"河南省洛阳市新安县"</f>
        <v>河南省洛阳市新安县</v>
      </c>
      <c r="H1903" s="1" t="str">
        <f>"英语四级，计算机维修工 三级/高级，计算机程序设计员 三级/高级工，普通话二级乙等"</f>
        <v>英语四级，计算机维修工 三级/高级，计算机程序设计员 三级/高级工，普通话二级乙等</v>
      </c>
      <c r="I1903" s="1" t="str">
        <f>"201909-202306 在黄淮学院计算机与人工智能学院系网络工程专业就读，四年全日制本科。"</f>
        <v>201909-202306 在黄淮学院计算机与人工智能学院系网络工程专业就读，四年全日制本科。</v>
      </c>
    </row>
    <row r="1904" spans="1:9">
      <c r="A1904" s="1" t="str">
        <f>"411325200102030049"</f>
        <v>411325200102030049</v>
      </c>
      <c r="B1904" s="1" t="str">
        <f t="shared" ref="B1904:B1907" si="945">"群众"</f>
        <v>群众</v>
      </c>
      <c r="C1904" s="1" t="str">
        <f>"专科"</f>
        <v>专科</v>
      </c>
      <c r="D1904" s="1" t="str">
        <f>"20210607"</f>
        <v>20210607</v>
      </c>
      <c r="E1904" s="1" t="str">
        <f>"信阳职业技术学院"</f>
        <v>信阳职业技术学院</v>
      </c>
      <c r="F1904" s="1" t="str">
        <f>"语文教育"</f>
        <v>语文教育</v>
      </c>
      <c r="G1904" s="1" t="str">
        <f>"河南省南阳市内乡县城关镇前营"</f>
        <v>河南省南阳市内乡县城关镇前营</v>
      </c>
      <c r="H1904" s="1" t="str">
        <f t="shared" ref="H1904:H1927" si="946">"无"</f>
        <v>无</v>
      </c>
      <c r="I1904" s="1" t="str">
        <f>"201809-202106 信阳职业技术学院就读"</f>
        <v>201809-202106 信阳职业技术学院就读</v>
      </c>
    </row>
    <row r="1905" spans="1:9">
      <c r="A1905" s="1" t="str">
        <f>"411327199811201514"</f>
        <v>411327199811201514</v>
      </c>
      <c r="B1905" s="1" t="str">
        <f t="shared" si="945"/>
        <v>群众</v>
      </c>
      <c r="C1905" s="1" t="str">
        <f t="shared" ref="C1905:C1912" si="947">"本科"</f>
        <v>本科</v>
      </c>
      <c r="D1905" s="1" t="str">
        <f>"20210701"</f>
        <v>20210701</v>
      </c>
      <c r="E1905" s="1" t="str">
        <f>"商丘学院"</f>
        <v>商丘学院</v>
      </c>
      <c r="F1905" s="1" t="str">
        <f>"环境设计"</f>
        <v>环境设计</v>
      </c>
      <c r="G1905" s="1" t="str">
        <f>"河南省南阳市内乡县湍东镇茶庵村"</f>
        <v>河南省南阳市内乡县湍东镇茶庵村</v>
      </c>
      <c r="H1905" s="1" t="str">
        <f t="shared" si="946"/>
        <v>无</v>
      </c>
      <c r="I1905" s="1" t="str">
        <f>"201709-202107在商丘学院就读于艺术与教育系环境设计全日制本科"</f>
        <v>201709-202107在商丘学院就读于艺术与教育系环境设计全日制本科</v>
      </c>
    </row>
    <row r="1906" spans="1:9">
      <c r="A1906" s="1" t="str">
        <f>"41133019961201081X"</f>
        <v>41133019961201081X</v>
      </c>
      <c r="B1906" s="1" t="str">
        <f t="shared" si="945"/>
        <v>群众</v>
      </c>
      <c r="C1906" s="1" t="str">
        <f>"硕士研究生"</f>
        <v>硕士研究生</v>
      </c>
      <c r="D1906" s="1" t="str">
        <f>"20230620"</f>
        <v>20230620</v>
      </c>
      <c r="E1906" s="1" t="str">
        <f>"吉林外国语大学"</f>
        <v>吉林外国语大学</v>
      </c>
      <c r="F1906" s="1" t="str">
        <f>"会计"</f>
        <v>会计</v>
      </c>
      <c r="G1906" s="1" t="str">
        <f>"河南省南阳市西峡县"</f>
        <v>河南省南阳市西峡县</v>
      </c>
      <c r="H1906" s="1" t="str">
        <f t="shared" si="946"/>
        <v>无</v>
      </c>
      <c r="I1906" s="1" t="str">
        <f>"201509-201906 天津工业大学 管理学院公共事业管理专业就读 全日制学历
201907-202005 中国地震局地球物理勘探中心 财务部出纳岗位
202006-202108 河南省南阳市西峡县 待业
202109-202306 吉林外国语大学 会计专业
202307-202312 信阳市文化旅游投资集团有限公司，会计岗位
202401-202409 西峡县众德汽车部件有限公司，会计岗位
202410-至今，河南省宜居龙乡环保集团有限公司，员工"</f>
        <v>201509-201906 天津工业大学 管理学院公共事业管理专业就读 全日制学历
201907-202005 中国地震局地球物理勘探中心 财务部出纳岗位
202006-202108 河南省南阳市西峡县 待业
202109-202306 吉林外国语大学 会计专业
202307-202312 信阳市文化旅游投资集团有限公司，会计岗位
202401-202409 西峡县众德汽车部件有限公司，会计岗位
202410-至今，河南省宜居龙乡环保集团有限公司，员工</v>
      </c>
    </row>
    <row r="1907" spans="1:9">
      <c r="A1907" s="1" t="str">
        <f>"41070220030720052X"</f>
        <v>41070220030720052X</v>
      </c>
      <c r="B1907" s="1" t="str">
        <f t="shared" si="945"/>
        <v>群众</v>
      </c>
      <c r="C1907" s="1" t="str">
        <f t="shared" si="947"/>
        <v>本科</v>
      </c>
      <c r="D1907" s="1" t="str">
        <f>"20250606"</f>
        <v>20250606</v>
      </c>
      <c r="E1907" s="1" t="str">
        <f>"河南大学"</f>
        <v>河南大学</v>
      </c>
      <c r="F1907" s="1" t="str">
        <f>"工商管理"</f>
        <v>工商管理</v>
      </c>
      <c r="G1907" s="1" t="str">
        <f>"河南省新乡市红旗区人民东路108号"</f>
        <v>河南省新乡市红旗区人民东路108号</v>
      </c>
      <c r="H1907" s="1" t="str">
        <f t="shared" si="946"/>
        <v>无</v>
      </c>
      <c r="I1907" s="1" t="str">
        <f>"202109-202506 河南大学 就读"</f>
        <v>202109-202506 河南大学 就读</v>
      </c>
    </row>
    <row r="1908" spans="1:9">
      <c r="A1908" s="1" t="str">
        <f>"411327200111221528"</f>
        <v>411327200111221528</v>
      </c>
      <c r="B1908" s="1" t="str">
        <f t="shared" ref="B1908:B1913" si="948">"共青团员"</f>
        <v>共青团员</v>
      </c>
      <c r="C1908" s="1" t="str">
        <f t="shared" si="947"/>
        <v>本科</v>
      </c>
      <c r="D1908" s="1" t="str">
        <f>"20230701"</f>
        <v>20230701</v>
      </c>
      <c r="E1908" s="1" t="str">
        <f>"郑州师范学院"</f>
        <v>郑州师范学院</v>
      </c>
      <c r="F1908" s="1" t="str">
        <f>"计算机科学与技术"</f>
        <v>计算机科学与技术</v>
      </c>
      <c r="G1908" s="1" t="str">
        <f>"河南省内乡县湍东镇东王营"</f>
        <v>河南省内乡县湍东镇东王营</v>
      </c>
      <c r="H1908" s="1" t="str">
        <f t="shared" si="946"/>
        <v>无</v>
      </c>
      <c r="I1908" s="1" t="str">
        <f>"201909-202307郑州师范学院信息科学与技术学院计算机科学与技术专业就读，全日制；
202307至今待业"</f>
        <v>201909-202307郑州师范学院信息科学与技术学院计算机科学与技术专业就读，全日制；
202307至今待业</v>
      </c>
    </row>
    <row r="1909" spans="1:9">
      <c r="A1909" s="1" t="str">
        <f>"412824200102155134"</f>
        <v>412824200102155134</v>
      </c>
      <c r="B1909" s="1" t="str">
        <f t="shared" ref="B1909:B1912" si="949">"中共党员"</f>
        <v>中共党员</v>
      </c>
      <c r="C1909" s="1" t="str">
        <f t="shared" si="947"/>
        <v>本科</v>
      </c>
      <c r="D1909" s="1" t="str">
        <f>"20240617"</f>
        <v>20240617</v>
      </c>
      <c r="E1909" s="1" t="str">
        <f>"郑州工商学院"</f>
        <v>郑州工商学院</v>
      </c>
      <c r="F1909" s="1" t="str">
        <f>"学前教育"</f>
        <v>学前教育</v>
      </c>
      <c r="G1909" s="1" t="str">
        <f>"河南省漯河市郾城区黄河广场东二巷1号"</f>
        <v>河南省漯河市郾城区黄河广场东二巷1号</v>
      </c>
      <c r="H1909" s="1" t="str">
        <f t="shared" si="946"/>
        <v>无</v>
      </c>
      <c r="I1909" s="1" t="str">
        <f>"201909-202206 河南信息统计职业学院就读 学前教育系学前教育专业 全日制学历   202209-202406 郑州工商学院就读 文法学院学前教育专业 全日制学历 202406-202507 河南省漯河市郾城区待业"</f>
        <v>201909-202206 河南信息统计职业学院就读 学前教育系学前教育专业 全日制学历   202209-202406 郑州工商学院就读 文法学院学前教育专业 全日制学历 202406-202507 河南省漯河市郾城区待业</v>
      </c>
    </row>
    <row r="1910" spans="1:9">
      <c r="A1910" s="1" t="str">
        <f>"410425200009260135"</f>
        <v>410425200009260135</v>
      </c>
      <c r="B1910" s="1" t="str">
        <f t="shared" si="948"/>
        <v>共青团员</v>
      </c>
      <c r="C1910" s="1" t="str">
        <f t="shared" si="947"/>
        <v>本科</v>
      </c>
      <c r="D1910" s="1" t="str">
        <f>"20250620"</f>
        <v>20250620</v>
      </c>
      <c r="E1910" s="1" t="str">
        <f>"郑州科技学院"</f>
        <v>郑州科技学院</v>
      </c>
      <c r="F1910" s="1" t="str">
        <f>"电气工程及其自动化"</f>
        <v>电气工程及其自动化</v>
      </c>
      <c r="G1910" s="1" t="str">
        <f>"河南省平顶山市郏县龙山街道"</f>
        <v>河南省平顶山市郏县龙山街道</v>
      </c>
      <c r="H1910" s="1" t="str">
        <f t="shared" si="946"/>
        <v>无</v>
      </c>
      <c r="I1910" s="1" t="str">
        <f>"202109-202506郑州科技学院电子与电气工程学院电气工程及其自动化专业就读。全日制学历。"</f>
        <v>202109-202506郑州科技学院电子与电气工程学院电气工程及其自动化专业就读。全日制学历。</v>
      </c>
    </row>
    <row r="1911" spans="1:9">
      <c r="A1911" s="1" t="str">
        <f>"411327200102170087"</f>
        <v>411327200102170087</v>
      </c>
      <c r="B1911" s="1" t="str">
        <f t="shared" si="949"/>
        <v>中共党员</v>
      </c>
      <c r="C1911" s="1" t="str">
        <f t="shared" si="947"/>
        <v>本科</v>
      </c>
      <c r="D1911" s="1" t="str">
        <f>"20230607"</f>
        <v>20230607</v>
      </c>
      <c r="E1911" s="1" t="str">
        <f>"信阳农林学院"</f>
        <v>信阳农林学院</v>
      </c>
      <c r="F1911" s="1" t="str">
        <f>"城乡规划"</f>
        <v>城乡规划</v>
      </c>
      <c r="G1911" s="1" t="str">
        <f>"内乡县城关镇宝天曼商城"</f>
        <v>内乡县城关镇宝天曼商城</v>
      </c>
      <c r="H1911" s="1" t="str">
        <f t="shared" si="946"/>
        <v>无</v>
      </c>
      <c r="I1911" s="1" t="str">
        <f>"201909-202306 信阳农林学院就读（全日制本科）规划与设计学院城乡规划专业
202307-202309 南阳中誉发电有限公司战略发展部实习
202309-至今 参与西部计划-地方计划 在河南省南阳市内乡县农业农村局项目科"</f>
        <v>201909-202306 信阳农林学院就读（全日制本科）规划与设计学院城乡规划专业
202307-202309 南阳中誉发电有限公司战略发展部实习
202309-至今 参与西部计划-地方计划 在河南省南阳市内乡县农业农村局项目科</v>
      </c>
    </row>
    <row r="1912" spans="1:9">
      <c r="A1912" s="1" t="str">
        <f>"411303199905050541"</f>
        <v>411303199905050541</v>
      </c>
      <c r="B1912" s="1" t="str">
        <f t="shared" si="949"/>
        <v>中共党员</v>
      </c>
      <c r="C1912" s="1" t="str">
        <f t="shared" si="947"/>
        <v>本科</v>
      </c>
      <c r="D1912" s="1" t="str">
        <f>"20210701"</f>
        <v>20210701</v>
      </c>
      <c r="E1912" s="1" t="str">
        <f>"河南师范大学"</f>
        <v>河南师范大学</v>
      </c>
      <c r="F1912" s="1" t="str">
        <f>"公共事业管理"</f>
        <v>公共事业管理</v>
      </c>
      <c r="G1912" s="1" t="str">
        <f>"河南省南阳市卧龙区工业北路143号"</f>
        <v>河南省南阳市卧龙区工业北路143号</v>
      </c>
      <c r="H1912" s="1" t="str">
        <f t="shared" si="946"/>
        <v>无</v>
      </c>
      <c r="I1912" s="1" t="str">
        <f>"201709-202107河南师范大学政治与公共管理公共事业管理就读，全日制本科
202107-202207，南阳待业
202207-202309，上海福山正达南阳外国语学校工作
202309至今，南阳待业"</f>
        <v>201709-202107河南师范大学政治与公共管理公共事业管理就读，全日制本科
202107-202207，南阳待业
202207-202309，上海福山正达南阳外国语学校工作
202309至今，南阳待业</v>
      </c>
    </row>
    <row r="1913" spans="1:9">
      <c r="A1913" s="1" t="str">
        <f>"411381199808097929"</f>
        <v>411381199808097929</v>
      </c>
      <c r="B1913" s="1" t="str">
        <f t="shared" si="948"/>
        <v>共青团员</v>
      </c>
      <c r="C1913" s="1" t="str">
        <f>"硕士研究生"</f>
        <v>硕士研究生</v>
      </c>
      <c r="D1913" s="1" t="str">
        <f>"20250529"</f>
        <v>20250529</v>
      </c>
      <c r="E1913" s="1" t="str">
        <f>"河南工业大学"</f>
        <v>河南工业大学</v>
      </c>
      <c r="F1913" s="1" t="str">
        <f>"马克思主义理论"</f>
        <v>马克思主义理论</v>
      </c>
      <c r="G1913" s="1" t="str">
        <f>"河南省南阳市邓州市腰店镇焦林村54号"</f>
        <v>河南省南阳市邓州市腰店镇焦林村54号</v>
      </c>
      <c r="H1913" s="1" t="str">
        <f t="shared" si="946"/>
        <v>无</v>
      </c>
      <c r="I1913" s="1" t="str">
        <f>"201809-202206沧州交通学院 经济管理学院财务管理专业就读
202209-202505河南工业大学马克思主义学院马克思主义理论专业就读"</f>
        <v>201809-202206沧州交通学院 经济管理学院财务管理专业就读
202209-202505河南工业大学马克思主义学院马克思主义理论专业就读</v>
      </c>
    </row>
    <row r="1914" spans="1:9">
      <c r="A1914" s="1" t="str">
        <f>"410926200001060028"</f>
        <v>410926200001060028</v>
      </c>
      <c r="B1914" s="1" t="str">
        <f t="shared" ref="B1914:B1917" si="950">"群众"</f>
        <v>群众</v>
      </c>
      <c r="C1914" s="1" t="str">
        <f t="shared" ref="C1914:C1925" si="951">"本科"</f>
        <v>本科</v>
      </c>
      <c r="D1914" s="1" t="str">
        <f>"20240701"</f>
        <v>20240701</v>
      </c>
      <c r="E1914" s="1" t="str">
        <f>"河南科技大学"</f>
        <v>河南科技大学</v>
      </c>
      <c r="F1914" s="1" t="str">
        <f>"医学影像技术"</f>
        <v>医学影像技术</v>
      </c>
      <c r="G1914" s="1" t="str">
        <f>"河南省濮阳市范县新区沁芳苑北楼三楼"</f>
        <v>河南省濮阳市范县新区沁芳苑北楼三楼</v>
      </c>
      <c r="H1914" s="1" t="str">
        <f t="shared" si="946"/>
        <v>无</v>
      </c>
      <c r="I1914" s="1" t="str">
        <f>"201809-202107 商丘医学高等专科学校 医学影像技术专业就读，全日制学历。
202107-202203在家待业备考。
202203-202407 河南科技大学 医学影像技术专业就读，非全日制学历。
202407-202507在家待业备考"</f>
        <v>201809-202107 商丘医学高等专科学校 医学影像技术专业就读，全日制学历。
202107-202203在家待业备考。
202203-202407 河南科技大学 医学影像技术专业就读，非全日制学历。
202407-202507在家待业备考</v>
      </c>
    </row>
    <row r="1915" spans="1:9">
      <c r="A1915" s="1" t="str">
        <f>"411327200210263934"</f>
        <v>411327200210263934</v>
      </c>
      <c r="B1915" s="1" t="str">
        <f t="shared" si="950"/>
        <v>群众</v>
      </c>
      <c r="C1915" s="1" t="str">
        <f t="shared" si="951"/>
        <v>本科</v>
      </c>
      <c r="D1915" s="1" t="str">
        <f>"20250701"</f>
        <v>20250701</v>
      </c>
      <c r="E1915" s="1" t="str">
        <f>"郑州经贸学院"</f>
        <v>郑州经贸学院</v>
      </c>
      <c r="F1915" s="1" t="str">
        <f>"建筑学"</f>
        <v>建筑学</v>
      </c>
      <c r="G1915" s="1" t="str">
        <f>"河南省南阳市内乡县乍岖镇庙湾村卫生所"</f>
        <v>河南省南阳市内乡县乍岖镇庙湾村卫生所</v>
      </c>
      <c r="H1915" s="1" t="str">
        <f t="shared" si="946"/>
        <v>无</v>
      </c>
      <c r="I1915" s="1" t="str">
        <f>"202009-202507 郑州经贸学院工程管理学院建筑学专业就读"</f>
        <v>202009-202507 郑州经贸学院工程管理学院建筑学专业就读</v>
      </c>
    </row>
    <row r="1916" spans="1:9">
      <c r="A1916" s="1" t="str">
        <f>"411330200003244026"</f>
        <v>411330200003244026</v>
      </c>
      <c r="B1916" s="1" t="str">
        <f>"中共党员"</f>
        <v>中共党员</v>
      </c>
      <c r="C1916" s="1" t="str">
        <f t="shared" si="951"/>
        <v>本科</v>
      </c>
      <c r="D1916" s="1" t="str">
        <f>"2024-07-01"</f>
        <v>2024-07-01</v>
      </c>
      <c r="E1916" s="1" t="str">
        <f>"郑州商学院"</f>
        <v>郑州商学院</v>
      </c>
      <c r="F1916" s="1" t="str">
        <f>"学前教育"</f>
        <v>学前教育</v>
      </c>
      <c r="G1916" s="1" t="str">
        <f>"河南省南阳市西峡县桑坪镇桑坪村"</f>
        <v>河南省南阳市西峡县桑坪镇桑坪村</v>
      </c>
      <c r="H1916" s="1" t="str">
        <f t="shared" si="946"/>
        <v>无</v>
      </c>
      <c r="I1916" s="1" t="str">
        <f>"202009-202407 郑州商学院文传学院学前教育专业 就读
202408-至今  内乡县赤眉镇赤眉村村委 西部计划乡村振兴志愿者"</f>
        <v>202009-202407 郑州商学院文传学院学前教育专业 就读
202408-至今  内乡县赤眉镇赤眉村村委 西部计划乡村振兴志愿者</v>
      </c>
    </row>
    <row r="1917" spans="1:9">
      <c r="A1917" s="1" t="str">
        <f>"411327199711150035"</f>
        <v>411327199711150035</v>
      </c>
      <c r="B1917" s="1" t="str">
        <f t="shared" si="950"/>
        <v>群众</v>
      </c>
      <c r="C1917" s="1" t="str">
        <f t="shared" si="951"/>
        <v>本科</v>
      </c>
      <c r="D1917" s="1" t="str">
        <f>"2023-07-01"</f>
        <v>2023-07-01</v>
      </c>
      <c r="E1917" s="1" t="str">
        <f>"商丘学院"</f>
        <v>商丘学院</v>
      </c>
      <c r="F1917" s="1" t="str">
        <f>"视觉传达设计"</f>
        <v>视觉传达设计</v>
      </c>
      <c r="G1917" s="1" t="str">
        <f>"内乡县北关县衙酒店向北50米"</f>
        <v>内乡县北关县衙酒店向北50米</v>
      </c>
      <c r="H1917" s="1" t="str">
        <f t="shared" si="946"/>
        <v>无</v>
      </c>
      <c r="I1917" s="1" t="str">
        <f>"201709-201906商丘学院 艺术系 视觉传达设计 全日制
201909-202109入伍
202109-202306商丘学院 艺术系 视觉传达设计 全日制"</f>
        <v>201709-201906商丘学院 艺术系 视觉传达设计 全日制
201909-202109入伍
202109-202306商丘学院 艺术系 视觉传达设计 全日制</v>
      </c>
    </row>
    <row r="1918" spans="1:9">
      <c r="A1918" s="1" t="str">
        <f>"610924200406117453"</f>
        <v>610924200406117453</v>
      </c>
      <c r="B1918" s="1" t="str">
        <f t="shared" ref="B1918:B1920" si="952">"共青团员"</f>
        <v>共青团员</v>
      </c>
      <c r="C1918" s="1" t="str">
        <f t="shared" si="951"/>
        <v>本科</v>
      </c>
      <c r="D1918" s="1" t="str">
        <f>"20250701"</f>
        <v>20250701</v>
      </c>
      <c r="E1918" s="1" t="str">
        <f>"西安外事学院"</f>
        <v>西安外事学院</v>
      </c>
      <c r="F1918" s="1" t="str">
        <f>"汉语言文学"</f>
        <v>汉语言文学</v>
      </c>
      <c r="G1918" s="1" t="str">
        <f>"陕西省安康市紫阳县高滩镇"</f>
        <v>陕西省安康市紫阳县高滩镇</v>
      </c>
      <c r="H1918" s="1" t="str">
        <f t="shared" si="946"/>
        <v>无</v>
      </c>
      <c r="I1918" s="1" t="str">
        <f>"20210901-20250701西安外事学院人文艺术学院汉语言文学专业就读，全日制学历。"</f>
        <v>20210901-20250701西安外事学院人文艺术学院汉语言文学专业就读，全日制学历。</v>
      </c>
    </row>
    <row r="1919" spans="1:9">
      <c r="A1919" s="1" t="str">
        <f>"411327200008264511"</f>
        <v>411327200008264511</v>
      </c>
      <c r="B1919" s="1" t="str">
        <f t="shared" si="952"/>
        <v>共青团员</v>
      </c>
      <c r="C1919" s="1" t="str">
        <f t="shared" si="951"/>
        <v>本科</v>
      </c>
      <c r="D1919" s="1" t="str">
        <f>"2024年6月6日"</f>
        <v>2024年6月6日</v>
      </c>
      <c r="E1919" s="1" t="str">
        <f>"信阳学院"</f>
        <v>信阳学院</v>
      </c>
      <c r="F1919" s="1" t="str">
        <f>"音乐学"</f>
        <v>音乐学</v>
      </c>
      <c r="G1919" s="1" t="str">
        <f>"河南省南阳市内乡县赵店乡莲花村坡头组"</f>
        <v>河南省南阳市内乡县赵店乡莲花村坡头组</v>
      </c>
      <c r="H1919" s="1" t="str">
        <f t="shared" si="946"/>
        <v>无</v>
      </c>
      <c r="I1919" s="1" t="str">
        <f>"202009-202406 信阳学院音乐学院音乐学专业就读
202406-至今 待业"</f>
        <v>202009-202406 信阳学院音乐学院音乐学专业就读
202406-至今 待业</v>
      </c>
    </row>
    <row r="1920" spans="1:9">
      <c r="A1920" s="1" t="str">
        <f>"411325200011222045"</f>
        <v>411325200011222045</v>
      </c>
      <c r="B1920" s="1" t="str">
        <f t="shared" si="952"/>
        <v>共青团员</v>
      </c>
      <c r="C1920" s="1" t="str">
        <f t="shared" si="951"/>
        <v>本科</v>
      </c>
      <c r="D1920" s="1" t="str">
        <f>"20240625"</f>
        <v>20240625</v>
      </c>
      <c r="E1920" s="1" t="str">
        <f>"郑州西亚斯学院"</f>
        <v>郑州西亚斯学院</v>
      </c>
      <c r="F1920" s="1" t="str">
        <f>"国际经济与贸易"</f>
        <v>国际经济与贸易</v>
      </c>
      <c r="G1920" s="1" t="str">
        <f>"河南省南阳市西峡县莲花路养生苑"</f>
        <v>河南省南阳市西峡县莲花路养生苑</v>
      </c>
      <c r="H1920" s="1" t="str">
        <f t="shared" si="946"/>
        <v>无</v>
      </c>
      <c r="I1920" s="1" t="str">
        <f>"202009-202406郑州西亚斯学院国际经济与贸易专业就读；
202406-至今在西峡县待业。"</f>
        <v>202009-202406郑州西亚斯学院国际经济与贸易专业就读；
202406-至今在西峡县待业。</v>
      </c>
    </row>
    <row r="1921" spans="1:9">
      <c r="A1921" s="1" t="str">
        <f>"411327200201011524"</f>
        <v>411327200201011524</v>
      </c>
      <c r="B1921" s="1" t="str">
        <f t="shared" ref="B1921:B1924" si="953">"群众"</f>
        <v>群众</v>
      </c>
      <c r="C1921" s="1" t="str">
        <f t="shared" si="951"/>
        <v>本科</v>
      </c>
      <c r="D1921" s="1" t="str">
        <f>"20240621"</f>
        <v>20240621</v>
      </c>
      <c r="E1921" s="1" t="str">
        <f>"新乡医学院"</f>
        <v>新乡医学院</v>
      </c>
      <c r="F1921" s="1" t="str">
        <f>"临床药学"</f>
        <v>临床药学</v>
      </c>
      <c r="G1921" s="1" t="str">
        <f>"河南省南阳市内乡县湍东镇庙岗村"</f>
        <v>河南省南阳市内乡县湍东镇庙岗村</v>
      </c>
      <c r="H1921" s="1" t="str">
        <f t="shared" si="946"/>
        <v>无</v>
      </c>
      <c r="I1921" s="1" t="str">
        <f>"201909-202406新乡医学院药学院临床药学就读，全日制学历"</f>
        <v>201909-202406新乡医学院药学院临床药学就读，全日制学历</v>
      </c>
    </row>
    <row r="1922" spans="1:9">
      <c r="A1922" s="1" t="str">
        <f>"411329199810131617"</f>
        <v>411329199810131617</v>
      </c>
      <c r="B1922" s="1" t="str">
        <f t="shared" si="953"/>
        <v>群众</v>
      </c>
      <c r="C1922" s="1" t="str">
        <f t="shared" si="951"/>
        <v>本科</v>
      </c>
      <c r="D1922" s="1" t="str">
        <f>"20230701"</f>
        <v>20230701</v>
      </c>
      <c r="E1922" s="1" t="str">
        <f>"洛阳师范学院"</f>
        <v>洛阳师范学院</v>
      </c>
      <c r="F1922" s="1" t="str">
        <f>"小学教育"</f>
        <v>小学教育</v>
      </c>
      <c r="G1922" s="1" t="str">
        <f>"河南省南阳市卧龙区北京大道金苑福邸花园"</f>
        <v>河南省南阳市卧龙区北京大道金苑福邸花园</v>
      </c>
      <c r="H1922" s="1" t="str">
        <f t="shared" si="946"/>
        <v>无</v>
      </c>
      <c r="I1922" s="1" t="str">
        <f>"2013.9-2016.7	 河南工业职业技术学院	中专  学生
2014.4-2016.7	 河南工业职业技术学院	成人大专 学生
2016.7-2021.8	 南阳市鸿运窗饰材料店 	制作工
2021.9-2023.9  南阳市第六完全学校初级中学	教师
2021.4-2023.7  洛阳师范学院  成人本科(学生)   
2023.9-2024.7  南阳市第十一完全学校 	教师
2024.9-至今  南阳市第十五完全学校 	教师"</f>
        <v>2013.9-2016.7	 河南工业职业技术学院	中专  学生
2014.4-2016.7	 河南工业职业技术学院	成人大专 学生
2016.7-2021.8	 南阳市鸿运窗饰材料店 	制作工
2021.9-2023.9  南阳市第六完全学校初级中学	教师
2021.4-2023.7  洛阳师范学院  成人本科(学生)   
2023.9-2024.7  南阳市第十一完全学校 	教师
2024.9-至今  南阳市第十五完全学校 	教师</v>
      </c>
    </row>
    <row r="1923" spans="1:9">
      <c r="A1923" s="1" t="str">
        <f>"410923200107170023"</f>
        <v>410923200107170023</v>
      </c>
      <c r="B1923" s="1" t="str">
        <f>"中共党员"</f>
        <v>中共党员</v>
      </c>
      <c r="C1923" s="1" t="str">
        <f t="shared" si="951"/>
        <v>本科</v>
      </c>
      <c r="D1923" s="1" t="str">
        <f>"20230701"</f>
        <v>20230701</v>
      </c>
      <c r="E1923" s="1" t="str">
        <f>"信阳学院"</f>
        <v>信阳学院</v>
      </c>
      <c r="F1923" s="1" t="str">
        <f>"音乐学"</f>
        <v>音乐学</v>
      </c>
      <c r="G1923" s="1" t="str">
        <f>"河南省濮阳市南乐县金鑫苑三单元"</f>
        <v>河南省濮阳市南乐县金鑫苑三单元</v>
      </c>
      <c r="H1923" s="1" t="str">
        <f t="shared" si="946"/>
        <v>无</v>
      </c>
      <c r="I1923" s="1" t="str">
        <f>"2019.09-2023.07:信阳学院学习
2023.07-至今：待业"</f>
        <v>2019.09-2023.07:信阳学院学习
2023.07-至今：待业</v>
      </c>
    </row>
    <row r="1924" spans="1:9">
      <c r="A1924" s="1" t="str">
        <f>"412723199505130815"</f>
        <v>412723199505130815</v>
      </c>
      <c r="B1924" s="1" t="str">
        <f t="shared" si="953"/>
        <v>群众</v>
      </c>
      <c r="C1924" s="1" t="str">
        <f t="shared" si="951"/>
        <v>本科</v>
      </c>
      <c r="D1924" s="1" t="str">
        <f>"20200701"</f>
        <v>20200701</v>
      </c>
      <c r="E1924" s="1" t="str">
        <f>"平顶山学院"</f>
        <v>平顶山学院</v>
      </c>
      <c r="F1924" s="1" t="str">
        <f>"金融工程"</f>
        <v>金融工程</v>
      </c>
      <c r="G1924" s="1" t="str">
        <f>"河南省南阳市宛城区溧河乡忆江南"</f>
        <v>河南省南阳市宛城区溧河乡忆江南</v>
      </c>
      <c r="H1924" s="1" t="str">
        <f t="shared" si="946"/>
        <v>无</v>
      </c>
      <c r="I1924" s="1" t="str">
        <f>"201609-202007 平顶山学院 数学与统计学院 金融工程专业就读 本科全日制学历
202007-202103 待业 考研
202103-202111 信泰保险 组训师
202111-202307 德邦快递 运营分析员 经理
202308-202404 卧龙控股南阳防爆厂 物流管理
202404-至今 南阳市宛城区待业
"</f>
        <v>201609-202007 平顶山学院 数学与统计学院 金融工程专业就读 本科全日制学历
202007-202103 待业 考研
202103-202111 信泰保险 组训师
202111-202307 德邦快递 运营分析员 经理
202308-202404 卧龙控股南阳防爆厂 物流管理
202404-至今 南阳市宛城区待业
</v>
      </c>
    </row>
    <row r="1925" spans="1:9">
      <c r="A1925" s="1" t="str">
        <f>"410825200208207566"</f>
        <v>410825200208207566</v>
      </c>
      <c r="B1925" s="1" t="str">
        <f t="shared" ref="B1925:B1930" si="954">"共青团员"</f>
        <v>共青团员</v>
      </c>
      <c r="C1925" s="1" t="str">
        <f t="shared" si="951"/>
        <v>本科</v>
      </c>
      <c r="D1925" s="1" t="str">
        <f>"20240630"</f>
        <v>20240630</v>
      </c>
      <c r="E1925" s="1" t="str">
        <f>"新乡学院"</f>
        <v>新乡学院</v>
      </c>
      <c r="F1925" s="1" t="str">
        <f>"人力资源管理"</f>
        <v>人力资源管理</v>
      </c>
      <c r="G1925" s="1" t="str">
        <f>"河南省焦作市温县如意世家东区"</f>
        <v>河南省焦作市温县如意世家东区</v>
      </c>
      <c r="H1925" s="1" t="str">
        <f t="shared" si="946"/>
        <v>无</v>
      </c>
      <c r="I1925" s="1" t="str">
        <f>"202010-202406在新乡学院管理学院人力资源管理专业就读，是全日制学历"</f>
        <v>202010-202406在新乡学院管理学院人力资源管理专业就读，是全日制学历</v>
      </c>
    </row>
    <row r="1926" spans="1:9">
      <c r="A1926" s="1" t="str">
        <f>"411325200503184591"</f>
        <v>411325200503184591</v>
      </c>
      <c r="B1926" s="1" t="str">
        <f t="shared" si="954"/>
        <v>共青团员</v>
      </c>
      <c r="C1926" s="1" t="str">
        <f>"专科"</f>
        <v>专科</v>
      </c>
      <c r="D1926" s="1" t="str">
        <f t="shared" ref="D1926:D1931" si="955">"20250701"</f>
        <v>20250701</v>
      </c>
      <c r="E1926" s="1" t="str">
        <f>"河南工业贸易职业学院"</f>
        <v>河南工业贸易职业学院</v>
      </c>
      <c r="F1926" s="1" t="str">
        <f>"数控技术"</f>
        <v>数控技术</v>
      </c>
      <c r="G1926" s="1" t="str">
        <f>"河南省南阳市内乡县菊谭大街北关三里桥锦绣佳苑小区"</f>
        <v>河南省南阳市内乡县菊谭大街北关三里桥锦绣佳苑小区</v>
      </c>
      <c r="H1926" s="1" t="str">
        <f t="shared" si="946"/>
        <v>无</v>
      </c>
      <c r="I1926" s="1" t="str">
        <f>"202309-202506河南工业贸易职业学院就读数控技术专业，是全日制学历。"</f>
        <v>202309-202506河南工业贸易职业学院就读数控技术专业，是全日制学历。</v>
      </c>
    </row>
    <row r="1927" spans="1:9">
      <c r="A1927" s="1" t="str">
        <f>"370923199808130333"</f>
        <v>370923199808130333</v>
      </c>
      <c r="B1927" s="1" t="str">
        <f t="shared" ref="B1927:B1931" si="956">"群众"</f>
        <v>群众</v>
      </c>
      <c r="C1927" s="1" t="str">
        <f t="shared" ref="C1927:C1937" si="957">"本科"</f>
        <v>本科</v>
      </c>
      <c r="D1927" s="1" t="str">
        <f>"20200701"</f>
        <v>20200701</v>
      </c>
      <c r="E1927" s="1" t="str">
        <f>"商丘学院"</f>
        <v>商丘学院</v>
      </c>
      <c r="F1927" s="1" t="str">
        <f>"广播电视编导"</f>
        <v>广播电视编导</v>
      </c>
      <c r="G1927" s="1" t="str">
        <f>"山东省泰安市东平县佛山小区7号楼403"</f>
        <v>山东省泰安市东平县佛山小区7号楼403</v>
      </c>
      <c r="H1927" s="1" t="str">
        <f t="shared" si="946"/>
        <v>无</v>
      </c>
      <c r="I1927" s="1" t="str">
        <f>"201309——201607 山东省泰安市东平县明湖中学         全日制
201609——202007 商丘学院 传媒学院 广播电视编导   全日制
202007——202507 山东省泰安市东平县    待业"</f>
        <v>201309——201607 山东省泰安市东平县明湖中学         全日制
201609——202007 商丘学院 传媒学院 广播电视编导   全日制
202007——202507 山东省泰安市东平县    待业</v>
      </c>
    </row>
    <row r="1928" spans="1:9">
      <c r="A1928" s="1" t="str">
        <f>"411327199607021524"</f>
        <v>411327199607021524</v>
      </c>
      <c r="B1928" s="1" t="str">
        <f t="shared" si="956"/>
        <v>群众</v>
      </c>
      <c r="C1928" s="1" t="str">
        <f t="shared" si="957"/>
        <v>本科</v>
      </c>
      <c r="D1928" s="1" t="str">
        <f>"20190701"</f>
        <v>20190701</v>
      </c>
      <c r="E1928" s="1" t="str">
        <f>"周口师范学院"</f>
        <v>周口师范学院</v>
      </c>
      <c r="F1928" s="1" t="str">
        <f>"法学"</f>
        <v>法学</v>
      </c>
      <c r="G1928" s="1" t="str">
        <f>"河南省内乡县湍东镇东王营村"</f>
        <v>河南省内乡县湍东镇东王营村</v>
      </c>
      <c r="H1928" s="1" t="str">
        <f>"法律职业资格证书 A证"</f>
        <v>法律职业资格证书 A证</v>
      </c>
      <c r="I1928" s="1" t="str">
        <f>"201509-201907 在周口师范学院法学专业就读，全日制学历
201908-202206 在河南光法（南阳）律师事务所就业
202207-至今 在河南大法律师事务所执业"</f>
        <v>201509-201907 在周口师范学院法学专业就读，全日制学历
201908-202206 在河南光法（南阳）律师事务所就业
202207-至今 在河南大法律师事务所执业</v>
      </c>
    </row>
    <row r="1929" spans="1:9">
      <c r="A1929" s="1" t="str">
        <f>"411381199909265936"</f>
        <v>411381199909265936</v>
      </c>
      <c r="B1929" s="1" t="str">
        <f t="shared" si="954"/>
        <v>共青团员</v>
      </c>
      <c r="C1929" s="1" t="str">
        <f t="shared" si="957"/>
        <v>本科</v>
      </c>
      <c r="D1929" s="1" t="str">
        <f t="shared" si="955"/>
        <v>20250701</v>
      </c>
      <c r="E1929" s="1" t="str">
        <f>"南阳师范学院"</f>
        <v>南阳师范学院</v>
      </c>
      <c r="F1929" s="1" t="str">
        <f>"视觉传达设计"</f>
        <v>视觉传达设计</v>
      </c>
      <c r="G1929" s="1" t="str">
        <f>"河南省邓州市孟楼镇"</f>
        <v>河南省邓州市孟楼镇</v>
      </c>
      <c r="H1929" s="1" t="str">
        <f>"广告设计师 三级/高级工"</f>
        <v>广告设计师 三级/高级工</v>
      </c>
      <c r="I1929" s="1" t="str">
        <f>"201709-202007 郑州升达经贸管理学院 就读
202009-202209 中国人民解放军海军 服役两年
202209-202309 指南针画室 学习
202309-202507 南阳师范学院 就读
202507-至今 在家全职备考"</f>
        <v>201709-202007 郑州升达经贸管理学院 就读
202009-202209 中国人民解放军海军 服役两年
202209-202309 指南针画室 学习
202309-202507 南阳师范学院 就读
202507-至今 在家全职备考</v>
      </c>
    </row>
    <row r="1930" spans="1:9">
      <c r="A1930" s="1" t="str">
        <f>"411327200109180018"</f>
        <v>411327200109180018</v>
      </c>
      <c r="B1930" s="1" t="str">
        <f t="shared" si="954"/>
        <v>共青团员</v>
      </c>
      <c r="C1930" s="1" t="str">
        <f t="shared" si="957"/>
        <v>本科</v>
      </c>
      <c r="D1930" s="1" t="str">
        <f>"20230630"</f>
        <v>20230630</v>
      </c>
      <c r="E1930" s="1" t="str">
        <f>"许昌学院"</f>
        <v>许昌学院</v>
      </c>
      <c r="F1930" s="1" t="str">
        <f>"新能源材料与器件"</f>
        <v>新能源材料与器件</v>
      </c>
      <c r="G1930" s="1" t="str">
        <f>"河南省南阳市内乡县城关镇菊园六村"</f>
        <v>河南省南阳市内乡县城关镇菊园六村</v>
      </c>
      <c r="H1930" s="1" t="str">
        <f t="shared" ref="H1930:H1946" si="958">"无"</f>
        <v>无</v>
      </c>
      <c r="I1930" s="1" t="str">
        <f>"201909-202306 许昌学院就读  202403-至今 牧原公司上班"</f>
        <v>201909-202306 许昌学院就读  202403-至今 牧原公司上班</v>
      </c>
    </row>
    <row r="1931" spans="1:9">
      <c r="A1931" s="1" t="str">
        <f>"410225200110133412"</f>
        <v>410225200110133412</v>
      </c>
      <c r="B1931" s="1" t="str">
        <f t="shared" si="956"/>
        <v>群众</v>
      </c>
      <c r="C1931" s="1" t="str">
        <f t="shared" si="957"/>
        <v>本科</v>
      </c>
      <c r="D1931" s="1" t="str">
        <f t="shared" si="955"/>
        <v>20250701</v>
      </c>
      <c r="E1931" s="1" t="str">
        <f>"安阳学院"</f>
        <v>安阳学院</v>
      </c>
      <c r="F1931" s="1" t="str">
        <f>"城乡规划"</f>
        <v>城乡规划</v>
      </c>
      <c r="G1931" s="1" t="str">
        <f>"河南省开封市兰考县孟寨乡"</f>
        <v>河南省开封市兰考县孟寨乡</v>
      </c>
      <c r="H1931" s="1" t="str">
        <f t="shared" si="958"/>
        <v>无</v>
      </c>
      <c r="I1931" s="1" t="str">
        <f>"202309-202506 安阳学院 建筑工程学院 城乡规划专业 就读  
202009-202306 济源职业技术学院 建筑工程学院 建筑工程技术专业 就读
201709-202006 兰考县第二高级中学 就读
201409-201706 孟寨乡第一初中 就读
200809-201406 刁庄小学 就读
全日制学历"</f>
        <v>202309-202506 安阳学院 建筑工程学院 城乡规划专业 就读  
202009-202306 济源职业技术学院 建筑工程学院 建筑工程技术专业 就读
201709-202006 兰考县第二高级中学 就读
201409-201706 孟寨乡第一初中 就读
200809-201406 刁庄小学 就读
全日制学历</v>
      </c>
    </row>
    <row r="1932" spans="1:9">
      <c r="A1932" s="1" t="str">
        <f>"410425200010176096"</f>
        <v>410425200010176096</v>
      </c>
      <c r="B1932" s="1" t="str">
        <f>"中共预备党员"</f>
        <v>中共预备党员</v>
      </c>
      <c r="C1932" s="1" t="str">
        <f t="shared" si="957"/>
        <v>本科</v>
      </c>
      <c r="D1932" s="1" t="str">
        <f>"20250620"</f>
        <v>20250620</v>
      </c>
      <c r="E1932" s="1" t="str">
        <f>"河南财经政法大学"</f>
        <v>河南财经政法大学</v>
      </c>
      <c r="F1932" s="1" t="str">
        <f>"法学"</f>
        <v>法学</v>
      </c>
      <c r="G1932" s="1" t="str">
        <f>"郏县茨芭镇"</f>
        <v>郏县茨芭镇</v>
      </c>
      <c r="H1932" s="1" t="str">
        <f t="shared" si="958"/>
        <v>无</v>
      </c>
      <c r="I1932" s="1" t="str">
        <f>"202309-202506河南财经政法大学检察学院就读  全日制
202010-202307河南检察职业学院司法管理系就读  全日制
201909-202006郏县第一高级中学就读
201609-201906郏县第二高级中学就读
201309-201606郏县第一实验中学就读
200707-201306郏县双语小学就读
"</f>
        <v>202309-202506河南财经政法大学检察学院就读  全日制
202010-202307河南检察职业学院司法管理系就读  全日制
201909-202006郏县第一高级中学就读
201609-201906郏县第二高级中学就读
201309-201606郏县第一实验中学就读
200707-201306郏县双语小学就读
</v>
      </c>
    </row>
    <row r="1933" spans="1:9">
      <c r="A1933" s="1" t="str">
        <f>"411327199910073124"</f>
        <v>411327199910073124</v>
      </c>
      <c r="B1933" s="1" t="str">
        <f>"共青团员"</f>
        <v>共青团员</v>
      </c>
      <c r="C1933" s="1" t="str">
        <f t="shared" si="957"/>
        <v>本科</v>
      </c>
      <c r="D1933" s="1" t="str">
        <f>"20230701"</f>
        <v>20230701</v>
      </c>
      <c r="E1933" s="1" t="str">
        <f>"商丘学院"</f>
        <v>商丘学院</v>
      </c>
      <c r="F1933" s="1" t="str">
        <f>"小学教育（师范）"</f>
        <v>小学教育（师范）</v>
      </c>
      <c r="G1933" s="1" t="str">
        <f>"河南省南阳市内乡县湍东镇东福小区"</f>
        <v>河南省南阳市内乡县湍东镇东福小区</v>
      </c>
      <c r="H1933" s="1" t="str">
        <f t="shared" si="958"/>
        <v>无</v>
      </c>
      <c r="I1933" s="1" t="str">
        <f>"201809-202106 焦作师范高等专科学校 外语经贸学院 英语教育就读
202109-202306 商丘学院 文学与教育系 小学教育（师范）就读
202306-202408待业
202409-至今复兴学校"</f>
        <v>201809-202106 焦作师范高等专科学校 外语经贸学院 英语教育就读
202109-202306 商丘学院 文学与教育系 小学教育（师范）就读
202306-202408待业
202409-至今复兴学校</v>
      </c>
    </row>
    <row r="1934" spans="1:9">
      <c r="A1934" s="1" t="str">
        <f>"142325200003300010"</f>
        <v>142325200003300010</v>
      </c>
      <c r="B1934" s="1" t="str">
        <f t="shared" ref="B1934:B1937" si="959">"群众"</f>
        <v>群众</v>
      </c>
      <c r="C1934" s="1" t="str">
        <f t="shared" si="957"/>
        <v>本科</v>
      </c>
      <c r="D1934" s="1" t="str">
        <f>"20230613"</f>
        <v>20230613</v>
      </c>
      <c r="E1934" s="1" t="str">
        <f>"辽宁师范大学"</f>
        <v>辽宁师范大学</v>
      </c>
      <c r="F1934" s="1" t="str">
        <f>"动画"</f>
        <v>动画</v>
      </c>
      <c r="G1934" s="1" t="str">
        <f>"山西省吕梁市兴县蔚汾镇文化街008号"</f>
        <v>山西省吕梁市兴县蔚汾镇文化街008号</v>
      </c>
      <c r="H1934" s="1" t="str">
        <f t="shared" si="958"/>
        <v>无</v>
      </c>
      <c r="I1934" s="1" t="str">
        <f>"201909—202306辽宁师范大学影视艺术学院动画专业就读  是全日制学历  202306至今待业"</f>
        <v>201909—202306辽宁师范大学影视艺术学院动画专业就读  是全日制学历  202306至今待业</v>
      </c>
    </row>
    <row r="1935" spans="1:9">
      <c r="A1935" s="1" t="str">
        <f>"411381200112233932"</f>
        <v>411381200112233932</v>
      </c>
      <c r="B1935" s="1" t="str">
        <f>"共青团员"</f>
        <v>共青团员</v>
      </c>
      <c r="C1935" s="1" t="str">
        <f t="shared" si="957"/>
        <v>本科</v>
      </c>
      <c r="D1935" s="1" t="str">
        <f>"20250601"</f>
        <v>20250601</v>
      </c>
      <c r="E1935" s="1" t="str">
        <f>"郑州财经学院"</f>
        <v>郑州财经学院</v>
      </c>
      <c r="F1935" s="1" t="str">
        <f>"教育技术学"</f>
        <v>教育技术学</v>
      </c>
      <c r="G1935" s="1" t="str">
        <f>"河南省南阳市内乡县碧桂园"</f>
        <v>河南省南阳市内乡县碧桂园</v>
      </c>
      <c r="H1935" s="1" t="str">
        <f t="shared" si="958"/>
        <v>无</v>
      </c>
      <c r="I1935" s="1" t="str">
        <f>"202109-202506 郑州财经学院教育学院教育技术学专业 全日制学历 就读。
202506 内乡县待业"</f>
        <v>202109-202506 郑州财经学院教育学院教育技术学专业 全日制学历 就读。
202506 内乡县待业</v>
      </c>
    </row>
    <row r="1936" spans="1:9">
      <c r="A1936" s="1" t="str">
        <f>"411381200202243552"</f>
        <v>411381200202243552</v>
      </c>
      <c r="B1936" s="1" t="str">
        <f t="shared" si="959"/>
        <v>群众</v>
      </c>
      <c r="C1936" s="1" t="str">
        <f t="shared" si="957"/>
        <v>本科</v>
      </c>
      <c r="D1936" s="1" t="str">
        <f>"20250701"</f>
        <v>20250701</v>
      </c>
      <c r="E1936" s="1" t="str">
        <f>"河南师范大学"</f>
        <v>河南师范大学</v>
      </c>
      <c r="F1936" s="1" t="str">
        <f>"计算机科学与技术"</f>
        <v>计算机科学与技术</v>
      </c>
      <c r="G1936" s="1" t="str">
        <f>"河南省邓州市赵集镇东孔村杨洼21号"</f>
        <v>河南省邓州市赵集镇东孔村杨洼21号</v>
      </c>
      <c r="H1936" s="1" t="str">
        <f t="shared" si="958"/>
        <v>无</v>
      </c>
      <c r="I1936" s="1" t="str">
        <f>"202110-202507  在河南师范大学 软件学院 计算机科学与技术专业 完成 四年制 全日制 学习。
202507-至今 在河南省邓州市待业"</f>
        <v>202110-202507  在河南师范大学 软件学院 计算机科学与技术专业 完成 四年制 全日制 学习。
202507-至今 在河南省邓州市待业</v>
      </c>
    </row>
    <row r="1937" spans="1:9">
      <c r="A1937" s="1" t="str">
        <f>"411524200009210023"</f>
        <v>411524200009210023</v>
      </c>
      <c r="B1937" s="1" t="str">
        <f t="shared" si="959"/>
        <v>群众</v>
      </c>
      <c r="C1937" s="1" t="str">
        <f t="shared" si="957"/>
        <v>本科</v>
      </c>
      <c r="D1937" s="1" t="str">
        <f>"20220707"</f>
        <v>20220707</v>
      </c>
      <c r="E1937" s="1" t="str">
        <f>"郑州升达经贸管理学院"</f>
        <v>郑州升达经贸管理学院</v>
      </c>
      <c r="F1937" s="1" t="str">
        <f>"日语"</f>
        <v>日语</v>
      </c>
      <c r="G1937" s="1" t="str">
        <f>"河南省内乡县城关镇白云小区"</f>
        <v>河南省内乡县城关镇白云小区</v>
      </c>
      <c r="H1937" s="1" t="str">
        <f t="shared" si="958"/>
        <v>无</v>
      </c>
      <c r="I1937" s="1" t="str">
        <f>"201809-202207 郑州升达经贸管理学院外语学院日语专业 是全日制学历
202207-202305 在信阳市商城县待业
202305-202507 在南阳市内乡县待业"</f>
        <v>201809-202207 郑州升达经贸管理学院外语学院日语专业 是全日制学历
202207-202305 在信阳市商城县待业
202305-202507 在南阳市内乡县待业</v>
      </c>
    </row>
    <row r="1938" ht="324" spans="1:9">
      <c r="A1938" s="1" t="str">
        <f>"411327199212301521"</f>
        <v>411327199212301521</v>
      </c>
      <c r="B1938" s="1" t="str">
        <f>"中共党员"</f>
        <v>中共党员</v>
      </c>
      <c r="C1938" s="1" t="str">
        <f>"硕士研究生"</f>
        <v>硕士研究生</v>
      </c>
      <c r="D1938" s="1" t="str">
        <f>"20190606"</f>
        <v>20190606</v>
      </c>
      <c r="E1938" s="1" t="str">
        <f>"河北工程大学"</f>
        <v>河北工程大学</v>
      </c>
      <c r="F1938" s="1" t="str">
        <f>"建筑学"</f>
        <v>建筑学</v>
      </c>
      <c r="G1938" s="1" t="str">
        <f>"河南省南阳市内乡县城关镇维多利亚小区"</f>
        <v>河南省南阳市内乡县城关镇维多利亚小区</v>
      </c>
      <c r="H1938" s="1" t="str">
        <f t="shared" si="958"/>
        <v>无</v>
      </c>
      <c r="I1938" s="3" t="s">
        <v>236</v>
      </c>
    </row>
    <row r="1939" spans="1:9">
      <c r="A1939" s="1" t="str">
        <f>"411381199408155624"</f>
        <v>411381199408155624</v>
      </c>
      <c r="B1939" s="1" t="str">
        <f>"中共党员"</f>
        <v>中共党员</v>
      </c>
      <c r="C1939" s="1" t="str">
        <f t="shared" ref="C1939:C1947" si="960">"本科"</f>
        <v>本科</v>
      </c>
      <c r="D1939" s="1" t="str">
        <f>"20250701"</f>
        <v>20250701</v>
      </c>
      <c r="E1939" s="1" t="str">
        <f>"河南师范大学"</f>
        <v>河南师范大学</v>
      </c>
      <c r="F1939" s="1" t="str">
        <f>"小学教育"</f>
        <v>小学教育</v>
      </c>
      <c r="G1939" s="1" t="str">
        <f>"河南省邓州市花洲街道办事处南桥店14号"</f>
        <v>河南省邓州市花洲街道办事处南桥店14号</v>
      </c>
      <c r="H1939" s="1" t="str">
        <f t="shared" si="958"/>
        <v>无</v>
      </c>
      <c r="I1939" s="1" t="str">
        <f>"20130901-20210701南阳师范学院  艺术设计 普通全日制
20210701-20230410 邓州市鹏飞农机  待业
20230410-20250701河南师范大学 小学教育 成人高等教育"</f>
        <v>20130901-20210701南阳师范学院  艺术设计 普通全日制
20210701-20230410 邓州市鹏飞农机  待业
20230410-20250701河南师范大学 小学教育 成人高等教育</v>
      </c>
    </row>
    <row r="1940" spans="1:9">
      <c r="A1940" s="1" t="str">
        <f>"411326199708194436"</f>
        <v>411326199708194436</v>
      </c>
      <c r="B1940" s="1" t="str">
        <f t="shared" ref="B1940:B1946" si="961">"群众"</f>
        <v>群众</v>
      </c>
      <c r="C1940" s="1" t="str">
        <f t="shared" si="960"/>
        <v>本科</v>
      </c>
      <c r="D1940" s="1" t="str">
        <f>"20190701"</f>
        <v>20190701</v>
      </c>
      <c r="E1940" s="1" t="str">
        <f>"郑州科技学院"</f>
        <v>郑州科技学院</v>
      </c>
      <c r="F1940" s="1" t="str">
        <f>"环境设计"</f>
        <v>环境设计</v>
      </c>
      <c r="G1940" s="1" t="str">
        <f>"河南省南阳市南召县白土岗镇白西村8组"</f>
        <v>河南省南阳市南召县白土岗镇白西村8组</v>
      </c>
      <c r="H1940" s="1" t="str">
        <f t="shared" si="958"/>
        <v>无</v>
      </c>
      <c r="I1940" s="1" t="str">
        <f>"201509-201906郑州科技学院艺术学院环境设计专业就读，全日制本科
201906-202105郑州玖格设计有限公司
202105-202310河南励时装饰设计有限公司
202310-至今在家待业"</f>
        <v>201509-201906郑州科技学院艺术学院环境设计专业就读，全日制本科
201906-202105郑州玖格设计有限公司
202105-202310河南励时装饰设计有限公司
202310-至今在家待业</v>
      </c>
    </row>
    <row r="1941" spans="1:9">
      <c r="A1941" s="1" t="str">
        <f>"411327199802180029"</f>
        <v>411327199802180029</v>
      </c>
      <c r="B1941" s="1" t="str">
        <f>"共青团员"</f>
        <v>共青团员</v>
      </c>
      <c r="C1941" s="1" t="str">
        <f>"硕士研究生"</f>
        <v>硕士研究生</v>
      </c>
      <c r="D1941" s="1" t="str">
        <f>"2024-06-27"</f>
        <v>2024-06-27</v>
      </c>
      <c r="E1941" s="1" t="str">
        <f>"云南艺术学院"</f>
        <v>云南艺术学院</v>
      </c>
      <c r="F1941" s="1" t="str">
        <f>"艺术设计"</f>
        <v>艺术设计</v>
      </c>
      <c r="G1941" s="1" t="str">
        <f>"河南省南阳市内乡县书院村"</f>
        <v>河南省南阳市内乡县书院村</v>
      </c>
      <c r="H1941" s="1" t="str">
        <f t="shared" si="958"/>
        <v>无</v>
      </c>
      <c r="I1941" s="1" t="str">
        <f>"201705-202106 云南艺术学院设计学院产品设计专业就读
202108-202406 云南艺术学院设计学院艺术设计专业就读
202407至今 河南省南阳市内乡县待业"</f>
        <v>201705-202106 云南艺术学院设计学院产品设计专业就读
202108-202406 云南艺术学院设计学院艺术设计专业就读
202407至今 河南省南阳市内乡县待业</v>
      </c>
    </row>
    <row r="1942" spans="1:9">
      <c r="A1942" s="1" t="str">
        <f>"411330200201061589"</f>
        <v>411330200201061589</v>
      </c>
      <c r="B1942" s="1" t="str">
        <f t="shared" si="961"/>
        <v>群众</v>
      </c>
      <c r="C1942" s="1" t="str">
        <f t="shared" si="960"/>
        <v>本科</v>
      </c>
      <c r="D1942" s="1" t="str">
        <f>"20250620"</f>
        <v>20250620</v>
      </c>
      <c r="E1942" s="1" t="str">
        <f>"河南财经政法大学"</f>
        <v>河南财经政法大学</v>
      </c>
      <c r="F1942" s="1" t="str">
        <f>"金融学"</f>
        <v>金融学</v>
      </c>
      <c r="G1942" s="1" t="str">
        <f>"河南省南阳市西峡县"</f>
        <v>河南省南阳市西峡县</v>
      </c>
      <c r="H1942" s="1" t="str">
        <f t="shared" si="958"/>
        <v>无</v>
      </c>
      <c r="I1942" s="1" t="str">
        <f>"202109-202506河南财经政法大学金融学院金融学专业就读是全日制学历。"</f>
        <v>202109-202506河南财经政法大学金融学院金融学专业就读是全日制学历。</v>
      </c>
    </row>
    <row r="1943" spans="1:9">
      <c r="A1943" s="1" t="str">
        <f>"411327199909281524"</f>
        <v>411327199909281524</v>
      </c>
      <c r="B1943" s="1" t="str">
        <f t="shared" si="961"/>
        <v>群众</v>
      </c>
      <c r="C1943" s="1" t="str">
        <f t="shared" si="960"/>
        <v>本科</v>
      </c>
      <c r="D1943" s="1" t="str">
        <f>"20250701"</f>
        <v>20250701</v>
      </c>
      <c r="E1943" s="1" t="str">
        <f>"南阳理工学院"</f>
        <v>南阳理工学院</v>
      </c>
      <c r="F1943" s="1" t="str">
        <f>"财务管理"</f>
        <v>财务管理</v>
      </c>
      <c r="G1943" s="1" t="str">
        <f>"河南省南阳市内乡县湍东镇屈庄村"</f>
        <v>河南省南阳市内乡县湍东镇屈庄村</v>
      </c>
      <c r="H1943" s="1" t="str">
        <f t="shared" si="958"/>
        <v>无</v>
      </c>
      <c r="I1943" s="1" t="str">
        <f>"201709-202007河南工业职业技术学院经济管理会计专业就读 全日制
202007-202104待业
202105-202111南阳瑞鑫劳务派遣有限公司
202112-至今 内乡县赤眉镇财政所
202304-202507南阳理工学院财务管理专业就读 函授"</f>
        <v>201709-202007河南工业职业技术学院经济管理会计专业就读 全日制
202007-202104待业
202105-202111南阳瑞鑫劳务派遣有限公司
202112-至今 内乡县赤眉镇财政所
202304-202507南阳理工学院财务管理专业就读 函授</v>
      </c>
    </row>
    <row r="1944" spans="1:9">
      <c r="A1944" s="1" t="str">
        <f>"411327199509272020"</f>
        <v>411327199509272020</v>
      </c>
      <c r="B1944" s="1" t="str">
        <f t="shared" si="961"/>
        <v>群众</v>
      </c>
      <c r="C1944" s="1" t="str">
        <f t="shared" si="960"/>
        <v>本科</v>
      </c>
      <c r="D1944" s="1" t="str">
        <f>"20190701"</f>
        <v>20190701</v>
      </c>
      <c r="E1944" s="1" t="str">
        <f>"信阳学院"</f>
        <v>信阳学院</v>
      </c>
      <c r="F1944" s="1" t="str">
        <f>"英语"</f>
        <v>英语</v>
      </c>
      <c r="G1944" s="1" t="str">
        <f>"河南省内乡县大桥乡灵山村小邹营路西99号"</f>
        <v>河南省内乡县大桥乡灵山村小邹营路西99号</v>
      </c>
      <c r="H1944" s="1" t="str">
        <f t="shared" si="958"/>
        <v>无</v>
      </c>
      <c r="I1944" s="1" t="str">
        <f>"201409-201701河南工程学院，外语学院商务英语专业就读，普通全日制
20170913-20190701信阳学院，外语学院英语专业就读，普通全日制"</f>
        <v>201409-201701河南工程学院，外语学院商务英语专业就读，普通全日制
20170913-20190701信阳学院，外语学院英语专业就读，普通全日制</v>
      </c>
    </row>
    <row r="1945" spans="1:9">
      <c r="A1945" s="1" t="str">
        <f>"411327200201280046"</f>
        <v>411327200201280046</v>
      </c>
      <c r="B1945" s="1" t="str">
        <f t="shared" si="961"/>
        <v>群众</v>
      </c>
      <c r="C1945" s="1" t="str">
        <f t="shared" si="960"/>
        <v>本科</v>
      </c>
      <c r="D1945" s="1" t="str">
        <f>"20240623"</f>
        <v>20240623</v>
      </c>
      <c r="E1945" s="1" t="str">
        <f>"新乡医学院三全学院"</f>
        <v>新乡医学院三全学院</v>
      </c>
      <c r="F1945" s="1" t="str">
        <f>"生物医学工程"</f>
        <v>生物医学工程</v>
      </c>
      <c r="G1945" s="1" t="str">
        <f>"河南省南阳市内乡县"</f>
        <v>河南省南阳市内乡县</v>
      </c>
      <c r="H1945" s="1" t="str">
        <f t="shared" si="958"/>
        <v>无</v>
      </c>
      <c r="I1945" s="1" t="str">
        <f>"202009-202406 新乡医学院三全学院 智能工程院系 生物医学工程专业就读，是全日制学历
202406至今，在家河南省南阳市内乡县待业"</f>
        <v>202009-202406 新乡医学院三全学院 智能工程院系 生物医学工程专业就读，是全日制学历
202406至今，在家河南省南阳市内乡县待业</v>
      </c>
    </row>
    <row r="1946" spans="1:9">
      <c r="A1946" s="1" t="str">
        <f>"411327199812290037"</f>
        <v>411327199812290037</v>
      </c>
      <c r="B1946" s="1" t="str">
        <f t="shared" si="961"/>
        <v>群众</v>
      </c>
      <c r="C1946" s="1" t="str">
        <f t="shared" si="960"/>
        <v>本科</v>
      </c>
      <c r="D1946" s="1" t="str">
        <f>"20190620"</f>
        <v>20190620</v>
      </c>
      <c r="E1946" s="1" t="str">
        <f>"河北科技大学理工学院"</f>
        <v>河北科技大学理工学院</v>
      </c>
      <c r="F1946" s="1" t="str">
        <f>"电子信息工程"</f>
        <v>电子信息工程</v>
      </c>
      <c r="G1946" s="1" t="str">
        <f>"河南省南阳市内乡县五里堡北500米"</f>
        <v>河南省南阳市内乡县五里堡北500米</v>
      </c>
      <c r="H1946" s="1" t="str">
        <f t="shared" si="958"/>
        <v>无</v>
      </c>
      <c r="I1946" s="1" t="str">
        <f>"201509-201906 河北科技大学理工学院  电子信息工程  就读
201907-202406  北京适创科技有限公司  图像算法工程师
202407至今   待业"</f>
        <v>201509-201906 河北科技大学理工学院  电子信息工程  就读
201907-202406  北京适创科技有限公司  图像算法工程师
202407至今   待业</v>
      </c>
    </row>
    <row r="1947" ht="108" spans="1:9">
      <c r="A1947" s="1" t="str">
        <f>"411303200005030516"</f>
        <v>411303200005030516</v>
      </c>
      <c r="B1947" s="1" t="str">
        <f t="shared" ref="B1947:B1951" si="962">"共青团员"</f>
        <v>共青团员</v>
      </c>
      <c r="C1947" s="1" t="str">
        <f t="shared" si="960"/>
        <v>本科</v>
      </c>
      <c r="D1947" s="1" t="str">
        <f>"2025年7月1日"</f>
        <v>2025年7月1日</v>
      </c>
      <c r="E1947" s="1" t="str">
        <f>"信阳农林学院"</f>
        <v>信阳农林学院</v>
      </c>
      <c r="F1947" s="1" t="str">
        <f>"农学"</f>
        <v>农学</v>
      </c>
      <c r="G1947" s="1" t="str">
        <f>"河南省南阳市卧龙区张衡中路"</f>
        <v>河南省南阳市卧龙区张衡中路</v>
      </c>
      <c r="H1947" s="1" t="str">
        <f>"农业技术员 三级工"</f>
        <v>农业技术员 三级工</v>
      </c>
      <c r="I1947" s="3" t="s">
        <v>237</v>
      </c>
    </row>
    <row r="1948" spans="1:9">
      <c r="A1948" s="1" t="str">
        <f>"411327199109300037"</f>
        <v>411327199109300037</v>
      </c>
      <c r="B1948" s="1" t="str">
        <f t="shared" ref="B1948:B1956" si="963">"群众"</f>
        <v>群众</v>
      </c>
      <c r="C1948" s="1" t="str">
        <f>"专科"</f>
        <v>专科</v>
      </c>
      <c r="D1948" s="1" t="str">
        <f>"202100701"</f>
        <v>202100701</v>
      </c>
      <c r="E1948" s="1" t="str">
        <f>"郑州工程技术学院"</f>
        <v>郑州工程技术学院</v>
      </c>
      <c r="F1948" s="1" t="str">
        <f>"法律事务"</f>
        <v>法律事务</v>
      </c>
      <c r="G1948" s="1" t="str">
        <f>"河南省南阳市内乡县城关镇金城加油站对面"</f>
        <v>河南省南阳市内乡县城关镇金城加油站对面</v>
      </c>
      <c r="H1948" s="1" t="str">
        <f t="shared" ref="H1948:H1965" si="964">"无"</f>
        <v>无</v>
      </c>
      <c r="I1948" s="1" t="str">
        <f>"201111-201311海南三亚服役，2015-2019内乡法院岞岖法庭法警，201903-202107在郑州工业技术学院法律事务专业就读，非全日制"</f>
        <v>201111-201311海南三亚服役，2015-2019内乡法院岞岖法庭法警，201903-202107在郑州工业技术学院法律事务专业就读，非全日制</v>
      </c>
    </row>
    <row r="1949" spans="1:9">
      <c r="A1949" s="1" t="str">
        <f>"410526200204200025"</f>
        <v>410526200204200025</v>
      </c>
      <c r="B1949" s="1" t="str">
        <f t="shared" si="963"/>
        <v>群众</v>
      </c>
      <c r="C1949" s="1" t="str">
        <f t="shared" ref="C1949:C1954" si="965">"本科"</f>
        <v>本科</v>
      </c>
      <c r="D1949" s="1" t="str">
        <f>"20250701"</f>
        <v>20250701</v>
      </c>
      <c r="E1949" s="1" t="str">
        <f>"郑州商学院"</f>
        <v>郑州商学院</v>
      </c>
      <c r="F1949" s="1" t="str">
        <f>"动画"</f>
        <v>动画</v>
      </c>
      <c r="G1949" s="1" t="str">
        <f>"河南省安阳市滑县"</f>
        <v>河南省安阳市滑县</v>
      </c>
      <c r="H1949" s="1" t="str">
        <f t="shared" si="964"/>
        <v>无</v>
      </c>
      <c r="I1949" s="1" t="str">
        <f>"202009-202307 鹤壁职业技术学院人文学院视觉传达设计与制作专业就读
202309-202507 郑州商学院艺术学院动画专业就读"</f>
        <v>202009-202307 鹤壁职业技术学院人文学院视觉传达设计与制作专业就读
202309-202507 郑州商学院艺术学院动画专业就读</v>
      </c>
    </row>
    <row r="1950" spans="1:9">
      <c r="A1950" s="1" t="str">
        <f>"41132519990209204X"</f>
        <v>41132519990209204X</v>
      </c>
      <c r="B1950" s="1" t="str">
        <f t="shared" si="962"/>
        <v>共青团员</v>
      </c>
      <c r="C1950" s="1" t="str">
        <f t="shared" si="965"/>
        <v>本科</v>
      </c>
      <c r="D1950" s="1" t="str">
        <f>"20220701"</f>
        <v>20220701</v>
      </c>
      <c r="E1950" s="1" t="str">
        <f>"黄河科技学院"</f>
        <v>黄河科技学院</v>
      </c>
      <c r="F1950" s="1" t="str">
        <f>"财务管理"</f>
        <v>财务管理</v>
      </c>
      <c r="G1950" s="1" t="str">
        <f>"河南省南阳市内乡县明珠花园"</f>
        <v>河南省南阳市内乡县明珠花园</v>
      </c>
      <c r="H1950" s="1" t="str">
        <f>"会计从业资格证"</f>
        <v>会计从业资格证</v>
      </c>
      <c r="I1950" s="1" t="str">
        <f>"201709-202006在信阳学院商学院会计学专业就读，是全日制学历
202006-202009待业
202009-202206在黄河科技学院商学院财务管理专业就读，是全日制学历"</f>
        <v>201709-202006在信阳学院商学院会计学专业就读，是全日制学历
202006-202009待业
202009-202206在黄河科技学院商学院财务管理专业就读，是全日制学历</v>
      </c>
    </row>
    <row r="1951" spans="1:9">
      <c r="A1951" s="1" t="str">
        <f>"411327200104031128"</f>
        <v>411327200104031128</v>
      </c>
      <c r="B1951" s="1" t="str">
        <f t="shared" si="962"/>
        <v>共青团员</v>
      </c>
      <c r="C1951" s="1" t="str">
        <f t="shared" si="965"/>
        <v>本科</v>
      </c>
      <c r="D1951" s="1" t="str">
        <f>"20230701"</f>
        <v>20230701</v>
      </c>
      <c r="E1951" s="1" t="str">
        <f>"信阳师范大学"</f>
        <v>信阳师范大学</v>
      </c>
      <c r="F1951" s="1" t="str">
        <f>"美术学"</f>
        <v>美术学</v>
      </c>
      <c r="G1951" s="1" t="str">
        <f>"河南省南阳市西峡县紫金街道皇都小区"</f>
        <v>河南省南阳市西峡县紫金街道皇都小区</v>
      </c>
      <c r="H1951" s="1" t="str">
        <f t="shared" si="964"/>
        <v>无</v>
      </c>
      <c r="I1951" s="1" t="str">
        <f>"201909-202307 信阳师范大学 美术与设计学院 美术学专业 就读 全日制学历
202307-202311 西峡县紫金街道皇都小区 在家待业
202311-202402 内乡县今生金画室
202402-20252 西峡县素雅书画美术老师
202502-202506 五里桥初中 代课"</f>
        <v>201909-202307 信阳师范大学 美术与设计学院 美术学专业 就读 全日制学历
202307-202311 西峡县紫金街道皇都小区 在家待业
202311-202402 内乡县今生金画室
202402-20252 西峡县素雅书画美术老师
202502-202506 五里桥初中 代课</v>
      </c>
    </row>
    <row r="1952" spans="1:9">
      <c r="A1952" s="1" t="str">
        <f>"411327200101311116"</f>
        <v>411327200101311116</v>
      </c>
      <c r="B1952" s="1" t="str">
        <f>"中共党员"</f>
        <v>中共党员</v>
      </c>
      <c r="C1952" s="1" t="str">
        <f t="shared" si="965"/>
        <v>本科</v>
      </c>
      <c r="D1952" s="1" t="str">
        <f>"2024-06-25"</f>
        <v>2024-06-25</v>
      </c>
      <c r="E1952" s="1" t="str">
        <f>"河南财政金融学院"</f>
        <v>河南财政金融学院</v>
      </c>
      <c r="F1952" s="1" t="str">
        <f>"物流管理"</f>
        <v>物流管理</v>
      </c>
      <c r="G1952" s="1" t="str">
        <f>"河南省南阳市内乡县赤眉镇振兴街1号附266号"</f>
        <v>河南省南阳市内乡县赤眉镇振兴街1号附266号</v>
      </c>
      <c r="H1952" s="1" t="str">
        <f t="shared" si="964"/>
        <v>无</v>
      </c>
      <c r="I1952" s="1" t="str">
        <f>"202009-202406 河南财政金融学院 工商管理学院 物流管理专业 就读 全日制本科"</f>
        <v>202009-202406 河南财政金融学院 工商管理学院 物流管理专业 就读 全日制本科</v>
      </c>
    </row>
    <row r="1953" spans="1:9">
      <c r="A1953" s="1" t="str">
        <f>"411327199308150668"</f>
        <v>411327199308150668</v>
      </c>
      <c r="B1953" s="1" t="str">
        <f t="shared" si="963"/>
        <v>群众</v>
      </c>
      <c r="C1953" s="1" t="str">
        <f t="shared" si="965"/>
        <v>本科</v>
      </c>
      <c r="D1953" s="1" t="str">
        <f>"20160701"</f>
        <v>20160701</v>
      </c>
      <c r="E1953" s="1" t="str">
        <f>"信阳师范学院"</f>
        <v>信阳师范学院</v>
      </c>
      <c r="F1953" s="1" t="str">
        <f>"旅游管理"</f>
        <v>旅游管理</v>
      </c>
      <c r="G1953" s="1" t="str">
        <f>"河南南阳内乡县湍东镇碧桂园天麓府"</f>
        <v>河南南阳内乡县湍东镇碧桂园天麓府</v>
      </c>
      <c r="H1953" s="1" t="str">
        <f t="shared" si="964"/>
        <v>无</v>
      </c>
      <c r="I1953" s="1" t="str">
        <f>"本人于201209—201607在信阳师范学院工商管理学院就读旅游管理专业，完成全日制四年制本科学习，持有管理学学士学位证书。"</f>
        <v>本人于201209—201607在信阳师范学院工商管理学院就读旅游管理专业，完成全日制四年制本科学习，持有管理学学士学位证书。</v>
      </c>
    </row>
    <row r="1954" spans="1:9">
      <c r="A1954" s="1" t="str">
        <f>"411327199902162020"</f>
        <v>411327199902162020</v>
      </c>
      <c r="B1954" s="1" t="str">
        <f t="shared" si="963"/>
        <v>群众</v>
      </c>
      <c r="C1954" s="1" t="str">
        <f t="shared" si="965"/>
        <v>本科</v>
      </c>
      <c r="D1954" s="1" t="str">
        <f>"20210607"</f>
        <v>20210607</v>
      </c>
      <c r="E1954" s="1" t="str">
        <f>"周口师范学院"</f>
        <v>周口师范学院</v>
      </c>
      <c r="F1954" s="1" t="str">
        <f>"生物制药"</f>
        <v>生物制药</v>
      </c>
      <c r="G1954" s="1" t="str">
        <f>"河南省南阳市内乡县师岗镇张沟村苗北"</f>
        <v>河南省南阳市内乡县师岗镇张沟村苗北</v>
      </c>
      <c r="H1954" s="1" t="str">
        <f t="shared" si="964"/>
        <v>无</v>
      </c>
      <c r="I1954" s="1" t="str">
        <f>"201709-202106 周口师范学院生命科学学院生物制药专业就读 全日制学历
202109-202406 内乡县菊潭高级中学任职生物教师
202406-至今 在家待业"</f>
        <v>201709-202106 周口师范学院生命科学学院生物制药专业就读 全日制学历
202109-202406 内乡县菊潭高级中学任职生物教师
202406-至今 在家待业</v>
      </c>
    </row>
    <row r="1955" spans="1:9">
      <c r="A1955" s="1" t="str">
        <f>"411327199109263117"</f>
        <v>411327199109263117</v>
      </c>
      <c r="B1955" s="1" t="str">
        <f t="shared" si="963"/>
        <v>群众</v>
      </c>
      <c r="C1955" s="1" t="str">
        <f>"专科"</f>
        <v>专科</v>
      </c>
      <c r="D1955" s="1" t="str">
        <f>"20130701"</f>
        <v>20130701</v>
      </c>
      <c r="E1955" s="1" t="str">
        <f>"河南机电高等专科学校"</f>
        <v>河南机电高等专科学校</v>
      </c>
      <c r="F1955" s="1" t="str">
        <f>"汽车检测与维修技术"</f>
        <v>汽车检测与维修技术</v>
      </c>
      <c r="G1955" s="1" t="str">
        <f>"河南南阳内乡渚阳大街278号"</f>
        <v>河南南阳内乡渚阳大街278号</v>
      </c>
      <c r="H1955" s="1" t="str">
        <f t="shared" si="964"/>
        <v>无</v>
      </c>
      <c r="I1955" s="1" t="str">
        <f>"201009-201307在河南机电高等专科学校学校，汽车检测与维修技术专业就读全日制学历’。201309至今在内乡县城关镇优玛疤痕修复中心工作"</f>
        <v>201009-201307在河南机电高等专科学校学校，汽车检测与维修技术专业就读全日制学历’。201309至今在内乡县城关镇优玛疤痕修复中心工作</v>
      </c>
    </row>
    <row r="1956" spans="1:9">
      <c r="A1956" s="1" t="str">
        <f>"140522199206213026"</f>
        <v>140522199206213026</v>
      </c>
      <c r="B1956" s="1" t="str">
        <f t="shared" si="963"/>
        <v>群众</v>
      </c>
      <c r="C1956" s="1" t="str">
        <f t="shared" ref="C1956:C1960" si="966">"本科"</f>
        <v>本科</v>
      </c>
      <c r="D1956" s="1" t="str">
        <f>"20140701"</f>
        <v>20140701</v>
      </c>
      <c r="E1956" s="1" t="str">
        <f>"山西大同大学"</f>
        <v>山西大同大学</v>
      </c>
      <c r="F1956" s="1" t="str">
        <f>"电子信息科学与技术"</f>
        <v>电子信息科学与技术</v>
      </c>
      <c r="G1956" s="1" t="str">
        <f>"河南省南阳市内乡县湍东镇盆窑村"</f>
        <v>河南省南阳市内乡县湍东镇盆窑村</v>
      </c>
      <c r="H1956" s="1" t="str">
        <f t="shared" si="964"/>
        <v>无</v>
      </c>
      <c r="I1956" s="1" t="str">
        <f>"201009-201407 山西大同大学 物电学院电子系电子信息科学与技术专业就读
201407-201412 山西省晋城市阳城县待业
201412-至今 北京筑业志远软件开发有限公司就职"</f>
        <v>201009-201407 山西大同大学 物电学院电子系电子信息科学与技术专业就读
201407-201412 山西省晋城市阳城县待业
201412-至今 北京筑业志远软件开发有限公司就职</v>
      </c>
    </row>
    <row r="1957" spans="1:9">
      <c r="A1957" s="1" t="str">
        <f>"411481200204291115"</f>
        <v>411481200204291115</v>
      </c>
      <c r="B1957" s="1" t="str">
        <f t="shared" ref="B1957:B1962" si="967">"共青团员"</f>
        <v>共青团员</v>
      </c>
      <c r="C1957" s="1" t="str">
        <f t="shared" si="966"/>
        <v>本科</v>
      </c>
      <c r="D1957" s="1" t="str">
        <f>"20210621"</f>
        <v>20210621</v>
      </c>
      <c r="E1957" s="1" t="str">
        <f>"河南财经政法大学"</f>
        <v>河南财经政法大学</v>
      </c>
      <c r="F1957" s="1" t="str">
        <f>"软件工程（DNIIT国际认证方向）"</f>
        <v>软件工程（DNIIT国际认证方向）</v>
      </c>
      <c r="G1957" s="1" t="str">
        <f>"河南省永城市龙岗镇"</f>
        <v>河南省永城市龙岗镇</v>
      </c>
      <c r="H1957" s="1" t="str">
        <f t="shared" si="964"/>
        <v>无</v>
      </c>
      <c r="I1957" s="1" t="str">
        <f>"202109-202506 河南财经政法大学计算机与信息工程学院软件工程专业 就读"</f>
        <v>202109-202506 河南财经政法大学计算机与信息工程学院软件工程专业 就读</v>
      </c>
    </row>
    <row r="1958" spans="1:9">
      <c r="A1958" s="1" t="str">
        <f>"411327200006140013"</f>
        <v>411327200006140013</v>
      </c>
      <c r="B1958" s="1" t="str">
        <f>"中共党员"</f>
        <v>中共党员</v>
      </c>
      <c r="C1958" s="1" t="str">
        <f t="shared" ref="C1958:C1964" si="968">"专科"</f>
        <v>专科</v>
      </c>
      <c r="D1958" s="1" t="str">
        <f>"20240710"</f>
        <v>20240710</v>
      </c>
      <c r="E1958" s="1" t="str">
        <f>"广东开放大学"</f>
        <v>广东开放大学</v>
      </c>
      <c r="F1958" s="1" t="str">
        <f>"公共事务管理"</f>
        <v>公共事务管理</v>
      </c>
      <c r="G1958" s="1" t="str">
        <f>"河南省南阳市内乡县城关镇大成西路八巷4号"</f>
        <v>河南省南阳市内乡县城关镇大成西路八巷4号</v>
      </c>
      <c r="H1958" s="1" t="str">
        <f t="shared" si="964"/>
        <v>无</v>
      </c>
      <c r="I1958" s="1" t="str">
        <f>"202407-202507在内乡县待业
202203-202407在广东开放大学公共事务管理专业就读 非全日制学历
201809-202309在军队服役
201509-201809在内乡县中等专业技术学校计算机专业就读
201209-201509在内乡县初级中学就读
200609-201209在内乡县第二小学就读"</f>
        <v>202407-202507在内乡县待业
202203-202407在广东开放大学公共事务管理专业就读 非全日制学历
201809-202309在军队服役
201509-201809在内乡县中等专业技术学校计算机专业就读
201209-201509在内乡县初级中学就读
200609-201209在内乡县第二小学就读</v>
      </c>
    </row>
    <row r="1959" spans="1:9">
      <c r="A1959" s="1" t="str">
        <f>"411327200106060010"</f>
        <v>411327200106060010</v>
      </c>
      <c r="B1959" s="1" t="str">
        <f t="shared" ref="B1959:B1965" si="969">"群众"</f>
        <v>群众</v>
      </c>
      <c r="C1959" s="1" t="str">
        <f t="shared" si="966"/>
        <v>本科</v>
      </c>
      <c r="D1959" s="1" t="str">
        <f>"20230608"</f>
        <v>20230608</v>
      </c>
      <c r="E1959" s="1" t="str">
        <f>"河南城建学院"</f>
        <v>河南城建学院</v>
      </c>
      <c r="F1959" s="1" t="str">
        <f>"能源与动力工程"</f>
        <v>能源与动力工程</v>
      </c>
      <c r="G1959" s="1" t="str">
        <f>"河南省南阳市内乡县新星花苑"</f>
        <v>河南省南阳市内乡县新星花苑</v>
      </c>
      <c r="H1959" s="1" t="str">
        <f t="shared" si="964"/>
        <v>无</v>
      </c>
      <c r="I1959" s="1" t="str">
        <f>"201909-202306河南省城建学院 能源与建筑环境工程学院 能源与动力工程专业 就读 全日制学历 无间断
202306-至今 南召华润燃气有限公司任职工程管理员 "</f>
        <v>201909-202306河南省城建学院 能源与建筑环境工程学院 能源与动力工程专业 就读 全日制学历 无间断
202306-至今 南召华润燃气有限公司任职工程管理员 </v>
      </c>
    </row>
    <row r="1960" spans="1:9">
      <c r="A1960" s="1" t="str">
        <f>"411324199908102820"</f>
        <v>411324199908102820</v>
      </c>
      <c r="B1960" s="1" t="str">
        <f t="shared" si="967"/>
        <v>共青团员</v>
      </c>
      <c r="C1960" s="1" t="str">
        <f t="shared" si="966"/>
        <v>本科</v>
      </c>
      <c r="D1960" s="1" t="str">
        <f>"20230701"</f>
        <v>20230701</v>
      </c>
      <c r="E1960" s="1" t="str">
        <f>"南阳师范学院"</f>
        <v>南阳师范学院</v>
      </c>
      <c r="F1960" s="1" t="str">
        <f>"视觉传达设计"</f>
        <v>视觉传达设计</v>
      </c>
      <c r="G1960" s="1" t="str">
        <f>"河南省南阳市镇平县北公路城郊派出所后"</f>
        <v>河南省南阳市镇平县北公路城郊派出所后</v>
      </c>
      <c r="H1960" s="1" t="str">
        <f t="shared" si="964"/>
        <v>无</v>
      </c>
      <c r="I1960" s="1" t="str">
        <f>"2018 09-2021 07 洛阳理工学院就读艺术设计学院视觉传达设计 全日制
专科
2021 09-2023 07 南阳师范学院就读美术与艺术设计学院 视觉传达设计全日制本科
2023 07至今在河南省镇平县待业"</f>
        <v>2018 09-2021 07 洛阳理工学院就读艺术设计学院视觉传达设计 全日制
专科
2021 09-2023 07 南阳师范学院就读美术与艺术设计学院 视觉传达设计全日制本科
2023 07至今在河南省镇平县待业</v>
      </c>
    </row>
    <row r="1961" spans="1:9">
      <c r="A1961" s="1" t="str">
        <f>"411327200311140626"</f>
        <v>411327200311140626</v>
      </c>
      <c r="B1961" s="1" t="str">
        <f t="shared" si="969"/>
        <v>群众</v>
      </c>
      <c r="C1961" s="1" t="str">
        <f t="shared" si="968"/>
        <v>专科</v>
      </c>
      <c r="D1961" s="1" t="str">
        <f>"2024-06-18"</f>
        <v>2024-06-18</v>
      </c>
      <c r="E1961" s="1" t="str">
        <f>"安阳幼儿师范高等专科学校"</f>
        <v>安阳幼儿师范高等专科学校</v>
      </c>
      <c r="F1961" s="1" t="str">
        <f>"小学美术教育"</f>
        <v>小学美术教育</v>
      </c>
      <c r="G1961" s="1" t="str">
        <f>"河南省南阳市内乡县马山口镇外河街99号"</f>
        <v>河南省南阳市内乡县马山口镇外河街99号</v>
      </c>
      <c r="H1961" s="1" t="str">
        <f t="shared" si="964"/>
        <v>无</v>
      </c>
      <c r="I1961" s="1" t="str">
        <f>"202109-202406  安阳幼儿师范高等专科学校就读，全日制学历"</f>
        <v>202109-202406  安阳幼儿师范高等专科学校就读，全日制学历</v>
      </c>
    </row>
    <row r="1962" spans="1:9">
      <c r="A1962" s="1" t="str">
        <f>"410324199810060318"</f>
        <v>410324199810060318</v>
      </c>
      <c r="B1962" s="1" t="str">
        <f t="shared" si="967"/>
        <v>共青团员</v>
      </c>
      <c r="C1962" s="1" t="str">
        <f t="shared" ref="C1962:C1966" si="970">"本科"</f>
        <v>本科</v>
      </c>
      <c r="D1962" s="1" t="str">
        <f>"20210610"</f>
        <v>20210610</v>
      </c>
      <c r="E1962" s="1" t="str">
        <f>"安阳师范学院"</f>
        <v>安阳师范学院</v>
      </c>
      <c r="F1962" s="1" t="str">
        <f>"软件工程"</f>
        <v>软件工程</v>
      </c>
      <c r="G1962" s="1" t="str">
        <f>"河南省洛阳市栾川县养子口村"</f>
        <v>河南省洛阳市栾川县养子口村</v>
      </c>
      <c r="H1962" s="1" t="str">
        <f t="shared" si="964"/>
        <v>无</v>
      </c>
      <c r="I1962" s="1" t="str">
        <f>"201709-202106就读于安阳师范学院软件工程专业，全日制本科"</f>
        <v>201709-202106就读于安阳师范学院软件工程专业，全日制本科</v>
      </c>
    </row>
    <row r="1963" spans="1:9">
      <c r="A1963" s="1" t="str">
        <f>"411381200410138212"</f>
        <v>411381200410138212</v>
      </c>
      <c r="B1963" s="1" t="str">
        <f t="shared" si="969"/>
        <v>群众</v>
      </c>
      <c r="C1963" s="1" t="str">
        <f t="shared" si="968"/>
        <v>专科</v>
      </c>
      <c r="D1963" s="1" t="str">
        <f>"20250607"</f>
        <v>20250607</v>
      </c>
      <c r="E1963" s="1" t="str">
        <f>"河南工程学院"</f>
        <v>河南工程学院</v>
      </c>
      <c r="F1963" s="1" t="str">
        <f>"计算机网技术"</f>
        <v>计算机网技术</v>
      </c>
      <c r="G1963" s="1" t="str">
        <f>"邓州市汲滩镇"</f>
        <v>邓州市汲滩镇</v>
      </c>
      <c r="H1963" s="1" t="str">
        <f t="shared" si="964"/>
        <v>无</v>
      </c>
      <c r="I1963" s="1" t="str">
        <f>"202309-202506 河南工程学院计算机网技术专业就读 全日制学历"</f>
        <v>202309-202506 河南工程学院计算机网技术专业就读 全日制学历</v>
      </c>
    </row>
    <row r="1964" spans="1:9">
      <c r="A1964" s="1" t="str">
        <f>"411327199807172546"</f>
        <v>411327199807172546</v>
      </c>
      <c r="B1964" s="1" t="str">
        <f t="shared" si="969"/>
        <v>群众</v>
      </c>
      <c r="C1964" s="1" t="str">
        <f t="shared" si="968"/>
        <v>专科</v>
      </c>
      <c r="D1964" s="1" t="str">
        <f>"2020-07-01"</f>
        <v>2020-07-01</v>
      </c>
      <c r="E1964" s="1" t="str">
        <f>"河南经贸职业学院"</f>
        <v>河南经贸职业学院</v>
      </c>
      <c r="F1964" s="1" t="str">
        <f>"环境艺术设计"</f>
        <v>环境艺术设计</v>
      </c>
      <c r="G1964" s="1" t="str">
        <f>"内乡县屈庄村柴洼"</f>
        <v>内乡县屈庄村柴洼</v>
      </c>
      <c r="H1964" s="1" t="str">
        <f t="shared" si="964"/>
        <v>无</v>
      </c>
      <c r="I1964" s="1" t="str">
        <f>"201709-202006河南经贸职业学院就读
202006-202206在内乡县待业
202206-202506内乡县人民法院（公益岗三年）
202506至今在内乡县待业"</f>
        <v>201709-202006河南经贸职业学院就读
202006-202206在内乡县待业
202206-202506内乡县人民法院（公益岗三年）
202506至今在内乡县待业</v>
      </c>
    </row>
    <row r="1965" spans="1:9">
      <c r="A1965" s="1" t="str">
        <f>"410182199902227608"</f>
        <v>410182199902227608</v>
      </c>
      <c r="B1965" s="1" t="str">
        <f t="shared" si="969"/>
        <v>群众</v>
      </c>
      <c r="C1965" s="1" t="str">
        <f t="shared" si="970"/>
        <v>本科</v>
      </c>
      <c r="D1965" s="1" t="str">
        <f>"20210701"</f>
        <v>20210701</v>
      </c>
      <c r="E1965" s="1" t="str">
        <f>"郑州师范学院"</f>
        <v>郑州师范学院</v>
      </c>
      <c r="F1965" s="1" t="str">
        <f>"音乐学"</f>
        <v>音乐学</v>
      </c>
      <c r="G1965" s="1" t="str">
        <f>"河南省南阳市内乡县宝天曼商城"</f>
        <v>河南省南阳市内乡县宝天曼商城</v>
      </c>
      <c r="H1965" s="1" t="str">
        <f t="shared" si="964"/>
        <v>无</v>
      </c>
      <c r="I1965" s="1" t="str">
        <f>"201709-202106 郑州师范学院音乐与舞蹈学院就读音乐学声乐方向，是全日制学历。
202106-202307待业
202307-202507内乡县郦都学校任职历史老师
"</f>
        <v>201709-202106 郑州师范学院音乐与舞蹈学院就读音乐学声乐方向，是全日制学历。
202106-202307待业
202307-202507内乡县郦都学校任职历史老师
</v>
      </c>
    </row>
    <row r="1966" spans="1:9">
      <c r="A1966" s="1" t="str">
        <f>"410727200108071531"</f>
        <v>410727200108071531</v>
      </c>
      <c r="B1966" s="1" t="str">
        <f t="shared" ref="B1966:B1972" si="971">"共青团员"</f>
        <v>共青团员</v>
      </c>
      <c r="C1966" s="1" t="str">
        <f t="shared" si="970"/>
        <v>本科</v>
      </c>
      <c r="D1966" s="1" t="str">
        <f>"20240614"</f>
        <v>20240614</v>
      </c>
      <c r="E1966" s="1" t="str">
        <f>"信阳农林学院"</f>
        <v>信阳农林学院</v>
      </c>
      <c r="F1966" s="1" t="str">
        <f>"农学"</f>
        <v>农学</v>
      </c>
      <c r="G1966" s="1" t="str">
        <f>"河南省新乡市封丘县黄德镇文岩村"</f>
        <v>河南省新乡市封丘县黄德镇文岩村</v>
      </c>
      <c r="H1966" s="1" t="str">
        <f>"农作物种植技术员  三级"</f>
        <v>农作物种植技术员  三级</v>
      </c>
      <c r="I1966" s="1" t="str">
        <f>"（大专：2019年9月——2022年6月 许昌职业技术学院园林与食品工程学院就读  园艺专业）
（大学：2022年9月——2024年6月 信阳农林学院农学院就读 农学专业 )       
全日制学历
"</f>
        <v>（大专：2019年9月——2022年6月 许昌职业技术学院园林与食品工程学院就读  园艺专业）
（大学：2022年9月——2024年6月 信阳农林学院农学院就读 农学专业 )       
全日制学历
</v>
      </c>
    </row>
    <row r="1967" spans="1:9">
      <c r="A1967" s="1" t="str">
        <f>"411323199611236346"</f>
        <v>411323199611236346</v>
      </c>
      <c r="B1967" s="1" t="str">
        <f>"群众"</f>
        <v>群众</v>
      </c>
      <c r="C1967" s="1" t="str">
        <f>"硕士研究生"</f>
        <v>硕士研究生</v>
      </c>
      <c r="D1967" s="1" t="str">
        <f>"20230701"</f>
        <v>20230701</v>
      </c>
      <c r="E1967" s="1" t="str">
        <f>"锦州医科大学"</f>
        <v>锦州医科大学</v>
      </c>
      <c r="F1967" s="1" t="str">
        <f>"伦理学"</f>
        <v>伦理学</v>
      </c>
      <c r="G1967" s="1" t="str">
        <f>"河南省南阳市淅川县"</f>
        <v>河南省南阳市淅川县</v>
      </c>
      <c r="H1967" s="1" t="str">
        <f t="shared" ref="H1967:H1969" si="972">"无"</f>
        <v>无</v>
      </c>
      <c r="I1967" s="1" t="str">
        <f>"201509-201907  周口师范学院教育科学系心理学专业全日制本科；
201907-202009待业考研；
202009-202307 锦州医科大学人文与健康管理学院伦理学（哲学）专业全日制硕士研究生；
202307-至今待业"</f>
        <v>201509-201907  周口师范学院教育科学系心理学专业全日制本科；
201907-202009待业考研；
202009-202307 锦州医科大学人文与健康管理学院伦理学（哲学）专业全日制硕士研究生；
202307-至今待业</v>
      </c>
    </row>
    <row r="1968" spans="1:9">
      <c r="A1968" s="1" t="str">
        <f>"411330200102041515"</f>
        <v>411330200102041515</v>
      </c>
      <c r="B1968" s="1" t="str">
        <f>"中共党员"</f>
        <v>中共党员</v>
      </c>
      <c r="C1968" s="1" t="str">
        <f t="shared" ref="C1968:C1971" si="973">"本科"</f>
        <v>本科</v>
      </c>
      <c r="D1968" s="1" t="str">
        <f>"20250601"</f>
        <v>20250601</v>
      </c>
      <c r="E1968" s="1" t="str">
        <f>"郑州工业应用技术学院"</f>
        <v>郑州工业应用技术学院</v>
      </c>
      <c r="F1968" s="1" t="str">
        <f>"市场营销"</f>
        <v>市场营销</v>
      </c>
      <c r="G1968" s="1" t="str">
        <f>"河南省南阳市西峡县北四环与五里桥交叉口北100米"</f>
        <v>河南省南阳市西峡县北四环与五里桥交叉口北100米</v>
      </c>
      <c r="H1968" s="1" t="str">
        <f t="shared" si="972"/>
        <v>无</v>
      </c>
      <c r="I1968" s="1" t="str">
        <f>"202009-202306河南牧业经济学院
202309-202506郑州工业应用技术学院
是全日制本科"</f>
        <v>202009-202306河南牧业经济学院
202309-202506郑州工业应用技术学院
是全日制本科</v>
      </c>
    </row>
    <row r="1969" spans="1:9">
      <c r="A1969" s="1" t="str">
        <f>"412726200301282061"</f>
        <v>412726200301282061</v>
      </c>
      <c r="B1969" s="1" t="str">
        <f t="shared" si="971"/>
        <v>共青团员</v>
      </c>
      <c r="C1969" s="1" t="str">
        <f t="shared" si="973"/>
        <v>本科</v>
      </c>
      <c r="D1969" s="1" t="str">
        <f>"20240630"</f>
        <v>20240630</v>
      </c>
      <c r="E1969" s="1" t="str">
        <f>"重庆理工大学"</f>
        <v>重庆理工大学</v>
      </c>
      <c r="F1969" s="1" t="str">
        <f>"国际经济与贸易"</f>
        <v>国际经济与贸易</v>
      </c>
      <c r="G1969" s="1" t="str">
        <f>"河南省周口市郸城县张完乡"</f>
        <v>河南省周口市郸城县张完乡</v>
      </c>
      <c r="H1969" s="1" t="str">
        <f t="shared" si="972"/>
        <v>无</v>
      </c>
      <c r="I1969" s="1" t="str">
        <f>"202009-202406 重庆理工大学 经济金融学院 国际经济与贸易专业就读 全日制学历
202406-202503 待业
202503-202507 上海高顿教育科技有限公司就业
202507-至今 北京图仕教育科技有限公司就业"</f>
        <v>202009-202406 重庆理工大学 经济金融学院 国际经济与贸易专业就读 全日制学历
202406-202503 待业
202503-202507 上海高顿教育科技有限公司就业
202507-至今 北京图仕教育科技有限公司就业</v>
      </c>
    </row>
    <row r="1970" spans="1:9">
      <c r="A1970" s="1" t="str">
        <f>"411327200110162087"</f>
        <v>411327200110162087</v>
      </c>
      <c r="B1970" s="1" t="str">
        <f>"群众"</f>
        <v>群众</v>
      </c>
      <c r="C1970" s="1" t="str">
        <f t="shared" si="973"/>
        <v>本科</v>
      </c>
      <c r="D1970" s="1" t="str">
        <f>"20250607"</f>
        <v>20250607</v>
      </c>
      <c r="E1970" s="1" t="str">
        <f>"郑州工商学院"</f>
        <v>郑州工商学院</v>
      </c>
      <c r="F1970" s="1" t="str">
        <f>"会计学"</f>
        <v>会计学</v>
      </c>
      <c r="G1970" s="1" t="str">
        <f>"河南省南阳市内乡县城关镇"</f>
        <v>河南省南阳市内乡县城关镇</v>
      </c>
      <c r="H1970" s="1" t="str">
        <f>"初级会计证"</f>
        <v>初级会计证</v>
      </c>
      <c r="I1970" s="1" t="str">
        <f>"202109-202506 郑州工商学院 财税学院会计学专业就读，是全日制本科学历。"</f>
        <v>202109-202506 郑州工商学院 财税学院会计学专业就读，是全日制本科学历。</v>
      </c>
    </row>
    <row r="1971" spans="1:9">
      <c r="A1971" s="1" t="str">
        <f>"411326200206172427"</f>
        <v>411326200206172427</v>
      </c>
      <c r="B1971" s="1" t="str">
        <f t="shared" si="971"/>
        <v>共青团员</v>
      </c>
      <c r="C1971" s="1" t="str">
        <f t="shared" si="973"/>
        <v>本科</v>
      </c>
      <c r="D1971" s="1" t="str">
        <f>"20240618"</f>
        <v>20240618</v>
      </c>
      <c r="E1971" s="1" t="str">
        <f>"华北理工大学轻工学院"</f>
        <v>华北理工大学轻工学院</v>
      </c>
      <c r="F1971" s="1" t="str">
        <f>"英语"</f>
        <v>英语</v>
      </c>
      <c r="G1971" s="1" t="str">
        <f>"河南省南阳市卧龙区高新路长风小区"</f>
        <v>河南省南阳市卧龙区高新路长风小区</v>
      </c>
      <c r="H1971" s="1" t="str">
        <f t="shared" ref="H1971:H1977" si="974">"无"</f>
        <v>无</v>
      </c>
      <c r="I1971" s="1" t="str">
        <f>"202009-202406 华北理工大学轻工学院  国际语言学院 英语专业 全日制 就读 
202407-至今   待业"</f>
        <v>202009-202406 华北理工大学轻工学院  国际语言学院 英语专业 全日制 就读 
202407-至今   待业</v>
      </c>
    </row>
    <row r="1972" spans="1:9">
      <c r="A1972" s="1" t="str">
        <f>"411327200303240029"</f>
        <v>411327200303240029</v>
      </c>
      <c r="B1972" s="1" t="str">
        <f t="shared" si="971"/>
        <v>共青团员</v>
      </c>
      <c r="C1972" s="1" t="str">
        <f>"专科"</f>
        <v>专科</v>
      </c>
      <c r="D1972" s="1" t="str">
        <f>"20240630"</f>
        <v>20240630</v>
      </c>
      <c r="E1972" s="1" t="str">
        <f>"安阳职业技术学院"</f>
        <v>安阳职业技术学院</v>
      </c>
      <c r="F1972" s="1" t="str">
        <f>"医学影像技术"</f>
        <v>医学影像技术</v>
      </c>
      <c r="G1972" s="1" t="str">
        <f>"河南省南阳市内乡县西关"</f>
        <v>河南省南阳市内乡县西关</v>
      </c>
      <c r="H1972" s="1" t="str">
        <f t="shared" si="974"/>
        <v>无</v>
      </c>
      <c r="I1972" s="1" t="str">
        <f>"202109-202406 安阳职业技术学院 医学技术系 医学影像技术专业
全日制专科学历"</f>
        <v>202109-202406 安阳职业技术学院 医学技术系 医学影像技术专业
全日制专科学历</v>
      </c>
    </row>
    <row r="1973" spans="1:9">
      <c r="A1973" s="1" t="str">
        <f>"411324199609200519"</f>
        <v>411324199609200519</v>
      </c>
      <c r="B1973" s="1" t="str">
        <f>"群众"</f>
        <v>群众</v>
      </c>
      <c r="C1973" s="1" t="str">
        <f t="shared" ref="C1973:C1977" si="975">"本科"</f>
        <v>本科</v>
      </c>
      <c r="D1973" s="1" t="str">
        <f>"20210701"</f>
        <v>20210701</v>
      </c>
      <c r="E1973" s="1" t="str">
        <f>"新乡学院"</f>
        <v>新乡学院</v>
      </c>
      <c r="F1973" s="1" t="str">
        <f>"化学"</f>
        <v>化学</v>
      </c>
      <c r="G1973" s="1" t="str">
        <f>"河南省南阳市镇平县碾坊庄村秦家庄1组"</f>
        <v>河南省南阳市镇平县碾坊庄村秦家庄1组</v>
      </c>
      <c r="H1973" s="1" t="str">
        <f t="shared" si="974"/>
        <v>无</v>
      </c>
      <c r="I1973" s="1" t="str">
        <f>"201709-202106 在新乡学院化学与材料工程学院化学专业就读，全日制学历；202107-202209备研究生；202209-202506在在湘潭大学化学学院化学专业攻读硕士研究生，全日制学历。"</f>
        <v>201709-202106 在新乡学院化学与材料工程学院化学专业就读，全日制学历；202107-202209备研究生；202209-202506在在湘潭大学化学学院化学专业攻读硕士研究生，全日制学历。</v>
      </c>
    </row>
    <row r="1974" spans="1:9">
      <c r="A1974" s="1" t="str">
        <f>"411323199810252656"</f>
        <v>411323199810252656</v>
      </c>
      <c r="B1974" s="1" t="str">
        <f>"中共党员"</f>
        <v>中共党员</v>
      </c>
      <c r="C1974" s="1" t="str">
        <f>"专科"</f>
        <v>专科</v>
      </c>
      <c r="D1974" s="1" t="str">
        <f>"20170731"</f>
        <v>20170731</v>
      </c>
      <c r="E1974" s="1" t="str">
        <f>"国家开放大学"</f>
        <v>国家开放大学</v>
      </c>
      <c r="F1974" s="1" t="str">
        <f>"法学"</f>
        <v>法学</v>
      </c>
      <c r="G1974" s="1" t="str">
        <f>"河南省南阳市淅川县金兰湾小区"</f>
        <v>河南省南阳市淅川县金兰湾小区</v>
      </c>
      <c r="H1974" s="1" t="str">
        <f t="shared" si="974"/>
        <v>无</v>
      </c>
      <c r="I1974" s="1" t="str">
        <f>"2015年-2017年在国家开放大学  非全日制"</f>
        <v>2015年-2017年在国家开放大学  非全日制</v>
      </c>
    </row>
    <row r="1975" spans="1:9">
      <c r="A1975" s="1" t="str">
        <f>"411525200303275713"</f>
        <v>411525200303275713</v>
      </c>
      <c r="B1975" s="1" t="str">
        <f t="shared" ref="B1975:B1979" si="976">"共青团员"</f>
        <v>共青团员</v>
      </c>
      <c r="C1975" s="1" t="str">
        <f t="shared" si="975"/>
        <v>本科</v>
      </c>
      <c r="D1975" s="1" t="str">
        <f>"20250615"</f>
        <v>20250615</v>
      </c>
      <c r="E1975" s="1" t="str">
        <f>"洛阳师范学院"</f>
        <v>洛阳师范学院</v>
      </c>
      <c r="F1975" s="1" t="str">
        <f>"人工智能"</f>
        <v>人工智能</v>
      </c>
      <c r="G1975" s="1" t="str">
        <f>"河南省固始县金色阳光小区"</f>
        <v>河南省固始县金色阳光小区</v>
      </c>
      <c r="H1975" s="1" t="str">
        <f t="shared" si="974"/>
        <v>无</v>
      </c>
      <c r="I1975" s="1" t="str">
        <f>"202109-202506，于洛阳师范学院信息技术学院就读四年全日制本科人工智能专业。"</f>
        <v>202109-202506，于洛阳师范学院信息技术学院就读四年全日制本科人工智能专业。</v>
      </c>
    </row>
    <row r="1976" spans="1:9">
      <c r="A1976" s="1" t="str">
        <f>"411327199410203711"</f>
        <v>411327199410203711</v>
      </c>
      <c r="B1976" s="1" t="str">
        <f>"群众"</f>
        <v>群众</v>
      </c>
      <c r="C1976" s="1" t="str">
        <f t="shared" si="975"/>
        <v>本科</v>
      </c>
      <c r="D1976" s="1" t="str">
        <f>"20170701"</f>
        <v>20170701</v>
      </c>
      <c r="E1976" s="1" t="str">
        <f>"黄河科技学院"</f>
        <v>黄河科技学院</v>
      </c>
      <c r="F1976" s="1" t="str">
        <f>"视觉传达设计"</f>
        <v>视觉传达设计</v>
      </c>
      <c r="G1976" s="1" t="str">
        <f>"内乡县郦都国际小区一期"</f>
        <v>内乡县郦都国际小区一期</v>
      </c>
      <c r="H1976" s="1" t="str">
        <f t="shared" si="974"/>
        <v>无</v>
      </c>
      <c r="I1976" s="1" t="str">
        <f>"201309-201706 黄河科技学院艺术设计学院视觉传达设计专业就读，全日制学历；201707-201711 在家待业；201712-201808 牧原食品股份有限公司湖北分公司，员工；201809-201912 南阳市红星顶层装饰公司，员工；202001-202003 在家待业；202004至今 内乡县公安局，辅警。"</f>
        <v>201309-201706 黄河科技学院艺术设计学院视觉传达设计专业就读，全日制学历；201707-201711 在家待业；201712-201808 牧原食品股份有限公司湖北分公司，员工；201809-201912 南阳市红星顶层装饰公司，员工；202001-202003 在家待业；202004至今 内乡县公安局，辅警。</v>
      </c>
    </row>
    <row r="1977" spans="1:9">
      <c r="A1977" s="1" t="str">
        <f>"411324200012305516"</f>
        <v>411324200012305516</v>
      </c>
      <c r="B1977" s="1" t="str">
        <f t="shared" si="976"/>
        <v>共青团员</v>
      </c>
      <c r="C1977" s="1" t="str">
        <f t="shared" si="975"/>
        <v>本科</v>
      </c>
      <c r="D1977" s="1" t="str">
        <f>"20230701"</f>
        <v>20230701</v>
      </c>
      <c r="E1977" s="1" t="str">
        <f>"郑州航空工业管理学院"</f>
        <v>郑州航空工业管理学院</v>
      </c>
      <c r="F1977" s="1" t="str">
        <f>"环境工程"</f>
        <v>环境工程</v>
      </c>
      <c r="G1977" s="1" t="str">
        <f>"河南省南阳市镇平县彭营乡北王庄村邓庄10组"</f>
        <v>河南省南阳市镇平县彭营乡北王庄村邓庄10组</v>
      </c>
      <c r="H1977" s="1" t="str">
        <f t="shared" si="974"/>
        <v>无</v>
      </c>
      <c r="I1977" s="1" t="str">
        <f>"201909-202306 郑州航空工业管理学院 就读"</f>
        <v>201909-202306 郑州航空工业管理学院 就读</v>
      </c>
    </row>
    <row r="1978" spans="1:9">
      <c r="A1978" s="1" t="str">
        <f>"411381200301271719"</f>
        <v>411381200301271719</v>
      </c>
      <c r="B1978" s="1" t="str">
        <f t="shared" si="976"/>
        <v>共青团员</v>
      </c>
      <c r="C1978" s="1" t="str">
        <f>"专科"</f>
        <v>专科</v>
      </c>
      <c r="D1978" s="1" t="str">
        <f>"20250620"</f>
        <v>20250620</v>
      </c>
      <c r="E1978" s="1" t="str">
        <f>"江苏航空职业技术学院"</f>
        <v>江苏航空职业技术学院</v>
      </c>
      <c r="F1978" s="1" t="str">
        <f>"无人机应用技术"</f>
        <v>无人机应用技术</v>
      </c>
      <c r="G1978" s="1" t="str">
        <f>"河南省邓州市新人民路老朱板面"</f>
        <v>河南省邓州市新人民路老朱板面</v>
      </c>
      <c r="H1978" s="1" t="str">
        <f>"CAAC中型超视距机长"</f>
        <v>CAAC中型超视距机长</v>
      </c>
      <c r="I1978" s="1" t="str">
        <f>"202209-202506在江苏航空职业技术学院无人机智能与产业学院无人机应用技术专业就读，是全日制"</f>
        <v>202209-202506在江苏航空职业技术学院无人机智能与产业学院无人机应用技术专业就读，是全日制</v>
      </c>
    </row>
    <row r="1979" spans="1:9">
      <c r="A1979" s="1" t="str">
        <f>"410122199905273910"</f>
        <v>410122199905273910</v>
      </c>
      <c r="B1979" s="1" t="str">
        <f t="shared" si="976"/>
        <v>共青团员</v>
      </c>
      <c r="C1979" s="1" t="str">
        <f t="shared" ref="C1979:C1986" si="977">"本科"</f>
        <v>本科</v>
      </c>
      <c r="D1979" s="1" t="str">
        <f>"2025-06-10"</f>
        <v>2025-06-10</v>
      </c>
      <c r="E1979" s="1" t="str">
        <f>"郑州工商学院"</f>
        <v>郑州工商学院</v>
      </c>
      <c r="F1979" s="1" t="str">
        <f>"工商管理"</f>
        <v>工商管理</v>
      </c>
      <c r="G1979" s="1" t="str">
        <f>"河南省郑州市中牟县"</f>
        <v>河南省郑州市中牟县</v>
      </c>
      <c r="H1979" s="1" t="str">
        <f t="shared" ref="H1979:H1984" si="978">"无"</f>
        <v>无</v>
      </c>
      <c r="I1979" s="1" t="str">
        <f>"200609-201206中牟县实验小学就读  全日制
201209-201506中牟县第五初级中学就读  全日制
201509-201806中牟县第四高级中学  全日制
201809-202009漯河食品职业学院  全日制
202009-202209武警北京总队 部队服役
202010-202307只有河南戏剧幻城 工作
202309-202506郑州工商学院 （专升本）全日制"</f>
        <v>200609-201206中牟县实验小学就读  全日制
201209-201506中牟县第五初级中学就读  全日制
201509-201806中牟县第四高级中学  全日制
201809-202009漯河食品职业学院  全日制
202009-202209武警北京总队 部队服役
202010-202307只有河南戏剧幻城 工作
202309-202506郑州工商学院 （专升本）全日制</v>
      </c>
    </row>
    <row r="1980" spans="1:9">
      <c r="A1980" s="1" t="str">
        <f>"130535200103183536"</f>
        <v>130535200103183536</v>
      </c>
      <c r="B1980" s="1" t="str">
        <f>"中共党员"</f>
        <v>中共党员</v>
      </c>
      <c r="C1980" s="1" t="str">
        <f>"专科"</f>
        <v>专科</v>
      </c>
      <c r="D1980" s="1" t="str">
        <f>"20230630"</f>
        <v>20230630</v>
      </c>
      <c r="E1980" s="1" t="str">
        <f>"德州职业技术学院"</f>
        <v>德州职业技术学院</v>
      </c>
      <c r="F1980" s="1" t="str">
        <f>"机电一体化技术专业"</f>
        <v>机电一体化技术专业</v>
      </c>
      <c r="G1980" s="1" t="str">
        <f>"054901"</f>
        <v>054901</v>
      </c>
      <c r="H1980" s="1" t="str">
        <f t="shared" si="978"/>
        <v>无</v>
      </c>
      <c r="I1980" s="1" t="str">
        <f>"202010-202306 德州职业技术学院电气工程系机电一体化技术专业就读，全日制专科"</f>
        <v>202010-202306 德州职业技术学院电气工程系机电一体化技术专业就读，全日制专科</v>
      </c>
    </row>
    <row r="1981" spans="1:9">
      <c r="A1981" s="1" t="str">
        <f>"411327199810104990"</f>
        <v>411327199810104990</v>
      </c>
      <c r="B1981" s="1" t="str">
        <f t="shared" ref="B1981:B1988" si="979">"群众"</f>
        <v>群众</v>
      </c>
      <c r="C1981" s="1" t="str">
        <f t="shared" si="977"/>
        <v>本科</v>
      </c>
      <c r="D1981" s="1" t="str">
        <f>"20240101"</f>
        <v>20240101</v>
      </c>
      <c r="E1981" s="1" t="str">
        <f>"河南科技大学"</f>
        <v>河南科技大学</v>
      </c>
      <c r="F1981" s="1" t="str">
        <f>"临床医学"</f>
        <v>临床医学</v>
      </c>
      <c r="G1981" s="1" t="str">
        <f>"河南省南阳市内乡县灌涨镇杨营村"</f>
        <v>河南省南阳市内乡县灌涨镇杨营村</v>
      </c>
      <c r="H1981" s="1" t="str">
        <f t="shared" si="978"/>
        <v>无</v>
      </c>
      <c r="I1981" s="1" t="str">
        <f>"2017.09-2020.07就读于南阳医学高等专科学校（全日制）
2020.10-2022.10内乡县艾滋病防治委员会工作
2021.03-2024.01就读于河南科技大学（非全日制）
2022.10至今内乡县卫生监督所工作"</f>
        <v>2017.09-2020.07就读于南阳医学高等专科学校（全日制）
2020.10-2022.10内乡县艾滋病防治委员会工作
2021.03-2024.01就读于河南科技大学（非全日制）
2022.10至今内乡县卫生监督所工作</v>
      </c>
    </row>
    <row r="1982" spans="1:9">
      <c r="A1982" s="1" t="str">
        <f>"411327199911230021"</f>
        <v>411327199911230021</v>
      </c>
      <c r="B1982" s="1" t="str">
        <f>"共青团员"</f>
        <v>共青团员</v>
      </c>
      <c r="C1982" s="1" t="str">
        <f t="shared" si="977"/>
        <v>本科</v>
      </c>
      <c r="D1982" s="1" t="str">
        <f>"20220701"</f>
        <v>20220701</v>
      </c>
      <c r="E1982" s="1" t="str">
        <f>"安阳学院"</f>
        <v>安阳学院</v>
      </c>
      <c r="F1982" s="1" t="str">
        <f>"音乐表演"</f>
        <v>音乐表演</v>
      </c>
      <c r="G1982" s="1" t="str">
        <f>"河南省内乡县城关镇书院村书院西路1号"</f>
        <v>河南省内乡县城关镇书院村书院西路1号</v>
      </c>
      <c r="H1982" s="1" t="str">
        <f t="shared" si="978"/>
        <v>无</v>
      </c>
      <c r="I1982" s="1" t="str">
        <f>"201709-202007，在河南艺术职业学院音乐表演（器乐）专业学习。
202009-202207，在安阳学院音乐表演本科学习。
上学期间寒暑假都在林枫音乐担任助教。
202208直至现今在医疗保障局从事异地报销以及其它信息输入。"</f>
        <v>201709-202007，在河南艺术职业学院音乐表演（器乐）专业学习。
202009-202207，在安阳学院音乐表演本科学习。
上学期间寒暑假都在林枫音乐担任助教。
202208直至现今在医疗保障局从事异地报销以及其它信息输入。</v>
      </c>
    </row>
    <row r="1983" spans="1:9">
      <c r="A1983" s="1" t="str">
        <f>"41018420021031002X"</f>
        <v>41018420021031002X</v>
      </c>
      <c r="B1983" s="1" t="str">
        <f>"共青团员"</f>
        <v>共青团员</v>
      </c>
      <c r="C1983" s="1" t="str">
        <f t="shared" si="977"/>
        <v>本科</v>
      </c>
      <c r="D1983" s="1" t="str">
        <f>"20250707"</f>
        <v>20250707</v>
      </c>
      <c r="E1983" s="1" t="str">
        <f>"河南师范大学"</f>
        <v>河南师范大学</v>
      </c>
      <c r="F1983" s="1" t="str">
        <f>"计算机科学与技术"</f>
        <v>计算机科学与技术</v>
      </c>
      <c r="G1983" s="1" t="str">
        <f>"河南新郑市新建北路丽都花园小区11号楼2单元201室"</f>
        <v>河南新郑市新建北路丽都花园小区11号楼2单元201室</v>
      </c>
      <c r="H1983" s="1" t="str">
        <f t="shared" si="978"/>
        <v>无</v>
      </c>
      <c r="I1983" s="1" t="str">
        <f>"202109-202507 河南师范大学计算机与信息工程学院 计算机科学与技术专业就读 全日制"</f>
        <v>202109-202507 河南师范大学计算机与信息工程学院 计算机科学与技术专业就读 全日制</v>
      </c>
    </row>
    <row r="1984" spans="1:9">
      <c r="A1984" s="1" t="str">
        <f>"41110219941202011X"</f>
        <v>41110219941202011X</v>
      </c>
      <c r="B1984" s="1" t="str">
        <f t="shared" si="979"/>
        <v>群众</v>
      </c>
      <c r="C1984" s="1" t="str">
        <f t="shared" si="977"/>
        <v>本科</v>
      </c>
      <c r="D1984" s="1" t="str">
        <f>"20180701"</f>
        <v>20180701</v>
      </c>
      <c r="E1984" s="1" t="str">
        <f>"河南城建学院"</f>
        <v>河南城建学院</v>
      </c>
      <c r="F1984" s="1" t="str">
        <f>"土木工程"</f>
        <v>土木工程</v>
      </c>
      <c r="G1984" s="1" t="str">
        <f>"河南省漯河市郾城区"</f>
        <v>河南省漯河市郾城区</v>
      </c>
      <c r="H1984" s="1" t="str">
        <f t="shared" si="978"/>
        <v>无</v>
      </c>
      <c r="I1984" s="1" t="str">
        <f>"201409-201807河南城建学院土木工程学院就读土木工程专业，全日制本科。
201807-202212广东省深圳市鹏城建筑有限公司担任施工员一职
202301-202507待业"</f>
        <v>201409-201807河南城建学院土木工程学院就读土木工程专业，全日制本科。
201807-202212广东省深圳市鹏城建筑有限公司担任施工员一职
202301-202507待业</v>
      </c>
    </row>
    <row r="1985" spans="1:9">
      <c r="A1985" s="1" t="str">
        <f>"411327199409030315"</f>
        <v>411327199409030315</v>
      </c>
      <c r="B1985" s="1" t="str">
        <f t="shared" si="979"/>
        <v>群众</v>
      </c>
      <c r="C1985" s="1" t="str">
        <f t="shared" si="977"/>
        <v>本科</v>
      </c>
      <c r="D1985" s="1" t="str">
        <f>"20180701"</f>
        <v>20180701</v>
      </c>
      <c r="E1985" s="1" t="str">
        <f>"黄河科技学院"</f>
        <v>黄河科技学院</v>
      </c>
      <c r="F1985" s="1" t="str">
        <f>"电子信息工程（电子技术应用方向）"</f>
        <v>电子信息工程（电子技术应用方向）</v>
      </c>
      <c r="G1985" s="1" t="str">
        <f>"河南省南阳市内乡县大桥乡"</f>
        <v>河南省南阳市内乡县大桥乡</v>
      </c>
      <c r="H1985" s="1" t="str">
        <f>"计算机二级"</f>
        <v>计算机二级</v>
      </c>
      <c r="I1985" s="1" t="str">
        <f>"201409-201807 黄河科技学院就读"</f>
        <v>201409-201807 黄河科技学院就读</v>
      </c>
    </row>
    <row r="1986" spans="1:9">
      <c r="A1986" s="1" t="str">
        <f>"411224199103088114"</f>
        <v>411224199103088114</v>
      </c>
      <c r="B1986" s="1" t="str">
        <f t="shared" si="979"/>
        <v>群众</v>
      </c>
      <c r="C1986" s="1" t="str">
        <f t="shared" si="977"/>
        <v>本科</v>
      </c>
      <c r="D1986" s="1" t="str">
        <f>"20200701"</f>
        <v>20200701</v>
      </c>
      <c r="E1986" s="1" t="str">
        <f>"安阳师范学院"</f>
        <v>安阳师范学院</v>
      </c>
      <c r="F1986" s="1" t="str">
        <f>"电气工程及其自动化"</f>
        <v>电气工程及其自动化</v>
      </c>
      <c r="G1986" s="1" t="str">
        <f>"河南省卢氏县杜关镇026县道杜荆河畔小区3号楼一单元101号"</f>
        <v>河南省卢氏县杜关镇026县道杜荆河畔小区3号楼一单元101号</v>
      </c>
      <c r="H1986" s="1" t="str">
        <f t="shared" ref="H1986:H1990" si="980">"无"</f>
        <v>无</v>
      </c>
      <c r="I1986" s="1" t="str">
        <f>"201809至202007在安阳师范学院，物理与电气工程学院，电气工程及其自动化专业就读，是全日制学历。"</f>
        <v>201809至202007在安阳师范学院，物理与电气工程学院，电气工程及其自动化专业就读，是全日制学历。</v>
      </c>
    </row>
    <row r="1987" spans="1:9">
      <c r="A1987" s="1" t="str">
        <f>"412826200210300311"</f>
        <v>412826200210300311</v>
      </c>
      <c r="B1987" s="1" t="str">
        <f t="shared" si="979"/>
        <v>群众</v>
      </c>
      <c r="C1987" s="1" t="str">
        <f>"专科"</f>
        <v>专科</v>
      </c>
      <c r="D1987" s="1" t="str">
        <f>"20230701"</f>
        <v>20230701</v>
      </c>
      <c r="E1987" s="1" t="str">
        <f>"郑州电子信息工程职业技术学院"</f>
        <v>郑州电子信息工程职业技术学院</v>
      </c>
      <c r="F1987" s="1" t="str">
        <f>"电子信息工程技术"</f>
        <v>电子信息工程技术</v>
      </c>
      <c r="G1987" s="1" t="str">
        <f>"河南省驻马店市怡景嘉园"</f>
        <v>河南省驻马店市怡景嘉园</v>
      </c>
      <c r="H1987" s="1" t="str">
        <f t="shared" si="980"/>
        <v>无</v>
      </c>
      <c r="I1987" s="1" t="str">
        <f>"202009-202307 郑州电子信息职业技术学院 电子工程系 电子信息工程技术 全日制"</f>
        <v>202009-202307 郑州电子信息职业技术学院 电子工程系 电子信息工程技术 全日制</v>
      </c>
    </row>
    <row r="1988" ht="135" spans="1:9">
      <c r="A1988" s="1" t="str">
        <f>"411324199707052820"</f>
        <v>411324199707052820</v>
      </c>
      <c r="B1988" s="1" t="str">
        <f t="shared" si="979"/>
        <v>群众</v>
      </c>
      <c r="C1988" s="1" t="str">
        <f>"专科"</f>
        <v>专科</v>
      </c>
      <c r="D1988" s="1" t="str">
        <f>"20190701"</f>
        <v>20190701</v>
      </c>
      <c r="E1988" s="1" t="str">
        <f>"河南质量工程职业学院"</f>
        <v>河南质量工程职业学院</v>
      </c>
      <c r="F1988" s="1" t="str">
        <f>"会计"</f>
        <v>会计</v>
      </c>
      <c r="G1988" s="1" t="str">
        <f>"河南省南阳市镇平县卢医镇"</f>
        <v>河南省南阳市镇平县卢医镇</v>
      </c>
      <c r="H1988" s="1" t="str">
        <f>"初级会计证，教师资格证，普通话二甲"</f>
        <v>初级会计证，教师资格证，普通话二甲</v>
      </c>
      <c r="I1988" s="3" t="s">
        <v>238</v>
      </c>
    </row>
    <row r="1989" spans="1:9">
      <c r="A1989" s="1" t="str">
        <f>"411327200208033726"</f>
        <v>411327200208033726</v>
      </c>
      <c r="B1989" s="1" t="str">
        <f t="shared" ref="B1989:B1992" si="981">"共青团员"</f>
        <v>共青团员</v>
      </c>
      <c r="C1989" s="1" t="str">
        <f t="shared" ref="C1989:C1994" si="982">"本科"</f>
        <v>本科</v>
      </c>
      <c r="D1989" s="1" t="str">
        <f>"20250612"</f>
        <v>20250612</v>
      </c>
      <c r="E1989" s="1" t="str">
        <f>"平顶山学院"</f>
        <v>平顶山学院</v>
      </c>
      <c r="F1989" s="1" t="str">
        <f>"小学教育"</f>
        <v>小学教育</v>
      </c>
      <c r="G1989" s="1" t="str">
        <f>"河南省南阳市内乡县桃溪镇桃庄河村庄子扒组"</f>
        <v>河南省南阳市内乡县桃溪镇桃庄河村庄子扒组</v>
      </c>
      <c r="H1989" s="1" t="str">
        <f>" 高中语文教师资格证、普通话二级甲等、四六级"</f>
        <v> 高中语文教师资格证、普通话二级甲等、四六级</v>
      </c>
      <c r="I1989" s="1" t="str">
        <f>"202109-202506平顶山学院教师教育学院小学教育专业就读"</f>
        <v>202109-202506平顶山学院教师教育学院小学教育专业就读</v>
      </c>
    </row>
    <row r="1990" spans="1:9">
      <c r="A1990" s="1" t="str">
        <f>"411325199503273716"</f>
        <v>411325199503273716</v>
      </c>
      <c r="B1990" s="1" t="str">
        <f>"中共党员"</f>
        <v>中共党员</v>
      </c>
      <c r="C1990" s="1" t="str">
        <f t="shared" si="982"/>
        <v>本科</v>
      </c>
      <c r="D1990" s="1" t="str">
        <f>"20180628"</f>
        <v>20180628</v>
      </c>
      <c r="E1990" s="1" t="str">
        <f>"武汉轻工大学"</f>
        <v>武汉轻工大学</v>
      </c>
      <c r="F1990" s="1" t="str">
        <f>"电气工程及其自动化"</f>
        <v>电气工程及其自动化</v>
      </c>
      <c r="G1990" s="1" t="str">
        <f>"河南省南阳市内乡县桃溪镇寺河村岭头组"</f>
        <v>河南省南阳市内乡县桃溪镇寺河村岭头组</v>
      </c>
      <c r="H1990" s="1" t="str">
        <f t="shared" si="980"/>
        <v>无</v>
      </c>
      <c r="I1990" s="1" t="str">
        <f>"201409-201806武汉轻工大学 电气工程及其自动化专业就读
201807-201905中交二航局结构工程有限公司就职
201907-202207河南尚乾建筑工程有限公司就职
202208-至今河南牧原建筑工程有限公司就职"</f>
        <v>201409-201806武汉轻工大学 电气工程及其自动化专业就读
201807-201905中交二航局结构工程有限公司就职
201907-202207河南尚乾建筑工程有限公司就职
202208-至今河南牧原建筑工程有限公司就职</v>
      </c>
    </row>
    <row r="1991" spans="1:9">
      <c r="A1991" s="1" t="str">
        <f>"411327199901073915"</f>
        <v>411327199901073915</v>
      </c>
      <c r="B1991" s="1" t="str">
        <f t="shared" si="981"/>
        <v>共青团员</v>
      </c>
      <c r="C1991" s="1" t="str">
        <f t="shared" si="982"/>
        <v>本科</v>
      </c>
      <c r="D1991" s="1" t="str">
        <f>"20210701"</f>
        <v>20210701</v>
      </c>
      <c r="E1991" s="1" t="str">
        <f>"黄河交通学院"</f>
        <v>黄河交通学院</v>
      </c>
      <c r="F1991" s="1" t="str">
        <f>"能源与动力工程"</f>
        <v>能源与动力工程</v>
      </c>
      <c r="G1991" s="1" t="str">
        <f>"河南省南阳市内乡县宏大南路22巷"</f>
        <v>河南省南阳市内乡县宏大南路22巷</v>
      </c>
      <c r="H1991" s="1" t="str">
        <f>"助理工程师"</f>
        <v>助理工程师</v>
      </c>
      <c r="I1991" s="1" t="str">
        <f>"201709-202107 黄河交通学院 汽车工程学院 能源与动力专业就读 全日制
201409-201707   内乡县第三高级中学  就读
201109-201407    内乡县实验初级中学  就读"</f>
        <v>201709-202107 黄河交通学院 汽车工程学院 能源与动力专业就读 全日制
201409-201707   内乡县第三高级中学  就读
201109-201407    内乡县实验初级中学  就读</v>
      </c>
    </row>
    <row r="1992" spans="1:9">
      <c r="A1992" s="1" t="str">
        <f>"411324200307240027"</f>
        <v>411324200307240027</v>
      </c>
      <c r="B1992" s="1" t="str">
        <f t="shared" si="981"/>
        <v>共青团员</v>
      </c>
      <c r="C1992" s="1" t="str">
        <f t="shared" si="982"/>
        <v>本科</v>
      </c>
      <c r="D1992" s="1" t="str">
        <f>"20250701"</f>
        <v>20250701</v>
      </c>
      <c r="E1992" s="1" t="str">
        <f>"河南师范大学"</f>
        <v>河南师范大学</v>
      </c>
      <c r="F1992" s="1" t="str">
        <f>"食品质量与安全"</f>
        <v>食品质量与安全</v>
      </c>
      <c r="G1992" s="1" t="str">
        <f>"河南省南阳市镇平县涅阳街道雪枫路社区幸福路10-4号"</f>
        <v>河南省南阳市镇平县涅阳街道雪枫路社区幸福路10-4号</v>
      </c>
      <c r="H1992" s="1" t="str">
        <f t="shared" ref="H1992:H1997" si="983">"无"</f>
        <v>无</v>
      </c>
      <c r="I1992" s="1" t="str">
        <f>"202110-202507 河南师范大学生命科学学院食品质量与安全专业就读,全日制学历"</f>
        <v>202110-202507 河南师范大学生命科学学院食品质量与安全专业就读,全日制学历</v>
      </c>
    </row>
    <row r="1993" spans="1:9">
      <c r="A1993" s="1" t="str">
        <f>"411326200302020028"</f>
        <v>411326200302020028</v>
      </c>
      <c r="B1993" s="1" t="str">
        <f>"中共预备党员"</f>
        <v>中共预备党员</v>
      </c>
      <c r="C1993" s="1" t="str">
        <f t="shared" si="982"/>
        <v>本科</v>
      </c>
      <c r="D1993" s="1" t="str">
        <f>"2025-06-06"</f>
        <v>2025-06-06</v>
      </c>
      <c r="E1993" s="1" t="str">
        <f>"河南开封科技传媒学院"</f>
        <v>河南开封科技传媒学院</v>
      </c>
      <c r="F1993" s="1" t="str">
        <f>"法学"</f>
        <v>法学</v>
      </c>
      <c r="G1993" s="1" t="str">
        <f>"河南省南阳市南召县城关镇农业路滨河公寓"</f>
        <v>河南省南阳市南召县城关镇农业路滨河公寓</v>
      </c>
      <c r="H1993" s="1" t="str">
        <f>"法律职业资格证书 c证"</f>
        <v>法律职业资格证书 c证</v>
      </c>
      <c r="I1993" s="1" t="str">
        <f>"202109-202506 在河南开封科技传媒学院 人文学院 法学专业就读 是全日制学历"</f>
        <v>202109-202506 在河南开封科技传媒学院 人文学院 法学专业就读 是全日制学历</v>
      </c>
    </row>
    <row r="1994" spans="1:9">
      <c r="A1994" s="1" t="str">
        <f>"410581200112100013"</f>
        <v>410581200112100013</v>
      </c>
      <c r="B1994" s="1" t="str">
        <f t="shared" ref="B1994:B1997" si="984">"群众"</f>
        <v>群众</v>
      </c>
      <c r="C1994" s="1" t="str">
        <f t="shared" si="982"/>
        <v>本科</v>
      </c>
      <c r="D1994" s="1" t="str">
        <f>"2024-07-06"</f>
        <v>2024-07-06</v>
      </c>
      <c r="E1994" s="1" t="str">
        <f>"中原科技学院"</f>
        <v>中原科技学院</v>
      </c>
      <c r="F1994" s="1" t="str">
        <f>"土木工程"</f>
        <v>土木工程</v>
      </c>
      <c r="G1994" s="1" t="str">
        <f>"河南省林州市站前街李文巷35号"</f>
        <v>河南省林州市站前街李文巷35号</v>
      </c>
      <c r="H1994" s="1" t="str">
        <f t="shared" si="983"/>
        <v>无</v>
      </c>
      <c r="I1994" s="1" t="str">
        <f>"2020年10月-2024年7月就读于中原科技学院
大学期间通过英语四级、初中教师资格证"</f>
        <v>2020年10月-2024年7月就读于中原科技学院
大学期间通过英语四级、初中教师资格证</v>
      </c>
    </row>
    <row r="1995" spans="1:9">
      <c r="A1995" s="1" t="str">
        <f>"411325200102253920"</f>
        <v>411325200102253920</v>
      </c>
      <c r="B1995" s="1" t="str">
        <f t="shared" si="984"/>
        <v>群众</v>
      </c>
      <c r="C1995" s="1" t="str">
        <f>"专科"</f>
        <v>专科</v>
      </c>
      <c r="D1995" s="1" t="str">
        <f>"20230630"</f>
        <v>20230630</v>
      </c>
      <c r="E1995" s="1" t="str">
        <f>"武汉民政职业学院"</f>
        <v>武汉民政职业学院</v>
      </c>
      <c r="F1995" s="1" t="str">
        <f>"民政管理"</f>
        <v>民政管理</v>
      </c>
      <c r="G1995" s="1" t="str">
        <f>"河南省内乡县城关镇南关幸福小区"</f>
        <v>河南省内乡县城关镇南关幸福小区</v>
      </c>
      <c r="H1995" s="1" t="str">
        <f t="shared" si="983"/>
        <v>无</v>
      </c>
      <c r="I1995" s="1" t="str">
        <f>"202010-202306在武汉民政职业学院就读社会管理学院民政管理专业
202306-至今待业"</f>
        <v>202010-202306在武汉民政职业学院就读社会管理学院民政管理专业
202306-至今待业</v>
      </c>
    </row>
    <row r="1996" spans="1:9">
      <c r="A1996" s="1" t="str">
        <f>"411330199906301524"</f>
        <v>411330199906301524</v>
      </c>
      <c r="B1996" s="1" t="str">
        <f t="shared" ref="B1996:B2001" si="985">"共青团员"</f>
        <v>共青团员</v>
      </c>
      <c r="C1996" s="1" t="str">
        <f t="shared" ref="C1996:C2002" si="986">"本科"</f>
        <v>本科</v>
      </c>
      <c r="D1996" s="1" t="str">
        <f>"20210701"</f>
        <v>20210701</v>
      </c>
      <c r="E1996" s="1" t="str">
        <f>"郑州商学院"</f>
        <v>郑州商学院</v>
      </c>
      <c r="F1996" s="1" t="str">
        <f>"会计学（管理会计方向）"</f>
        <v>会计学（管理会计方向）</v>
      </c>
      <c r="G1996" s="1" t="str">
        <f>"河南省西峡县城尚城小区1号楼302"</f>
        <v>河南省西峡县城尚城小区1号楼302</v>
      </c>
      <c r="H1996" s="1" t="str">
        <f t="shared" si="983"/>
        <v>无</v>
      </c>
      <c r="I1996" s="1" t="str">
        <f>"201709-202107在郑州商学院会计学院会计学（管理会计方向）专业就读，全日制学历
202107-202401在西峡县待业
202401-202408在南阳市翔丞人力资源服务有限公司工作
202408-202410在飞龙汽车部件股份有限公司工作
202410-202504在西峡县待业
202504-至今仲景宛西制药股份有限公司工作"</f>
        <v>201709-202107在郑州商学院会计学院会计学（管理会计方向）专业就读，全日制学历
202107-202401在西峡县待业
202401-202408在南阳市翔丞人力资源服务有限公司工作
202408-202410在飞龙汽车部件股份有限公司工作
202410-202504在西峡县待业
202504-至今仲景宛西制药股份有限公司工作</v>
      </c>
    </row>
    <row r="1997" spans="1:9">
      <c r="A1997" s="1" t="str">
        <f>"41132720010908152X"</f>
        <v>41132720010908152X</v>
      </c>
      <c r="B1997" s="1" t="str">
        <f t="shared" si="984"/>
        <v>群众</v>
      </c>
      <c r="C1997" s="1" t="str">
        <f t="shared" si="986"/>
        <v>本科</v>
      </c>
      <c r="D1997" s="1" t="str">
        <f t="shared" ref="D1997:D2002" si="987">"20240701"</f>
        <v>20240701</v>
      </c>
      <c r="E1997" s="1" t="str">
        <f>"郑州科技学院"</f>
        <v>郑州科技学院</v>
      </c>
      <c r="F1997" s="1" t="str">
        <f>"学前教育（师范）"</f>
        <v>学前教育（师范）</v>
      </c>
      <c r="G1997" s="1" t="str">
        <f>"河南省南阳市"</f>
        <v>河南省南阳市</v>
      </c>
      <c r="H1997" s="1" t="str">
        <f t="shared" si="983"/>
        <v>无</v>
      </c>
      <c r="I1997" s="1" t="str">
        <f>"202009-202407  在郑州科技学院，音乐舞蹈学院，学前教育（师范）专业就读，全日制学历"</f>
        <v>202009-202407  在郑州科技学院，音乐舞蹈学院，学前教育（师范）专业就读，全日制学历</v>
      </c>
    </row>
    <row r="1998" spans="1:9">
      <c r="A1998" s="1" t="str">
        <f>"410225200208119926"</f>
        <v>410225200208119926</v>
      </c>
      <c r="B1998" s="1" t="str">
        <f t="shared" si="985"/>
        <v>共青团员</v>
      </c>
      <c r="C1998" s="1" t="str">
        <f t="shared" si="986"/>
        <v>本科</v>
      </c>
      <c r="D1998" s="1" t="str">
        <f t="shared" si="987"/>
        <v>20240701</v>
      </c>
      <c r="E1998" s="1" t="str">
        <f>"郑州商学院"</f>
        <v>郑州商学院</v>
      </c>
      <c r="F1998" s="1" t="str">
        <f>"汉语言文学"</f>
        <v>汉语言文学</v>
      </c>
      <c r="G1998" s="1" t="str">
        <f>"河南省南阳市卧龙区三杰盛世城2期10号楼2单元1506"</f>
        <v>河南省南阳市卧龙区三杰盛世城2期10号楼2单元1506</v>
      </c>
      <c r="H1998" s="1" t="str">
        <f>"三级秘书证"</f>
        <v>三级秘书证</v>
      </c>
      <c r="I1998" s="1" t="str">
        <f>"202009-202407在郑州商学院文学与新闻传播学院汉语言文学专业就读，是全日制本科学历"</f>
        <v>202009-202407在郑州商学院文学与新闻传播学院汉语言文学专业就读，是全日制本科学历</v>
      </c>
    </row>
    <row r="1999" spans="1:9">
      <c r="A1999" s="1" t="str">
        <f>"411722200011219180"</f>
        <v>411722200011219180</v>
      </c>
      <c r="B1999" s="1" t="str">
        <f t="shared" ref="B1999:B2003" si="988">"群众"</f>
        <v>群众</v>
      </c>
      <c r="C1999" s="1" t="str">
        <f t="shared" si="986"/>
        <v>本科</v>
      </c>
      <c r="D1999" s="1" t="str">
        <f>"20240620"</f>
        <v>20240620</v>
      </c>
      <c r="E1999" s="1" t="str">
        <f>"河南工学院"</f>
        <v>河南工学院</v>
      </c>
      <c r="F1999" s="1" t="str">
        <f>"物联网工程"</f>
        <v>物联网工程</v>
      </c>
      <c r="G1999" s="1" t="str">
        <f>"河南省上蔡县东洪镇蔡尧村小刘庄12130"</f>
        <v>河南省上蔡县东洪镇蔡尧村小刘庄12130</v>
      </c>
      <c r="H1999" s="1" t="str">
        <f t="shared" ref="H1999:H2006" si="989">"无"</f>
        <v>无</v>
      </c>
      <c r="I1999" s="1" t="str">
        <f>"202009-202206 河南工程学院计算机科学与技术学院数字媒体应用技术专业学习 全日制
202209-202406 河南工学院计算机科学与技术学院物联网工程专业学习 全日制"</f>
        <v>202009-202206 河南工程学院计算机科学与技术学院数字媒体应用技术专业学习 全日制
202209-202406 河南工学院计算机科学与技术学院物联网工程专业学习 全日制</v>
      </c>
    </row>
    <row r="2000" spans="1:9">
      <c r="A2000" s="1" t="str">
        <f>"411330199902191524"</f>
        <v>411330199902191524</v>
      </c>
      <c r="B2000" s="1" t="str">
        <f t="shared" si="988"/>
        <v>群众</v>
      </c>
      <c r="C2000" s="1" t="str">
        <f t="shared" si="986"/>
        <v>本科</v>
      </c>
      <c r="D2000" s="1" t="str">
        <f>"2024年07月01日"</f>
        <v>2024年07月01日</v>
      </c>
      <c r="E2000" s="1" t="str">
        <f>"郑州升达经贸管理学院"</f>
        <v>郑州升达经贸管理学院</v>
      </c>
      <c r="F2000" s="1" t="str">
        <f>"学前教育"</f>
        <v>学前教育</v>
      </c>
      <c r="G2000" s="1" t="str">
        <f>"河南省南阳市西峡县帝景天城"</f>
        <v>河南省南阳市西峡县帝景天城</v>
      </c>
      <c r="H2000" s="1" t="str">
        <f t="shared" si="989"/>
        <v>无</v>
      </c>
      <c r="I2000" s="1" t="str">
        <f>"201909-202207 河南财政金融学院学前教育专业就读，全日制学历；202208-202407  郑州升达经贸管理学院学前教育专业就读，全日制学历；202407-至今待业。"</f>
        <v>201909-202207 河南财政金融学院学前教育专业就读，全日制学历；202208-202407  郑州升达经贸管理学院学前教育专业就读，全日制学历；202407-至今待业。</v>
      </c>
    </row>
    <row r="2001" spans="1:9">
      <c r="A2001" s="1" t="str">
        <f>"411327200201082103"</f>
        <v>411327200201082103</v>
      </c>
      <c r="B2001" s="1" t="str">
        <f t="shared" si="985"/>
        <v>共青团员</v>
      </c>
      <c r="C2001" s="1" t="str">
        <f t="shared" si="986"/>
        <v>本科</v>
      </c>
      <c r="D2001" s="1" t="str">
        <f>"20250616"</f>
        <v>20250616</v>
      </c>
      <c r="E2001" s="1" t="str">
        <f>"许昌学院"</f>
        <v>许昌学院</v>
      </c>
      <c r="F2001" s="1" t="str">
        <f>"数字媒体技术"</f>
        <v>数字媒体技术</v>
      </c>
      <c r="G2001" s="1" t="str">
        <f>"河南省南阳市内乡县师岗镇王营村"</f>
        <v>河南省南阳市内乡县师岗镇王营村</v>
      </c>
      <c r="H2001" s="1" t="str">
        <f t="shared" si="989"/>
        <v>无</v>
      </c>
      <c r="I2001" s="1" t="str">
        <f>"202109-202506 许昌学院 就读"</f>
        <v>202109-202506 许昌学院 就读</v>
      </c>
    </row>
    <row r="2002" spans="1:9">
      <c r="A2002" s="1" t="str">
        <f>"411327200211100029"</f>
        <v>411327200211100029</v>
      </c>
      <c r="B2002" s="1" t="str">
        <f>"中共党员"</f>
        <v>中共党员</v>
      </c>
      <c r="C2002" s="1" t="str">
        <f t="shared" si="986"/>
        <v>本科</v>
      </c>
      <c r="D2002" s="1" t="str">
        <f t="shared" si="987"/>
        <v>20240701</v>
      </c>
      <c r="E2002" s="1" t="str">
        <f>"郑州升达经贸管理学院"</f>
        <v>郑州升达经贸管理学院</v>
      </c>
      <c r="F2002" s="1" t="str">
        <f>"舞蹈表演"</f>
        <v>舞蹈表演</v>
      </c>
      <c r="G2002" s="1" t="str">
        <f>"河南省南阳市内乡县城关镇县衙路417号"</f>
        <v>河南省南阳市内乡县城关镇县衙路417号</v>
      </c>
      <c r="H2002" s="1" t="str">
        <f t="shared" si="989"/>
        <v>无</v>
      </c>
      <c r="I2002" s="1" t="str">
        <f>"202009-202407  郑州升达经贸管理学院体育学院舞蹈表演专业全日制就读 
202409至今待业"</f>
        <v>202009-202407  郑州升达经贸管理学院体育学院舞蹈表演专业全日制就读 
202409至今待业</v>
      </c>
    </row>
    <row r="2003" spans="1:9">
      <c r="A2003" s="1" t="str">
        <f>"140425199505180010"</f>
        <v>140425199505180010</v>
      </c>
      <c r="B2003" s="1" t="str">
        <f t="shared" si="988"/>
        <v>群众</v>
      </c>
      <c r="C2003" s="1" t="str">
        <f>"专科"</f>
        <v>专科</v>
      </c>
      <c r="D2003" s="1" t="str">
        <f>"20180701"</f>
        <v>20180701</v>
      </c>
      <c r="E2003" s="1" t="str">
        <f>"江西泰豪动漫职业学院"</f>
        <v>江西泰豪动漫职业学院</v>
      </c>
      <c r="F2003" s="1" t="str">
        <f>"环境艺术设计"</f>
        <v>环境艺术设计</v>
      </c>
      <c r="G2003" s="1" t="str">
        <f>"山西省长治市平顺县电力小区"</f>
        <v>山西省长治市平顺县电力小区</v>
      </c>
      <c r="H2003" s="1" t="str">
        <f t="shared" si="989"/>
        <v>无</v>
      </c>
      <c r="I2003" s="1" t="str">
        <f>"201509-201807 江西泰豪动漫职业学院就读。全日制，201807-202211在家待业。202212-202412  山西纵横天诚人力资源有限公司就业。202501-至今在家待业。"</f>
        <v>201509-201807 江西泰豪动漫职业学院就读。全日制，201807-202211在家待业。202212-202412  山西纵横天诚人力资源有限公司就业。202501-至今在家待业。</v>
      </c>
    </row>
    <row r="2004" spans="1:9">
      <c r="A2004" s="1" t="str">
        <f>"411327199912033716"</f>
        <v>411327199912033716</v>
      </c>
      <c r="B2004" s="1" t="str">
        <f>"共青团员"</f>
        <v>共青团员</v>
      </c>
      <c r="C2004" s="1" t="str">
        <f t="shared" ref="C2004:C2006" si="990">"本科"</f>
        <v>本科</v>
      </c>
      <c r="D2004" s="1" t="str">
        <f>"20230701"</f>
        <v>20230701</v>
      </c>
      <c r="E2004" s="1" t="str">
        <f>"商丘学院"</f>
        <v>商丘学院</v>
      </c>
      <c r="F2004" s="1" t="str">
        <f>"小学教育（师范）"</f>
        <v>小学教育（师范）</v>
      </c>
      <c r="G2004" s="1" t="str">
        <f>"内乡县郦都国际2期"</f>
        <v>内乡县郦都国际2期</v>
      </c>
      <c r="H2004" s="1" t="str">
        <f t="shared" si="989"/>
        <v>无</v>
      </c>
      <c r="I2004" s="1" t="str">
        <f>"20190901-20230701在商丘学院就读小学教育（师范）专业，全日制学位"</f>
        <v>20190901-20230701在商丘学院就读小学教育（师范）专业，全日制学位</v>
      </c>
    </row>
    <row r="2005" spans="1:9">
      <c r="A2005" s="1" t="str">
        <f>"410403200203065677"</f>
        <v>410403200203065677</v>
      </c>
      <c r="B2005" s="1" t="str">
        <f t="shared" ref="B2005:B2007" si="991">"群众"</f>
        <v>群众</v>
      </c>
      <c r="C2005" s="1" t="str">
        <f t="shared" si="990"/>
        <v>本科</v>
      </c>
      <c r="D2005" s="1" t="str">
        <f>"20250701"</f>
        <v>20250701</v>
      </c>
      <c r="E2005" s="1" t="str">
        <f>"安阳学院（原阳校区）"</f>
        <v>安阳学院（原阳校区）</v>
      </c>
      <c r="F2005" s="1" t="str">
        <f>"城乡规划"</f>
        <v>城乡规划</v>
      </c>
      <c r="G2005" s="1" t="str">
        <f>"河南省平顶山市卫东区东高皇乡蒲城村6号"</f>
        <v>河南省平顶山市卫东区东高皇乡蒲城村6号</v>
      </c>
      <c r="H2005" s="1" t="str">
        <f t="shared" si="989"/>
        <v>无</v>
      </c>
      <c r="I2005" s="1" t="str">
        <f>"202507-至今在河南省平顶山市卫东区待业。
202309-202507 在安阳学院（原阳校区）建筑工程学院 城乡规划专业就读。
202009-202307 在平顶山市工业职业技术学院 资源开发系 建筑工程技术专业就读。"</f>
        <v>202507-至今在河南省平顶山市卫东区待业。
202309-202507 在安阳学院（原阳校区）建筑工程学院 城乡规划专业就读。
202009-202307 在平顶山市工业职业技术学院 资源开发系 建筑工程技术专业就读。</v>
      </c>
    </row>
    <row r="2006" spans="1:9">
      <c r="A2006" s="1" t="str">
        <f>"411327199101162522"</f>
        <v>411327199101162522</v>
      </c>
      <c r="B2006" s="1" t="str">
        <f t="shared" si="991"/>
        <v>群众</v>
      </c>
      <c r="C2006" s="1" t="str">
        <f t="shared" si="990"/>
        <v>本科</v>
      </c>
      <c r="D2006" s="1" t="str">
        <f>"20160701"</f>
        <v>20160701</v>
      </c>
      <c r="E2006" s="1" t="str">
        <f>"河南师范大学新联学院"</f>
        <v>河南师范大学新联学院</v>
      </c>
      <c r="F2006" s="1" t="str">
        <f>"对外汉语"</f>
        <v>对外汉语</v>
      </c>
      <c r="G2006" s="1" t="str">
        <f>"内乡县湍东镇"</f>
        <v>内乡县湍东镇</v>
      </c>
      <c r="H2006" s="1" t="str">
        <f t="shared" si="989"/>
        <v>无</v>
      </c>
      <c r="I2006" s="1" t="str">
        <f>"201209-201607  河南师范大学新联学院对外汉语专业  就读 是全日制学历
201609-至今  内乡县第六小学任教"</f>
        <v>201209-201607  河南师范大学新联学院对外汉语专业  就读 是全日制学历
201609-至今  内乡县第六小学任教</v>
      </c>
    </row>
    <row r="2007" spans="1:9">
      <c r="A2007" s="1" t="str">
        <f>"410221199102019934"</f>
        <v>410221199102019934</v>
      </c>
      <c r="B2007" s="1" t="str">
        <f t="shared" si="991"/>
        <v>群众</v>
      </c>
      <c r="C2007" s="1" t="str">
        <f t="shared" ref="C2007:C2011" si="992">"专科"</f>
        <v>专科</v>
      </c>
      <c r="D2007" s="1" t="str">
        <f>"20120701"</f>
        <v>20120701</v>
      </c>
      <c r="E2007" s="1" t="str">
        <f>"河南建筑职业技术学院"</f>
        <v>河南建筑职业技术学院</v>
      </c>
      <c r="F2007" s="1" t="str">
        <f>"建筑设计"</f>
        <v>建筑设计</v>
      </c>
      <c r="G2007" s="1" t="str">
        <f>"河南省开封市杞县西关转盘二建家属院"</f>
        <v>河南省开封市杞县西关转盘二建家属院</v>
      </c>
      <c r="H2007" s="1" t="str">
        <f>"中级工程师"</f>
        <v>中级工程师</v>
      </c>
      <c r="I2007" s="1" t="str">
        <f>"2005年3月至2009年5月河南省开封市杞县高中就读
2009年9月至2012年7月河南建筑职业技术学院就读大学
2012年12月至2016年12月中国人民解放军总参谋部管理保障部基建营房技术咨询服务中心工作
2016年12月至2020年7月河南省兰考县易居置业有限公司担任副经理
2020年10月至2024年2月新疆生产建设兵团第十二师政府投资项目代建中心工程技术科（科员）
2024年3月至今河南省杞县生物质能源有限公司燃料部主管"</f>
        <v>2005年3月至2009年5月河南省开封市杞县高中就读
2009年9月至2012年7月河南建筑职业技术学院就读大学
2012年12月至2016年12月中国人民解放军总参谋部管理保障部基建营房技术咨询服务中心工作
2016年12月至2020年7月河南省兰考县易居置业有限公司担任副经理
2020年10月至2024年2月新疆生产建设兵团第十二师政府投资项目代建中心工程技术科（科员）
2024年3月至今河南省杞县生物质能源有限公司燃料部主管</v>
      </c>
    </row>
    <row r="2008" spans="1:9">
      <c r="A2008" s="1" t="str">
        <f>"340302199908281243"</f>
        <v>340302199908281243</v>
      </c>
      <c r="B2008" s="1" t="str">
        <f>"共青团员"</f>
        <v>共青团员</v>
      </c>
      <c r="C2008" s="1" t="str">
        <f t="shared" ref="C2008:C2017" si="993">"本科"</f>
        <v>本科</v>
      </c>
      <c r="D2008" s="1" t="str">
        <f>"20200607"</f>
        <v>20200607</v>
      </c>
      <c r="E2008" s="1" t="str">
        <f>"中国人民公安大学"</f>
        <v>中国人民公安大学</v>
      </c>
      <c r="F2008" s="1" t="str">
        <f>"公共管理类"</f>
        <v>公共管理类</v>
      </c>
      <c r="G2008" s="1" t="str">
        <f>"河南省南阳市内乡县"</f>
        <v>河南省南阳市内乡县</v>
      </c>
      <c r="H2008" s="1" t="str">
        <f t="shared" ref="H2008:H2011" si="994">"无"</f>
        <v>无</v>
      </c>
      <c r="I2008" s="1" t="str">
        <f>"201709-202006   安徽警官学院 司法信息安全 全日制
201909-202006    中国人民公安大学 公共管理类 非全日制"</f>
        <v>201709-202006   安徽警官学院 司法信息安全 全日制
201909-202006    中国人民公安大学 公共管理类 非全日制</v>
      </c>
    </row>
    <row r="2009" spans="1:9">
      <c r="A2009" s="1" t="str">
        <f>"411327199401272109"</f>
        <v>411327199401272109</v>
      </c>
      <c r="B2009" s="1" t="str">
        <f>"中共党员"</f>
        <v>中共党员</v>
      </c>
      <c r="C2009" s="1" t="str">
        <f t="shared" si="993"/>
        <v>本科</v>
      </c>
      <c r="D2009" s="1" t="str">
        <f>"20171230"</f>
        <v>20171230</v>
      </c>
      <c r="E2009" s="1" t="str">
        <f>"江西师范大学"</f>
        <v>江西师范大学</v>
      </c>
      <c r="F2009" s="1" t="str">
        <f>"行政管理学"</f>
        <v>行政管理学</v>
      </c>
      <c r="G2009" s="1" t="str">
        <f>"河南省内乡县五里堡转盘北斗星城"</f>
        <v>河南省内乡县五里堡转盘北斗星城</v>
      </c>
      <c r="H2009" s="1" t="str">
        <f>"初级会计证书"</f>
        <v>初级会计证书</v>
      </c>
      <c r="I2009" s="1" t="str">
        <f>"201309-201607  在江西应用科技学院经济管理系就读会计电算化专业，为全日制学历
201309-201712   在江西师范大学就读行政管理学专业，为非全日制学历
201802-目前 在内乡县运发物流有限公司就业会计岗位"</f>
        <v>201309-201607  在江西应用科技学院经济管理系就读会计电算化专业，为全日制学历
201309-201712   在江西师范大学就读行政管理学专业，为非全日制学历
201802-目前 在内乡县运发物流有限公司就业会计岗位</v>
      </c>
    </row>
    <row r="2010" spans="1:9">
      <c r="A2010" s="1" t="str">
        <f>"41132420020402484X"</f>
        <v>41132420020402484X</v>
      </c>
      <c r="B2010" s="1" t="str">
        <f>"中共党员"</f>
        <v>中共党员</v>
      </c>
      <c r="C2010" s="1" t="str">
        <f t="shared" si="992"/>
        <v>专科</v>
      </c>
      <c r="D2010" s="1" t="str">
        <f>"2023年6月30日"</f>
        <v>2023年6月30日</v>
      </c>
      <c r="E2010" s="1" t="str">
        <f>"南阳农业职业学院"</f>
        <v>南阳农业职业学院</v>
      </c>
      <c r="F2010" s="1" t="str">
        <f>"学前教育专业（师范）"</f>
        <v>学前教育专业（师范）</v>
      </c>
      <c r="G2010" s="1" t="str">
        <f>"河南省南阳市镇平县老煤建"</f>
        <v>河南省南阳市镇平县老煤建</v>
      </c>
      <c r="H2010" s="1" t="str">
        <f t="shared" si="994"/>
        <v>无</v>
      </c>
      <c r="I2010" s="1" t="str">
        <f>"2020年10月——2023年6月就读于南阳农业职业学院学前教育专业。为全日制学历"</f>
        <v>2020年10月——2023年6月就读于南阳农业职业学院学前教育专业。为全日制学历</v>
      </c>
    </row>
    <row r="2011" spans="1:9">
      <c r="A2011" s="1" t="str">
        <f>"411327200212180083"</f>
        <v>411327200212180083</v>
      </c>
      <c r="B2011" s="1" t="str">
        <f t="shared" ref="B2011:B2013" si="995">"群众"</f>
        <v>群众</v>
      </c>
      <c r="C2011" s="1" t="str">
        <f t="shared" si="992"/>
        <v>专科</v>
      </c>
      <c r="D2011" s="1" t="str">
        <f>"20250610"</f>
        <v>20250610</v>
      </c>
      <c r="E2011" s="1" t="str">
        <f>"中原科技学院"</f>
        <v>中原科技学院</v>
      </c>
      <c r="F2011" s="1" t="str">
        <f>"小学英语教育"</f>
        <v>小学英语教育</v>
      </c>
      <c r="G2011" s="1" t="str">
        <f>"河南省内乡县城关镇北关盐库对面"</f>
        <v>河南省内乡县城关镇北关盐库对面</v>
      </c>
      <c r="H2011" s="1" t="str">
        <f t="shared" si="994"/>
        <v>无</v>
      </c>
      <c r="I2011" s="1" t="str">
        <f>"202209-202506中原科技学院外国语学院小学英语教育专业就读
201909-202206内乡县实验高中就读
201809-201906内乡县实验初中就读
201509-201806内乡初中就读
200909-201506内乡县第一小学就读"</f>
        <v>202209-202506中原科技学院外国语学院小学英语教育专业就读
201909-202206内乡县实验高中就读
201809-201906内乡县实验初中就读
201509-201806内乡初中就读
200909-201506内乡县第一小学就读</v>
      </c>
    </row>
    <row r="2012" spans="1:9">
      <c r="A2012" s="1" t="str">
        <f>"412727200208173553"</f>
        <v>412727200208173553</v>
      </c>
      <c r="B2012" s="1" t="str">
        <f t="shared" si="995"/>
        <v>群众</v>
      </c>
      <c r="C2012" s="1" t="str">
        <f t="shared" si="993"/>
        <v>本科</v>
      </c>
      <c r="D2012" s="1" t="str">
        <f>"20240701"</f>
        <v>20240701</v>
      </c>
      <c r="E2012" s="1" t="str">
        <f>"河南城建学院"</f>
        <v>河南城建学院</v>
      </c>
      <c r="F2012" s="1" t="str">
        <f>"给排水科学与工程"</f>
        <v>给排水科学与工程</v>
      </c>
      <c r="G2012" s="1" t="str">
        <f>"河南省周口市淮阳区淮周路幸福小区"</f>
        <v>河南省周口市淮阳区淮周路幸福小区</v>
      </c>
      <c r="H2012" s="1" t="str">
        <f>"工业废水处理工"</f>
        <v>工业废水处理工</v>
      </c>
      <c r="I2012" s="1" t="str">
        <f>"202009-202407 河南城建学院 市政与环境工程学院 给排水科学与工程专业就读"</f>
        <v>202009-202407 河南城建学院 市政与环境工程学院 给排水科学与工程专业就读</v>
      </c>
    </row>
    <row r="2013" spans="1:9">
      <c r="A2013" s="1" t="str">
        <f>"411323200401290032"</f>
        <v>411323200401290032</v>
      </c>
      <c r="B2013" s="1" t="str">
        <f t="shared" si="995"/>
        <v>群众</v>
      </c>
      <c r="C2013" s="1" t="str">
        <f t="shared" si="993"/>
        <v>本科</v>
      </c>
      <c r="D2013" s="1" t="str">
        <f>"20250630"</f>
        <v>20250630</v>
      </c>
      <c r="E2013" s="1" t="str">
        <f>"河南大学"</f>
        <v>河南大学</v>
      </c>
      <c r="F2013" s="1" t="str">
        <f>"网络工程"</f>
        <v>网络工程</v>
      </c>
      <c r="G2013" s="1" t="str">
        <f>"河南省南阳市淅川县老城镇马沟村七组35号"</f>
        <v>河南省南阳市淅川县老城镇马沟村七组35号</v>
      </c>
      <c r="H2013" s="1" t="str">
        <f t="shared" ref="H2013:H2019" si="996">"无"</f>
        <v>无</v>
      </c>
      <c r="I2013" s="1" t="str">
        <f>"202109-202506 河南大学软件学院网络工程专业就读"</f>
        <v>202109-202506 河南大学软件学院网络工程专业就读</v>
      </c>
    </row>
    <row r="2014" spans="1:9">
      <c r="A2014" s="1" t="str">
        <f>"411302200203210271"</f>
        <v>411302200203210271</v>
      </c>
      <c r="B2014" s="1" t="str">
        <f>"共青团员"</f>
        <v>共青团员</v>
      </c>
      <c r="C2014" s="1" t="str">
        <f t="shared" si="993"/>
        <v>本科</v>
      </c>
      <c r="D2014" s="1" t="str">
        <f>"2023.07"</f>
        <v>2023.07</v>
      </c>
      <c r="E2014" s="1" t="str">
        <f>"信阳农林学院"</f>
        <v>信阳农林学院</v>
      </c>
      <c r="F2014" s="1" t="str">
        <f>"茶学"</f>
        <v>茶学</v>
      </c>
      <c r="G2014" s="1" t="str">
        <f>"河南省南阳市宛城区康景颐府"</f>
        <v>河南省南阳市宛城区康景颐府</v>
      </c>
      <c r="H2014" s="1" t="str">
        <f t="shared" si="996"/>
        <v>无</v>
      </c>
      <c r="I2014" s="1" t="str">
        <f>"202009-202307 河南科技学院 生命科学学院 种子生产与经营就读
202309-202506 信阳农林学院 茶学院 茶学就读"</f>
        <v>202009-202307 河南科技学院 生命科学学院 种子生产与经营就读
202309-202506 信阳农林学院 茶学院 茶学就读</v>
      </c>
    </row>
    <row r="2015" spans="1:9">
      <c r="A2015" s="1" t="str">
        <f>"411327200208264524"</f>
        <v>411327200208264524</v>
      </c>
      <c r="B2015" s="1" t="str">
        <f t="shared" ref="B2015:B2020" si="997">"群众"</f>
        <v>群众</v>
      </c>
      <c r="C2015" s="1" t="str">
        <f t="shared" si="993"/>
        <v>本科</v>
      </c>
      <c r="D2015" s="1" t="str">
        <f>"20240607"</f>
        <v>20240607</v>
      </c>
      <c r="E2015" s="1" t="str">
        <f>"信阳学院"</f>
        <v>信阳学院</v>
      </c>
      <c r="F2015" s="1" t="str">
        <f>"翻译"</f>
        <v>翻译</v>
      </c>
      <c r="G2015" s="1" t="str">
        <f>"河南省内乡县赵店乡"</f>
        <v>河南省内乡县赵店乡</v>
      </c>
      <c r="H2015" s="1" t="str">
        <f t="shared" si="996"/>
        <v>无</v>
      </c>
      <c r="I2015" s="1" t="str">
        <f>"202009-202406信阳学院翻译专业
2024-目前在郑州待业"</f>
        <v>202009-202406信阳学院翻译专业
2024-目前在郑州待业</v>
      </c>
    </row>
    <row r="2016" spans="1:9">
      <c r="A2016" s="1" t="str">
        <f>"411381199311203933"</f>
        <v>411381199311203933</v>
      </c>
      <c r="B2016" s="1" t="str">
        <f>"中共党员"</f>
        <v>中共党员</v>
      </c>
      <c r="C2016" s="1" t="str">
        <f t="shared" si="993"/>
        <v>本科</v>
      </c>
      <c r="D2016" s="1" t="str">
        <f>"20180701"</f>
        <v>20180701</v>
      </c>
      <c r="E2016" s="1" t="str">
        <f>"河南科技学院"</f>
        <v>河南科技学院</v>
      </c>
      <c r="F2016" s="1" t="str">
        <f>"汉语言文学"</f>
        <v>汉语言文学</v>
      </c>
      <c r="G2016" s="1" t="str">
        <f>"河南省邓州市盛世苑小区二期"</f>
        <v>河南省邓州市盛世苑小区二期</v>
      </c>
      <c r="H2016" s="1" t="str">
        <f t="shared" si="996"/>
        <v>无</v>
      </c>
      <c r="I2016" s="1" t="str">
        <f>"201309-201607 河南财政金融学院文学院语文教育就读；
201609-201807 河南科技学院文法学院汉语言文学就读。"</f>
        <v>201309-201607 河南财政金融学院文学院语文教育就读；
201609-201807 河南科技学院文法学院汉语言文学就读。</v>
      </c>
    </row>
    <row r="2017" spans="1:9">
      <c r="A2017" s="1" t="str">
        <f>"141031199107220036"</f>
        <v>141031199107220036</v>
      </c>
      <c r="B2017" s="1" t="str">
        <f t="shared" si="997"/>
        <v>群众</v>
      </c>
      <c r="C2017" s="1" t="str">
        <f t="shared" si="993"/>
        <v>本科</v>
      </c>
      <c r="D2017" s="1" t="str">
        <f>"2015-01-10"</f>
        <v>2015-01-10</v>
      </c>
      <c r="E2017" s="1" t="str">
        <f>"北京师范大学"</f>
        <v>北京师范大学</v>
      </c>
      <c r="F2017" s="1" t="str">
        <f>"会计学"</f>
        <v>会计学</v>
      </c>
      <c r="G2017" s="1" t="str">
        <f>"山西省临汾市隰县世界花园7号楼701"</f>
        <v>山西省临汾市隰县世界花园7号楼701</v>
      </c>
      <c r="H2017" s="1" t="str">
        <f t="shared" si="996"/>
        <v>无</v>
      </c>
      <c r="I2017" s="1" t="str">
        <f>"201009-201207 太原工业学院 会计 全日制
201209-201501 北京师范大学 会计学  否全日制
201405-202411  临汾市隰县邮政分公司 
202411-至今 待业"</f>
        <v>201009-201207 太原工业学院 会计 全日制
201209-201501 北京师范大学 会计学  否全日制
201405-202411  临汾市隰县邮政分公司 
202411-至今 待业</v>
      </c>
    </row>
    <row r="2018" spans="1:9">
      <c r="A2018" s="1" t="str">
        <f>"411327200106070024"</f>
        <v>411327200106070024</v>
      </c>
      <c r="B2018" s="1" t="str">
        <f>"共青团员"</f>
        <v>共青团员</v>
      </c>
      <c r="C2018" s="1" t="str">
        <f t="shared" ref="C2018:C2023" si="998">"专科"</f>
        <v>专科</v>
      </c>
      <c r="D2018" s="1" t="str">
        <f>"2022.07"</f>
        <v>2022.07</v>
      </c>
      <c r="E2018" s="1" t="str">
        <f>"河南财政金融学院"</f>
        <v>河南财政金融学院</v>
      </c>
      <c r="F2018" s="1" t="str">
        <f>"会计"</f>
        <v>会计</v>
      </c>
      <c r="G2018" s="1" t="str">
        <f>"河南省南阳市内乡县大成相府六号楼三单元"</f>
        <v>河南省南阳市内乡县大成相府六号楼三单元</v>
      </c>
      <c r="H2018" s="1" t="str">
        <f t="shared" si="996"/>
        <v>无</v>
      </c>
      <c r="I2018" s="1" t="str">
        <f>"201909-202207 河南财政金融就读"</f>
        <v>201909-202207 河南财政金融就读</v>
      </c>
    </row>
    <row r="2019" spans="1:9">
      <c r="A2019" s="1" t="str">
        <f>"411324199811211529"</f>
        <v>411324199811211529</v>
      </c>
      <c r="B2019" s="1" t="str">
        <f t="shared" si="997"/>
        <v>群众</v>
      </c>
      <c r="C2019" s="1" t="str">
        <f t="shared" si="998"/>
        <v>专科</v>
      </c>
      <c r="D2019" s="1" t="str">
        <f>"20200601"</f>
        <v>20200601</v>
      </c>
      <c r="E2019" s="1" t="str">
        <f>"南阳师范学院"</f>
        <v>南阳师范学院</v>
      </c>
      <c r="F2019" s="1" t="str">
        <f>"应用电子技术"</f>
        <v>应用电子技术</v>
      </c>
      <c r="G2019" s="1" t="str">
        <f>"河南省南阳市镇平县"</f>
        <v>河南省南阳市镇平县</v>
      </c>
      <c r="H2019" s="1" t="str">
        <f t="shared" si="996"/>
        <v>无</v>
      </c>
      <c r="I2019" s="1" t="str">
        <f>"201709-202006 南阳师范学院 应用技术专业 全日制
202309-202505 南阳翰格信息咨询有限公司 猎头顾问"</f>
        <v>201709-202006 南阳师范学院 应用技术专业 全日制
202309-202505 南阳翰格信息咨询有限公司 猎头顾问</v>
      </c>
    </row>
    <row r="2020" spans="1:9">
      <c r="A2020" s="1" t="str">
        <f>"411326199802284817"</f>
        <v>411326199802284817</v>
      </c>
      <c r="B2020" s="1" t="str">
        <f t="shared" si="997"/>
        <v>群众</v>
      </c>
      <c r="C2020" s="1" t="str">
        <f t="shared" ref="C2020:C2025" si="999">"本科"</f>
        <v>本科</v>
      </c>
      <c r="D2020" s="1" t="str">
        <f>"20210701"</f>
        <v>20210701</v>
      </c>
      <c r="E2020" s="1" t="str">
        <f>"郑州升达经贸管理学院"</f>
        <v>郑州升达经贸管理学院</v>
      </c>
      <c r="F2020" s="1" t="str">
        <f>"金融学"</f>
        <v>金融学</v>
      </c>
      <c r="G2020" s="1" t="str">
        <f>"河南省南阳市南召县板山坪镇"</f>
        <v>河南省南阳市南召县板山坪镇</v>
      </c>
      <c r="H2020" s="1" t="str">
        <f>"证券从业资格证、教师资格证"</f>
        <v>证券从业资格证、教师资格证</v>
      </c>
      <c r="I2020" s="1" t="str">
        <f>"201709-202107 郑州升达经贸管理学院 金融学专业就读
202203-202206 浙江义乌自动变速器有限公司
202303-202306西峡交投能源商行
202401-至今 南阳市公安局交警支队特勤大队"</f>
        <v>201709-202107 郑州升达经贸管理学院 金融学专业就读
202203-202206 浙江义乌自动变速器有限公司
202303-202306西峡交投能源商行
202401-至今 南阳市公安局交警支队特勤大队</v>
      </c>
    </row>
    <row r="2021" spans="1:9">
      <c r="A2021" s="1" t="str">
        <f>"410325199706225027"</f>
        <v>410325199706225027</v>
      </c>
      <c r="B2021" s="1" t="str">
        <f t="shared" ref="B2021:B2026" si="1000">"中共党员"</f>
        <v>中共党员</v>
      </c>
      <c r="C2021" s="1" t="str">
        <f t="shared" si="998"/>
        <v>专科</v>
      </c>
      <c r="D2021" s="1" t="str">
        <f>"20240701"</f>
        <v>20240701</v>
      </c>
      <c r="E2021" s="1" t="str">
        <f>"洛阳师范学院"</f>
        <v>洛阳师范学院</v>
      </c>
      <c r="F2021" s="1" t="str">
        <f>"学前教育"</f>
        <v>学前教育</v>
      </c>
      <c r="G2021" s="1" t="str">
        <f>"河南省洛阳市白河镇"</f>
        <v>河南省洛阳市白河镇</v>
      </c>
      <c r="H2021" s="1" t="str">
        <f t="shared" ref="H2021:H2025" si="1001">"无"</f>
        <v>无</v>
      </c>
      <c r="I2021" s="1" t="str">
        <f>"202203-202407  洛阳师范学院就读  非全日制学历"</f>
        <v>202203-202407  洛阳师范学院就读  非全日制学历</v>
      </c>
    </row>
    <row r="2022" spans="1:9">
      <c r="A2022" s="1" t="str">
        <f>"411327200207132087"</f>
        <v>411327200207132087</v>
      </c>
      <c r="B2022" s="1" t="str">
        <f>"共青团员"</f>
        <v>共青团员</v>
      </c>
      <c r="C2022" s="1" t="str">
        <f t="shared" si="998"/>
        <v>专科</v>
      </c>
      <c r="D2022" s="1" t="str">
        <f>"202406030"</f>
        <v>202406030</v>
      </c>
      <c r="E2022" s="1" t="str">
        <f>"新乡学院"</f>
        <v>新乡学院</v>
      </c>
      <c r="F2022" s="1" t="str">
        <f>"小学英语教育"</f>
        <v>小学英语教育</v>
      </c>
      <c r="G2022" s="1" t="str">
        <f>"河南"</f>
        <v>河南</v>
      </c>
      <c r="H2022" s="1" t="str">
        <f t="shared" si="1001"/>
        <v>无</v>
      </c>
      <c r="I2022" s="1" t="str">
        <f>"202109-202406就读于新乡学院外国语学院小学英语教育专业就读
2020409-2025在西峡县待业
202502-202506在西峡县五里桥镇五里桥初中代课"</f>
        <v>202109-202406就读于新乡学院外国语学院小学英语教育专业就读
2020409-2025在西峡县待业
202502-202506在西峡县五里桥镇五里桥初中代课</v>
      </c>
    </row>
    <row r="2023" spans="1:9">
      <c r="A2023" s="1" t="str">
        <f>"411323199101060037"</f>
        <v>411323199101060037</v>
      </c>
      <c r="B2023" s="1" t="str">
        <f t="shared" si="1000"/>
        <v>中共党员</v>
      </c>
      <c r="C2023" s="1" t="str">
        <f t="shared" si="998"/>
        <v>专科</v>
      </c>
      <c r="D2023" s="1" t="str">
        <f>"2012-07-01"</f>
        <v>2012-07-01</v>
      </c>
      <c r="E2023" s="1" t="str">
        <f>"河南工业大学"</f>
        <v>河南工业大学</v>
      </c>
      <c r="F2023" s="1" t="str">
        <f>"计算机信息管理"</f>
        <v>计算机信息管理</v>
      </c>
      <c r="G2023" s="1" t="str">
        <f>"河南省淅川县龙城街道金福苑小区二号楼二单元3001"</f>
        <v>河南省淅川县龙城街道金福苑小区二号楼二单元3001</v>
      </c>
      <c r="H2023" s="1" t="str">
        <f t="shared" si="1001"/>
        <v>无</v>
      </c>
      <c r="I2023" s="1" t="str">
        <f>"2010年9月-2012年7月就读于河南工业大学软件管理学院计算机信息管理专业，全日制专科学历。
2012年7月-2012年12月在淅川待业。
2012年12月-2014年11月服役于中国人民解放军65058部队，并于2014年11月加入中国共产党（预备党员）。
2014年12月-2015年12月在淅川待业（2015年11月正式加入中国共产党）。
2015年12月-至今工作于内乡县农业农村局"</f>
        <v>2010年9月-2012年7月就读于河南工业大学软件管理学院计算机信息管理专业，全日制专科学历。
2012年7月-2012年12月在淅川待业。
2012年12月-2014年11月服役于中国人民解放军65058部队，并于2014年11月加入中国共产党（预备党员）。
2014年12月-2015年12月在淅川待业（2015年11月正式加入中国共产党）。
2015年12月-至今工作于内乡县农业农村局</v>
      </c>
    </row>
    <row r="2024" ht="121.5" spans="1:9">
      <c r="A2024" s="1" t="str">
        <f>"622825199504290013"</f>
        <v>622825199504290013</v>
      </c>
      <c r="B2024" s="1" t="str">
        <f t="shared" ref="B2024:B2028" si="1002">"群众"</f>
        <v>群众</v>
      </c>
      <c r="C2024" s="1" t="str">
        <f t="shared" si="999"/>
        <v>本科</v>
      </c>
      <c r="D2024" s="1" t="str">
        <f>"20180620"</f>
        <v>20180620</v>
      </c>
      <c r="E2024" s="1" t="str">
        <f>"海口经济学院"</f>
        <v>海口经济学院</v>
      </c>
      <c r="F2024" s="1" t="str">
        <f>"酒店管理"</f>
        <v>酒店管理</v>
      </c>
      <c r="G2024" s="1" t="str">
        <f>"甘肃省庆阳市正宁县南苑小区2号楼"</f>
        <v>甘肃省庆阳市正宁县南苑小区2号楼</v>
      </c>
      <c r="H2024" s="1" t="str">
        <f t="shared" si="1001"/>
        <v>无</v>
      </c>
      <c r="I2024" s="3" t="s">
        <v>239</v>
      </c>
    </row>
    <row r="2025" spans="1:9">
      <c r="A2025" s="1" t="str">
        <f>"411524200102110035"</f>
        <v>411524200102110035</v>
      </c>
      <c r="B2025" s="1" t="str">
        <f t="shared" si="1002"/>
        <v>群众</v>
      </c>
      <c r="C2025" s="1" t="str">
        <f t="shared" si="999"/>
        <v>本科</v>
      </c>
      <c r="D2025" s="1" t="str">
        <f>"20230630"</f>
        <v>20230630</v>
      </c>
      <c r="E2025" s="1" t="str">
        <f>"郑州西亚斯学院"</f>
        <v>郑州西亚斯学院</v>
      </c>
      <c r="F2025" s="1" t="str">
        <f>"社会体育指导与管理"</f>
        <v>社会体育指导与管理</v>
      </c>
      <c r="G2025" s="1" t="str">
        <f>"河南省信阳市商城县城关镇花园路响井5号"</f>
        <v>河南省信阳市商城县城关镇花园路响井5号</v>
      </c>
      <c r="H2025" s="1" t="str">
        <f t="shared" si="1001"/>
        <v>无</v>
      </c>
      <c r="I2025" s="1" t="str">
        <f>"2019年9月-2023年6月郑州西亚斯学院全日制就读
2023年7月-至今在家待业"</f>
        <v>2019年9月-2023年6月郑州西亚斯学院全日制就读
2023年7月-至今在家待业</v>
      </c>
    </row>
    <row r="2026" spans="1:9">
      <c r="A2026" s="1" t="str">
        <f>"41132720010618155X"</f>
        <v>41132720010618155X</v>
      </c>
      <c r="B2026" s="1" t="str">
        <f t="shared" si="1000"/>
        <v>中共党员</v>
      </c>
      <c r="C2026" s="1" t="str">
        <f>"专科"</f>
        <v>专科</v>
      </c>
      <c r="D2026" s="1" t="str">
        <f>"202407"</f>
        <v>202407</v>
      </c>
      <c r="E2026" s="1" t="str">
        <f>"三门峡职业技术学院"</f>
        <v>三门峡职业技术学院</v>
      </c>
      <c r="F2026" s="1" t="str">
        <f>"电气自动化技术"</f>
        <v>电气自动化技术</v>
      </c>
      <c r="G2026" s="1" t="str">
        <f>"河南省南阳市内乡县湍东镇东王沟村柴家"</f>
        <v>河南省南阳市内乡县湍东镇东王沟村柴家</v>
      </c>
      <c r="H2026" s="1" t="str">
        <f>"工业机器人系统操作员 高级工"</f>
        <v>工业机器人系统操作员 高级工</v>
      </c>
      <c r="I2026" s="1" t="str">
        <f>"202109-202407 三门峡职业技术学院智能制造学院电气自动化技术专业就读
202408-202505 在南阳市内乡县待业
202506-至今      共青团内乡县委公益岗"</f>
        <v>202109-202407 三门峡职业技术学院智能制造学院电气自动化技术专业就读
202408-202505 在南阳市内乡县待业
202506-至今      共青团内乡县委公益岗</v>
      </c>
    </row>
    <row r="2027" spans="1:9">
      <c r="A2027" s="1" t="str">
        <f>"411325200210030062"</f>
        <v>411325200210030062</v>
      </c>
      <c r="B2027" s="1" t="str">
        <f t="shared" ref="B2027:B2032" si="1003">"共青团员"</f>
        <v>共青团员</v>
      </c>
      <c r="C2027" s="1" t="str">
        <f t="shared" ref="C2027:C2031" si="1004">"本科"</f>
        <v>本科</v>
      </c>
      <c r="D2027" s="1" t="str">
        <f>"20250611"</f>
        <v>20250611</v>
      </c>
      <c r="E2027" s="1" t="str">
        <f>"安阳学院"</f>
        <v>安阳学院</v>
      </c>
      <c r="F2027" s="1" t="str">
        <f>"学前教育"</f>
        <v>学前教育</v>
      </c>
      <c r="G2027" s="1" t="str">
        <f>"河南省南阳市内乡县城关镇大成路106号"</f>
        <v>河南省南阳市内乡县城关镇大成路106号</v>
      </c>
      <c r="H2027" s="1" t="str">
        <f t="shared" ref="H2027:H2032" si="1005">"无"</f>
        <v>无</v>
      </c>
      <c r="I2027" s="1" t="str">
        <f>"202009-202307商丘职业技术学院就读（全日制）
202309-202506安阳学院就读（全日制）
202506-             待业"</f>
        <v>202009-202307商丘职业技术学院就读（全日制）
202309-202506安阳学院就读（全日制）
202506-             待业</v>
      </c>
    </row>
    <row r="2028" spans="1:9">
      <c r="A2028" s="1" t="str">
        <f>"411381199710212618"</f>
        <v>411381199710212618</v>
      </c>
      <c r="B2028" s="1" t="str">
        <f t="shared" si="1002"/>
        <v>群众</v>
      </c>
      <c r="C2028" s="1" t="str">
        <f t="shared" si="1004"/>
        <v>本科</v>
      </c>
      <c r="D2028" s="1" t="str">
        <f>"20210701"</f>
        <v>20210701</v>
      </c>
      <c r="E2028" s="1" t="str">
        <f>"商丘学院"</f>
        <v>商丘学院</v>
      </c>
      <c r="F2028" s="1" t="str">
        <f>"环境设计"</f>
        <v>环境设计</v>
      </c>
      <c r="G2028" s="1" t="str">
        <f>"河南省南阳市内乡县城关镇梨苑山庄唐城小区"</f>
        <v>河南省南阳市内乡县城关镇梨苑山庄唐城小区</v>
      </c>
      <c r="H2028" s="1" t="str">
        <f t="shared" si="1005"/>
        <v>无</v>
      </c>
      <c r="I2028" s="1" t="str">
        <f>"201909-202107商丘学院应用科技学院艺术教育系环境设计专业就读。"</f>
        <v>201909-202107商丘学院应用科技学院艺术教育系环境设计专业就读。</v>
      </c>
    </row>
    <row r="2029" spans="1:9">
      <c r="A2029" s="1" t="str">
        <f>"410423200310218021"</f>
        <v>410423200310218021</v>
      </c>
      <c r="B2029" s="1" t="str">
        <f t="shared" si="1003"/>
        <v>共青团员</v>
      </c>
      <c r="C2029" s="1" t="str">
        <f t="shared" si="1004"/>
        <v>本科</v>
      </c>
      <c r="D2029" s="1" t="str">
        <f>"20250701"</f>
        <v>20250701</v>
      </c>
      <c r="E2029" s="1" t="str">
        <f>"齐齐哈尔工程学院"</f>
        <v>齐齐哈尔工程学院</v>
      </c>
      <c r="F2029" s="1" t="str">
        <f>"数据科学与大数据技术"</f>
        <v>数据科学与大数据技术</v>
      </c>
      <c r="G2029" s="1" t="str">
        <f>"河南省平顶山市鲁山县汇源街道申庄村新金章"</f>
        <v>河南省平顶山市鲁山县汇源街道申庄村新金章</v>
      </c>
      <c r="H2029" s="1" t="str">
        <f t="shared" si="1005"/>
        <v>无</v>
      </c>
      <c r="I2029" s="1" t="str">
        <f>"齐齐哈尔工程学院	202109-202506 全日制"</f>
        <v>齐齐哈尔工程学院	202109-202506 全日制</v>
      </c>
    </row>
    <row r="2030" spans="1:9">
      <c r="A2030" s="1" t="str">
        <f>"411327200306181116"</f>
        <v>411327200306181116</v>
      </c>
      <c r="B2030" s="1" t="str">
        <f>"中共预备党员"</f>
        <v>中共预备党员</v>
      </c>
      <c r="C2030" s="1" t="str">
        <f t="shared" si="1004"/>
        <v>本科</v>
      </c>
      <c r="D2030" s="1" t="str">
        <f>"20250607"</f>
        <v>20250607</v>
      </c>
      <c r="E2030" s="1" t="str">
        <f>"周口师范学院"</f>
        <v>周口师范学院</v>
      </c>
      <c r="F2030" s="1" t="str">
        <f>"软件工程"</f>
        <v>软件工程</v>
      </c>
      <c r="G2030" s="1" t="str">
        <f>"河南省内乡县赤眉镇王堂村席岭3号"</f>
        <v>河南省内乡县赤眉镇王堂村席岭3号</v>
      </c>
      <c r="H2030" s="1" t="str">
        <f t="shared" si="1005"/>
        <v>无</v>
      </c>
      <c r="I2030" s="1" t="str">
        <f>"2009.09-2015.06 西峡县城区一小就读
2015.09-2018.06 西峡县城区一中就读
2018.09-2021.06 西峡二高就读
2021.09-2023.06 河南财政金融学院软件学院软件技术专业就读（全日制）
2023.09-2025.06 周口师范学院计算机科学与技术学院软件工程专业就读（全日制）"</f>
        <v>2009.09-2015.06 西峡县城区一小就读
2015.09-2018.06 西峡县城区一中就读
2018.09-2021.06 西峡二高就读
2021.09-2023.06 河南财政金融学院软件学院软件技术专业就读（全日制）
2023.09-2025.06 周口师范学院计算机科学与技术学院软件工程专业就读（全日制）</v>
      </c>
    </row>
    <row r="2031" spans="1:9">
      <c r="A2031" s="1" t="str">
        <f>"412825200203062531"</f>
        <v>412825200203062531</v>
      </c>
      <c r="B2031" s="1" t="str">
        <f t="shared" si="1003"/>
        <v>共青团员</v>
      </c>
      <c r="C2031" s="1" t="str">
        <f t="shared" si="1004"/>
        <v>本科</v>
      </c>
      <c r="D2031" s="1" t="str">
        <f>"20240630"</f>
        <v>20240630</v>
      </c>
      <c r="E2031" s="1" t="str">
        <f>"河南理工大学"</f>
        <v>河南理工大学</v>
      </c>
      <c r="F2031" s="1" t="str">
        <f>"土木工程"</f>
        <v>土木工程</v>
      </c>
      <c r="G2031" s="1" t="str">
        <f>"河南省驻马店市上蔡县洙湖镇六组32号"</f>
        <v>河南省驻马店市上蔡县洙湖镇六组32号</v>
      </c>
      <c r="H2031" s="1" t="str">
        <f t="shared" si="1005"/>
        <v>无</v>
      </c>
      <c r="I2031" s="1" t="str">
        <f>"20200901-20240630 河南理工大学土木工程学院道桥系就读
20240630-20250120 就职于中交一航局城市交通工程有限公司担任施工员
20250120-至今 待业"</f>
        <v>20200901-20240630 河南理工大学土木工程学院道桥系就读
20240630-20250120 就职于中交一航局城市交通工程有限公司担任施工员
20250120-至今 待业</v>
      </c>
    </row>
    <row r="2032" spans="1:9">
      <c r="A2032" s="1" t="str">
        <f>"411302200312040080"</f>
        <v>411302200312040080</v>
      </c>
      <c r="B2032" s="1" t="str">
        <f t="shared" si="1003"/>
        <v>共青团员</v>
      </c>
      <c r="C2032" s="1" t="str">
        <f>"专科"</f>
        <v>专科</v>
      </c>
      <c r="D2032" s="1" t="str">
        <f>"20250701"</f>
        <v>20250701</v>
      </c>
      <c r="E2032" s="1" t="str">
        <f>"郑州铁路职业技术学院"</f>
        <v>郑州铁路职业技术学院</v>
      </c>
      <c r="F2032" s="1" t="str">
        <f>"城市轨道交通运营管理"</f>
        <v>城市轨道交通运营管理</v>
      </c>
      <c r="G2032" s="1" t="str">
        <f>"河南省南阳市宛城区书院街"</f>
        <v>河南省南阳市宛城区书院街</v>
      </c>
      <c r="H2032" s="1" t="str">
        <f t="shared" si="1005"/>
        <v>无</v>
      </c>
      <c r="I2032" s="1" t="str">
        <f>"202303-202507郑州铁路职业技术学院城市轨道交通运营管理就读，函授。"</f>
        <v>202303-202507郑州铁路职业技术学院城市轨道交通运营管理就读，函授。</v>
      </c>
    </row>
    <row r="2033" ht="108" spans="1:9">
      <c r="A2033" s="1" t="str">
        <f>"411327199601102518"</f>
        <v>411327199601102518</v>
      </c>
      <c r="B2033" s="1" t="str">
        <f t="shared" ref="B2033:B2040" si="1006">"群众"</f>
        <v>群众</v>
      </c>
      <c r="C2033" s="1" t="str">
        <f t="shared" ref="C2033:C2039" si="1007">"本科"</f>
        <v>本科</v>
      </c>
      <c r="D2033" s="1" t="str">
        <f>"20190625"</f>
        <v>20190625</v>
      </c>
      <c r="E2033" s="1" t="str">
        <f>"长沙理工大学"</f>
        <v>长沙理工大学</v>
      </c>
      <c r="F2033" s="1" t="str">
        <f>"环境设计"</f>
        <v>环境设计</v>
      </c>
      <c r="G2033" s="1" t="str">
        <f>"河南省内乡县湍东镇水岸豪庭小区一号楼"</f>
        <v>河南省内乡县湍东镇水岸豪庭小区一号楼</v>
      </c>
      <c r="H2033" s="1" t="str">
        <f>"装饰装修质量员"</f>
        <v>装饰装修质量员</v>
      </c>
      <c r="I2033" s="3" t="s">
        <v>240</v>
      </c>
    </row>
    <row r="2034" spans="1:9">
      <c r="A2034" s="1" t="str">
        <f>"411327199506200021"</f>
        <v>411327199506200021</v>
      </c>
      <c r="B2034" s="1" t="str">
        <f>"中共党员"</f>
        <v>中共党员</v>
      </c>
      <c r="C2034" s="1" t="str">
        <f t="shared" si="1007"/>
        <v>本科</v>
      </c>
      <c r="D2034" s="1" t="str">
        <f>"20210701"</f>
        <v>20210701</v>
      </c>
      <c r="E2034" s="1" t="str">
        <f>"武汉理工大学"</f>
        <v>武汉理工大学</v>
      </c>
      <c r="F2034" s="1" t="str">
        <f>"道路桥梁与渡河工程"</f>
        <v>道路桥梁与渡河工程</v>
      </c>
      <c r="G2034" s="1" t="str">
        <f>"河南省南阳市内乡县北关新华书店对面华惠名烟名酒"</f>
        <v>河南省南阳市内乡县北关新华书店对面华惠名烟名酒</v>
      </c>
      <c r="H2034" s="1" t="str">
        <f t="shared" ref="H2034:H2042" si="1008">"无"</f>
        <v>无</v>
      </c>
      <c r="I2034" s="1" t="str">
        <f>"2014年-2017年7.1河南交通职业技术学院 道路与桥梁工程技术就读
2018.02-2022.03内乡县宛西公路工程有限公司职员
2022年4月-至今南阳天合路桥实业有限公司"</f>
        <v>2014年-2017年7.1河南交通职业技术学院 道路与桥梁工程技术就读
2018.02-2022.03内乡县宛西公路工程有限公司职员
2022年4月-至今南阳天合路桥实业有限公司</v>
      </c>
    </row>
    <row r="2035" spans="1:9">
      <c r="A2035" s="1" t="str">
        <f>"411327199007064926"</f>
        <v>411327199007064926</v>
      </c>
      <c r="B2035" s="1" t="str">
        <f t="shared" si="1006"/>
        <v>群众</v>
      </c>
      <c r="C2035" s="1" t="str">
        <f t="shared" si="1007"/>
        <v>本科</v>
      </c>
      <c r="D2035" s="1" t="str">
        <f>"20250701"</f>
        <v>20250701</v>
      </c>
      <c r="E2035" s="1" t="str">
        <f>"郑州工业应用技术学院"</f>
        <v>郑州工业应用技术学院</v>
      </c>
      <c r="F2035" s="1" t="str">
        <f>"通信工程"</f>
        <v>通信工程</v>
      </c>
      <c r="G2035" s="1" t="str">
        <f>"河南省内乡县灌涨镇灌涨村"</f>
        <v>河南省内乡县灌涨镇灌涨村</v>
      </c>
      <c r="H2035" s="1" t="str">
        <f t="shared" si="1008"/>
        <v>无</v>
      </c>
      <c r="I2035" s="1" t="str">
        <f>"2011.09-2015.07  郑州工业应用技术学院 信息工程系 通信工程专业 全日制学历
2015.07-2017.01   郑州健康按钮公司任职文员
2017.02-2020.05   自由职业
2020.05-至今       灌涨镇人民政府"</f>
        <v>2011.09-2015.07  郑州工业应用技术学院 信息工程系 通信工程专业 全日制学历
2015.07-2017.01   郑州健康按钮公司任职文员
2017.02-2020.05   自由职业
2020.05-至今       灌涨镇人民政府</v>
      </c>
    </row>
    <row r="2036" spans="1:9">
      <c r="A2036" s="1" t="str">
        <f>"411325200008254548"</f>
        <v>411325200008254548</v>
      </c>
      <c r="B2036" s="1" t="str">
        <f t="shared" ref="B2036:B2041" si="1009">"共青团员"</f>
        <v>共青团员</v>
      </c>
      <c r="C2036" s="1" t="str">
        <f t="shared" si="1007"/>
        <v>本科</v>
      </c>
      <c r="D2036" s="1" t="str">
        <f>"20230701"</f>
        <v>20230701</v>
      </c>
      <c r="E2036" s="1" t="str">
        <f>"信阳农林学院"</f>
        <v>信阳农林学院</v>
      </c>
      <c r="F2036" s="1" t="str">
        <f>"市场营销"</f>
        <v>市场营销</v>
      </c>
      <c r="G2036" s="1" t="str">
        <f>"河南省南阳市内乡县赵店乡袁寨村李西28号"</f>
        <v>河南省南阳市内乡县赵店乡袁寨村李西28号</v>
      </c>
      <c r="H2036" s="1" t="str">
        <f t="shared" si="1008"/>
        <v>无</v>
      </c>
      <c r="I2036" s="1" t="str">
        <f>"201909-202307 信阳农林学院 工商管理学院 市场营销专业就读 全日制学历"</f>
        <v>201909-202307 信阳农林学院 工商管理学院 市场营销专业就读 全日制学历</v>
      </c>
    </row>
    <row r="2037" spans="1:9">
      <c r="A2037" s="1" t="str">
        <f>"411327200309270069"</f>
        <v>411327200309270069</v>
      </c>
      <c r="B2037" s="1" t="str">
        <f t="shared" si="1009"/>
        <v>共青团员</v>
      </c>
      <c r="C2037" s="1" t="str">
        <f t="shared" si="1007"/>
        <v>本科</v>
      </c>
      <c r="D2037" s="1" t="str">
        <f>"20250618"</f>
        <v>20250618</v>
      </c>
      <c r="E2037" s="1" t="str">
        <f>"华东交通大学"</f>
        <v>华东交通大学</v>
      </c>
      <c r="F2037" s="1" t="str">
        <f>"法学"</f>
        <v>法学</v>
      </c>
      <c r="G2037" s="1" t="str">
        <f>"河南省内乡县县衙路6号"</f>
        <v>河南省内乡县县衙路6号</v>
      </c>
      <c r="H2037" s="1" t="str">
        <f t="shared" si="1008"/>
        <v>无</v>
      </c>
      <c r="I2037" s="1" t="str">
        <f>"202109-202506华东交通大学人文社会科学学院法学就读，全日制学历。"</f>
        <v>202109-202506华东交通大学人文社会科学学院法学就读，全日制学历。</v>
      </c>
    </row>
    <row r="2038" spans="1:9">
      <c r="A2038" s="1" t="str">
        <f>"411327200110200047"</f>
        <v>411327200110200047</v>
      </c>
      <c r="B2038" s="1" t="str">
        <f t="shared" si="1006"/>
        <v>群众</v>
      </c>
      <c r="C2038" s="1" t="str">
        <f t="shared" si="1007"/>
        <v>本科</v>
      </c>
      <c r="D2038" s="1" t="str">
        <f>"20230630"</f>
        <v>20230630</v>
      </c>
      <c r="E2038" s="1" t="str">
        <f>"信阳学院"</f>
        <v>信阳学院</v>
      </c>
      <c r="F2038" s="1" t="str">
        <f>"英语"</f>
        <v>英语</v>
      </c>
      <c r="G2038" s="1" t="str">
        <f>"河南省南阳市内乡县城关镇北园村"</f>
        <v>河南省南阳市内乡县城关镇北园村</v>
      </c>
      <c r="H2038" s="1" t="str">
        <f t="shared" si="1008"/>
        <v>无</v>
      </c>
      <c r="I2038" s="1" t="str">
        <f>"201909—202306 信阳学院外国语学院英语 全日制学历"</f>
        <v>201909—202306 信阳学院外国语学院英语 全日制学历</v>
      </c>
    </row>
    <row r="2039" spans="1:9">
      <c r="A2039" s="1" t="str">
        <f>"411327200409110660"</f>
        <v>411327200409110660</v>
      </c>
      <c r="B2039" s="1" t="str">
        <f t="shared" si="1006"/>
        <v>群众</v>
      </c>
      <c r="C2039" s="1" t="str">
        <f t="shared" si="1007"/>
        <v>本科</v>
      </c>
      <c r="D2039" s="1" t="str">
        <f>"20250607"</f>
        <v>20250607</v>
      </c>
      <c r="E2039" s="1" t="str">
        <f>"信阳学院"</f>
        <v>信阳学院</v>
      </c>
      <c r="F2039" s="1" t="str">
        <f>"音乐学"</f>
        <v>音乐学</v>
      </c>
      <c r="G2039" s="1" t="str">
        <f>"河南省南阳市"</f>
        <v>河南省南阳市</v>
      </c>
      <c r="H2039" s="1" t="str">
        <f t="shared" si="1008"/>
        <v>无</v>
      </c>
      <c r="I2039" s="1" t="str">
        <f>"201509-201806内乡县马山一初中
201809-202106内乡县第三高级中学
202109-202506信阳市信阳学院"</f>
        <v>201509-201806内乡县马山一初中
201809-202106内乡县第三高级中学
202109-202506信阳市信阳学院</v>
      </c>
    </row>
    <row r="2040" spans="1:9">
      <c r="A2040" s="1" t="str">
        <f>"41132219940103423X"</f>
        <v>41132219940103423X</v>
      </c>
      <c r="B2040" s="1" t="str">
        <f t="shared" si="1006"/>
        <v>群众</v>
      </c>
      <c r="C2040" s="1" t="str">
        <f>"专科"</f>
        <v>专科</v>
      </c>
      <c r="D2040" s="1" t="str">
        <f>"20160701"</f>
        <v>20160701</v>
      </c>
      <c r="E2040" s="1" t="str">
        <f>"河南警察学院"</f>
        <v>河南警察学院</v>
      </c>
      <c r="F2040" s="1" t="str">
        <f>"法律事务"</f>
        <v>法律事务</v>
      </c>
      <c r="G2040" s="1" t="str">
        <f>"南阳市方城县宛北中专东南一巷"</f>
        <v>南阳市方城县宛北中专东南一巷</v>
      </c>
      <c r="H2040" s="1" t="str">
        <f t="shared" si="1008"/>
        <v>无</v>
      </c>
      <c r="I2040" s="1" t="str">
        <f>"201309-201607 河南警察学院法律系法律事务专业就读，全日制大专；201608-202204在方城县家中待业，202205-至今在方城县公安局工作（辅警）。"</f>
        <v>201309-201607 河南警察学院法律系法律事务专业就读，全日制大专；201608-202204在方城县家中待业，202205-至今在方城县公安局工作（辅警）。</v>
      </c>
    </row>
    <row r="2041" spans="1:9">
      <c r="A2041" s="1" t="str">
        <f>"411523200204050954"</f>
        <v>411523200204050954</v>
      </c>
      <c r="B2041" s="1" t="str">
        <f t="shared" si="1009"/>
        <v>共青团员</v>
      </c>
      <c r="C2041" s="1" t="str">
        <f t="shared" ref="C2041:C2054" si="1010">"本科"</f>
        <v>本科</v>
      </c>
      <c r="D2041" s="1" t="str">
        <f>"20250701"</f>
        <v>20250701</v>
      </c>
      <c r="E2041" s="1" t="str">
        <f>"河南中医药大学"</f>
        <v>河南中医药大学</v>
      </c>
      <c r="F2041" s="1" t="str">
        <f>"健康服务与管理"</f>
        <v>健康服务与管理</v>
      </c>
      <c r="G2041" s="1" t="str">
        <f>"河南省信阳市新县喻景花园九号楼101"</f>
        <v>河南省信阳市新县喻景花园九号楼101</v>
      </c>
      <c r="H2041" s="1" t="str">
        <f t="shared" si="1008"/>
        <v>无</v>
      </c>
      <c r="I2041" s="1" t="str">
        <f>"2007年09月1日至2011年07月31日罗汉小学学习小学
2011年09月1日至2012年02月31日新星小学学习小学
20112年03月1日至2014年07月31日代咀九年一贯制学校学习小学
2014年09月1日至2017年07月31日新县首府实验学校学习初中
2017年09月1日至2020年07月31日新县高中学习高中
2020年08月1日至2021年07月31日新县高中复读
2021年09月1日至2025年07月31日河南中医药大学学习本科健康服务与管理专业"</f>
        <v>2007年09月1日至2011年07月31日罗汉小学学习小学
2011年09月1日至2012年02月31日新星小学学习小学
20112年03月1日至2014年07月31日代咀九年一贯制学校学习小学
2014年09月1日至2017年07月31日新县首府实验学校学习初中
2017年09月1日至2020年07月31日新县高中学习高中
2020年08月1日至2021年07月31日新县高中复读
2021年09月1日至2025年07月31日河南中医药大学学习本科健康服务与管理专业</v>
      </c>
    </row>
    <row r="2042" spans="1:9">
      <c r="A2042" s="1" t="str">
        <f>"411324200004180928"</f>
        <v>411324200004180928</v>
      </c>
      <c r="B2042" s="1" t="str">
        <f t="shared" ref="B2042:B2048" si="1011">"群众"</f>
        <v>群众</v>
      </c>
      <c r="C2042" s="1" t="str">
        <f t="shared" si="1010"/>
        <v>本科</v>
      </c>
      <c r="D2042" s="1" t="str">
        <f>"20240701"</f>
        <v>20240701</v>
      </c>
      <c r="E2042" s="1" t="str">
        <f>"河南师范大学"</f>
        <v>河南师范大学</v>
      </c>
      <c r="F2042" s="1" t="str">
        <f>"旅游管理"</f>
        <v>旅游管理</v>
      </c>
      <c r="G2042" s="1" t="str">
        <f>"河南省南阳市镇平县八里桥赵庄"</f>
        <v>河南省南阳市镇平县八里桥赵庄</v>
      </c>
      <c r="H2042" s="1" t="str">
        <f t="shared" si="1008"/>
        <v>无</v>
      </c>
      <c r="I2042" s="1" t="str">
        <f>"202009-202407 河南师范大学旅游学院旅游历专业就读 全日制学历
202407至今在家待业"</f>
        <v>202009-202407 河南师范大学旅游学院旅游历专业就读 全日制学历
202407至今在家待业</v>
      </c>
    </row>
    <row r="2043" spans="1:9">
      <c r="A2043" s="1" t="str">
        <f>"411327199205184224"</f>
        <v>411327199205184224</v>
      </c>
      <c r="B2043" s="1" t="str">
        <f t="shared" si="1011"/>
        <v>群众</v>
      </c>
      <c r="C2043" s="1" t="str">
        <f>"专科"</f>
        <v>专科</v>
      </c>
      <c r="D2043" s="1" t="str">
        <f>"20140701"</f>
        <v>20140701</v>
      </c>
      <c r="E2043" s="1" t="str">
        <f>"河南职业技术学院"</f>
        <v>河南职业技术学院</v>
      </c>
      <c r="F2043" s="1" t="str">
        <f>"电子商务"</f>
        <v>电子商务</v>
      </c>
      <c r="G2043" s="1" t="str">
        <f>"内乡县万事达小区"</f>
        <v>内乡县万事达小区</v>
      </c>
      <c r="H2043" s="1" t="str">
        <f>"计算机系统操作工四级"</f>
        <v>计算机系统操作工四级</v>
      </c>
      <c r="I2043" s="1" t="str">
        <f>"我叫江涛，2011年9月-2014年7月在河南职业技术学院信息工程系电子商务专业就读，全日制大专学历。"</f>
        <v>我叫江涛，2011年9月-2014年7月在河南职业技术学院信息工程系电子商务专业就读，全日制大专学历。</v>
      </c>
    </row>
    <row r="2044" spans="1:9">
      <c r="A2044" s="1" t="str">
        <f>"511722200106086695"</f>
        <v>511722200106086695</v>
      </c>
      <c r="B2044" s="1" t="str">
        <f t="shared" ref="B2044:B2046" si="1012">"共青团员"</f>
        <v>共青团员</v>
      </c>
      <c r="C2044" s="1" t="str">
        <f t="shared" si="1010"/>
        <v>本科</v>
      </c>
      <c r="D2044" s="1" t="str">
        <f>"20240607"</f>
        <v>20240607</v>
      </c>
      <c r="E2044" s="1" t="str">
        <f>"四川农业大学"</f>
        <v>四川农业大学</v>
      </c>
      <c r="F2044" s="1" t="str">
        <f>"生物技术"</f>
        <v>生物技术</v>
      </c>
      <c r="G2044" s="1" t="str">
        <f>"宣汉县南坝镇"</f>
        <v>宣汉县南坝镇</v>
      </c>
      <c r="H2044" s="1" t="str">
        <f t="shared" ref="H2044:H2052" si="1013">"无"</f>
        <v>无</v>
      </c>
      <c r="I2044" s="1" t="str">
        <f>"202009-202406四川农业大学生物技术专业就读全日制"</f>
        <v>202009-202406四川农业大学生物技术专业就读全日制</v>
      </c>
    </row>
    <row r="2045" spans="1:9">
      <c r="A2045" s="1" t="str">
        <f>"411302200108266410"</f>
        <v>411302200108266410</v>
      </c>
      <c r="B2045" s="1" t="str">
        <f t="shared" si="1012"/>
        <v>共青团员</v>
      </c>
      <c r="C2045" s="1" t="str">
        <f t="shared" si="1010"/>
        <v>本科</v>
      </c>
      <c r="D2045" s="1" t="str">
        <f>"20240630"</f>
        <v>20240630</v>
      </c>
      <c r="E2045" s="1" t="str">
        <f>"安阳工学院"</f>
        <v>安阳工学院</v>
      </c>
      <c r="F2045" s="1" t="str">
        <f>"电气工程及其自动化"</f>
        <v>电气工程及其自动化</v>
      </c>
      <c r="G2045" s="1" t="str">
        <f>"河南省南阳市卧龙区南泰路商苑小区"</f>
        <v>河南省南阳市卧龙区南泰路商苑小区</v>
      </c>
      <c r="H2045" s="1" t="str">
        <f t="shared" si="1013"/>
        <v>无</v>
      </c>
      <c r="I2045" s="1" t="str">
        <f>"201909-202206 河南工程学院  机械工程学院机电一体化技术 就读 全日制
202209-202406 安阳工学院 电子信息与电气工程学院电气工程及其自动化 就读 全日制"</f>
        <v>201909-202206 河南工程学院  机械工程学院机电一体化技术 就读 全日制
202209-202406 安阳工学院 电子信息与电气工程学院电气工程及其自动化 就读 全日制</v>
      </c>
    </row>
    <row r="2046" spans="1:9">
      <c r="A2046" s="1" t="str">
        <f>"411327199810211147"</f>
        <v>411327199810211147</v>
      </c>
      <c r="B2046" s="1" t="str">
        <f t="shared" si="1012"/>
        <v>共青团员</v>
      </c>
      <c r="C2046" s="1" t="str">
        <f t="shared" si="1010"/>
        <v>本科</v>
      </c>
      <c r="D2046" s="1" t="str">
        <f>"20210630"</f>
        <v>20210630</v>
      </c>
      <c r="E2046" s="1" t="str">
        <f>"南京师范大学中北学院"</f>
        <v>南京师范大学中北学院</v>
      </c>
      <c r="F2046" s="1" t="str">
        <f>"会计学"</f>
        <v>会计学</v>
      </c>
      <c r="G2046" s="1" t="str">
        <f>"河南省南阳市内乡县赤眉镇"</f>
        <v>河南省南阳市内乡县赤眉镇</v>
      </c>
      <c r="H2046" s="1" t="str">
        <f>"会计，管理会计初级"</f>
        <v>会计，管理会计初级</v>
      </c>
      <c r="I2046" s="1" t="str">
        <f>"201709-202106南京师范大学中北学院经管系会计学专业就读，全日制"</f>
        <v>201709-202106南京师范大学中北学院经管系会计学专业就读，全日制</v>
      </c>
    </row>
    <row r="2047" spans="1:9">
      <c r="A2047" s="1" t="str">
        <f>"411327200109192035"</f>
        <v>411327200109192035</v>
      </c>
      <c r="B2047" s="1" t="str">
        <f t="shared" si="1011"/>
        <v>群众</v>
      </c>
      <c r="C2047" s="1" t="str">
        <f t="shared" si="1010"/>
        <v>本科</v>
      </c>
      <c r="D2047" s="1" t="str">
        <f>"20240701"</f>
        <v>20240701</v>
      </c>
      <c r="E2047" s="1" t="str">
        <f>"许昌学院"</f>
        <v>许昌学院</v>
      </c>
      <c r="F2047" s="1" t="str">
        <f>"汉语言文学"</f>
        <v>汉语言文学</v>
      </c>
      <c r="G2047" s="1" t="str">
        <f>"河南省南阳市内乡县南关三友小区"</f>
        <v>河南省南阳市内乡县南关三友小区</v>
      </c>
      <c r="H2047" s="1" t="str">
        <f t="shared" si="1013"/>
        <v>无</v>
      </c>
      <c r="I2047" s="1" t="str">
        <f>"201909-202206 开封大学 人文学院新闻采编与制作专业就读
202209-202406 许昌学院 文史与传媒学院 汉语言文学专业就读"</f>
        <v>201909-202206 开封大学 人文学院新闻采编与制作专业就读
202209-202406 许昌学院 文史与传媒学院 汉语言文学专业就读</v>
      </c>
    </row>
    <row r="2048" spans="1:9">
      <c r="A2048" s="1" t="str">
        <f>"142725200205254018"</f>
        <v>142725200205254018</v>
      </c>
      <c r="B2048" s="1" t="str">
        <f t="shared" si="1011"/>
        <v>群众</v>
      </c>
      <c r="C2048" s="1" t="str">
        <f t="shared" si="1010"/>
        <v>本科</v>
      </c>
      <c r="D2048" s="1" t="str">
        <f>"20250607"</f>
        <v>20250607</v>
      </c>
      <c r="E2048" s="1" t="str">
        <f>"长治医学院"</f>
        <v>长治医学院</v>
      </c>
      <c r="F2048" s="1" t="str">
        <f>"生物医学工程"</f>
        <v>生物医学工程</v>
      </c>
      <c r="G2048" s="1" t="str">
        <f>"山西省运城市万荣县贾村乡东思雅村"</f>
        <v>山西省运城市万荣县贾村乡东思雅村</v>
      </c>
      <c r="H2048" s="1" t="str">
        <f t="shared" si="1013"/>
        <v>无</v>
      </c>
      <c r="I2048" s="1" t="str">
        <f>"202110-202506长治医学院就读"</f>
        <v>202110-202506长治医学院就读</v>
      </c>
    </row>
    <row r="2049" spans="1:9">
      <c r="A2049" s="1" t="str">
        <f>"411327200204040013"</f>
        <v>411327200204040013</v>
      </c>
      <c r="B2049" s="1" t="str">
        <f t="shared" ref="B2049:B2051" si="1014">"共青团员"</f>
        <v>共青团员</v>
      </c>
      <c r="C2049" s="1" t="str">
        <f t="shared" si="1010"/>
        <v>本科</v>
      </c>
      <c r="D2049" s="1" t="str">
        <f>"20240625"</f>
        <v>20240625</v>
      </c>
      <c r="E2049" s="1" t="str">
        <f>"河南理工大学"</f>
        <v>河南理工大学</v>
      </c>
      <c r="F2049" s="1" t="str">
        <f>"市场营销"</f>
        <v>市场营销</v>
      </c>
      <c r="G2049" s="1" t="str">
        <f>"河南省南阳市内乡县城关镇鼎容华府小区"</f>
        <v>河南省南阳市内乡县城关镇鼎容华府小区</v>
      </c>
      <c r="H2049" s="1" t="str">
        <f t="shared" si="1013"/>
        <v>无</v>
      </c>
      <c r="I2049" s="1" t="str">
        <f>"202009-202406 河南理工大学工商管理学院市场营销专业就读 全日制学历"</f>
        <v>202009-202406 河南理工大学工商管理学院市场营销专业就读 全日制学历</v>
      </c>
    </row>
    <row r="2050" spans="1:9">
      <c r="A2050" s="1" t="str">
        <f>"411327200212160023"</f>
        <v>411327200212160023</v>
      </c>
      <c r="B2050" s="1" t="str">
        <f t="shared" si="1014"/>
        <v>共青团员</v>
      </c>
      <c r="C2050" s="1" t="str">
        <f t="shared" si="1010"/>
        <v>本科</v>
      </c>
      <c r="D2050" s="1" t="str">
        <f>"20250701"</f>
        <v>20250701</v>
      </c>
      <c r="E2050" s="1" t="str">
        <f>"华北水利水电大学"</f>
        <v>华北水利水电大学</v>
      </c>
      <c r="F2050" s="1" t="str">
        <f>"汉语国际教育"</f>
        <v>汉语国际教育</v>
      </c>
      <c r="G2050" s="1" t="str">
        <f>"河南省南阳市内乡县城关镇"</f>
        <v>河南省南阳市内乡县城关镇</v>
      </c>
      <c r="H2050" s="1" t="str">
        <f t="shared" si="1013"/>
        <v>无</v>
      </c>
      <c r="I2050" s="1" t="str">
        <f>"202109-202507于华北水利水电大学外国语学院汉语国际教育专业就读，全日制本科"</f>
        <v>202109-202507于华北水利水电大学外国语学院汉语国际教育专业就读，全日制本科</v>
      </c>
    </row>
    <row r="2051" spans="1:9">
      <c r="A2051" s="1" t="str">
        <f>"41132119990609002X"</f>
        <v>41132119990609002X</v>
      </c>
      <c r="B2051" s="1" t="str">
        <f t="shared" si="1014"/>
        <v>共青团员</v>
      </c>
      <c r="C2051" s="1" t="str">
        <f t="shared" si="1010"/>
        <v>本科</v>
      </c>
      <c r="D2051" s="1" t="str">
        <f>"20210701"</f>
        <v>20210701</v>
      </c>
      <c r="E2051" s="1" t="str">
        <f>"河南科技学院新科学院"</f>
        <v>河南科技学院新科学院</v>
      </c>
      <c r="F2051" s="1" t="str">
        <f>"园林"</f>
        <v>园林</v>
      </c>
      <c r="G2051" s="1" t="str">
        <f>"河南省南阳市桐柏县城关镇"</f>
        <v>河南省南阳市桐柏县城关镇</v>
      </c>
      <c r="H2051" s="1" t="str">
        <f t="shared" si="1013"/>
        <v>无</v>
      </c>
      <c r="I2051" s="1" t="str">
        <f>"201709-202107 河南科技学院新科学院园林专业 就读 全日制"</f>
        <v>201709-202107 河南科技学院新科学院园林专业 就读 全日制</v>
      </c>
    </row>
    <row r="2052" spans="1:9">
      <c r="A2052" s="1" t="str">
        <f>"411327199802134516"</f>
        <v>411327199802134516</v>
      </c>
      <c r="B2052" s="1" t="str">
        <f t="shared" ref="B2052:B2057" si="1015">"群众"</f>
        <v>群众</v>
      </c>
      <c r="C2052" s="1" t="str">
        <f t="shared" si="1010"/>
        <v>本科</v>
      </c>
      <c r="D2052" s="1" t="str">
        <f>"2020.06"</f>
        <v>2020.06</v>
      </c>
      <c r="E2052" s="1" t="str">
        <f>"河南农业大学"</f>
        <v>河南农业大学</v>
      </c>
      <c r="F2052" s="1" t="str">
        <f>"农学（绍骙实验班）"</f>
        <v>农学（绍骙实验班）</v>
      </c>
      <c r="G2052" s="1" t="str">
        <f>"河南省郑州市荥阳市荥密路口二化家属院2号楼"</f>
        <v>河南省郑州市荥阳市荥密路口二化家属院2号楼</v>
      </c>
      <c r="H2052" s="1" t="str">
        <f t="shared" si="1013"/>
        <v>无</v>
      </c>
      <c r="I2052" s="1" t="str">
        <f>"2016.06-2020.06 河南农业大学 农学院 农学专业就读 担任组织委员
2020.07-2024.07 河南豫之星作物保护有限公司  担任吉林城市经理
2024.07-2024.11 河南正大卜蜂食品有限公司  担任南阳城市经理
2024.12-2025.07 河南农园农业发展有限公司  种植管理岗"</f>
        <v>2016.06-2020.06 河南农业大学 农学院 农学专业就读 担任组织委员
2020.07-2024.07 河南豫之星作物保护有限公司  担任吉林城市经理
2024.07-2024.11 河南正大卜蜂食品有限公司  担任南阳城市经理
2024.12-2025.07 河南农园农业发展有限公司  种植管理岗</v>
      </c>
    </row>
    <row r="2053" spans="1:9">
      <c r="A2053" s="1" t="str">
        <f>"411327199806240025"</f>
        <v>411327199806240025</v>
      </c>
      <c r="B2053" s="1" t="str">
        <f>"共青团员"</f>
        <v>共青团员</v>
      </c>
      <c r="C2053" s="1" t="str">
        <f t="shared" si="1010"/>
        <v>本科</v>
      </c>
      <c r="D2053" s="1" t="str">
        <f>"20200701"</f>
        <v>20200701</v>
      </c>
      <c r="E2053" s="1" t="str">
        <f>"南阳师范学院"</f>
        <v>南阳师范学院</v>
      </c>
      <c r="F2053" s="1" t="str">
        <f>"音乐学"</f>
        <v>音乐学</v>
      </c>
      <c r="G2053" s="1" t="str">
        <f>"河南省内乡县城关镇县衙路6号"</f>
        <v>河南省内乡县城关镇县衙路6号</v>
      </c>
      <c r="H2053" s="1" t="str">
        <f>"中小学二级教师"</f>
        <v>中小学二级教师</v>
      </c>
      <c r="I2053" s="1" t="str">
        <f>"201609-202007就读于南阳师范学院音乐学院音乐学专业，是全日制学历；202009-202107就职于内乡县郦都学校；202109至今就职于内乡县灌涨高级中学。"</f>
        <v>201609-202007就读于南阳师范学院音乐学院音乐学专业，是全日制学历；202009-202107就职于内乡县郦都学校；202109至今就职于内乡县灌涨高级中学。</v>
      </c>
    </row>
    <row r="2054" spans="1:9">
      <c r="A2054" s="1" t="str">
        <f>"410526199908030081"</f>
        <v>410526199908030081</v>
      </c>
      <c r="B2054" s="1" t="str">
        <f t="shared" si="1015"/>
        <v>群众</v>
      </c>
      <c r="C2054" s="1" t="str">
        <f t="shared" si="1010"/>
        <v>本科</v>
      </c>
      <c r="D2054" s="1" t="str">
        <f>"20220701"</f>
        <v>20220701</v>
      </c>
      <c r="E2054" s="1" t="str">
        <f>"郑州工商学院"</f>
        <v>郑州工商学院</v>
      </c>
      <c r="F2054" s="1" t="str">
        <f>"国际经济与贸易"</f>
        <v>国际经济与贸易</v>
      </c>
      <c r="G2054" s="1" t="str">
        <f>"河南省安阳市滑县半坡店乡"</f>
        <v>河南省安阳市滑县半坡店乡</v>
      </c>
      <c r="H2054" s="1" t="str">
        <f t="shared" ref="H2054:H2057" si="1016">"无"</f>
        <v>无</v>
      </c>
      <c r="I2054" s="1" t="str">
        <f>"20180901-20220701 郑州工商学院商学院国际经济与贸易就读，是全日制学历  20220701-至今  无"</f>
        <v>20180901-20220701 郑州工商学院商学院国际经济与贸易就读，是全日制学历  20220701-至今  无</v>
      </c>
    </row>
    <row r="2055" spans="1:9">
      <c r="A2055" s="1" t="str">
        <f>"411327199403160311"</f>
        <v>411327199403160311</v>
      </c>
      <c r="B2055" s="1" t="str">
        <f>"中共党员"</f>
        <v>中共党员</v>
      </c>
      <c r="C2055" s="1" t="str">
        <f>"专科"</f>
        <v>专科</v>
      </c>
      <c r="D2055" s="1" t="str">
        <f>"2015-06-30"</f>
        <v>2015-06-30</v>
      </c>
      <c r="E2055" s="1" t="str">
        <f>"武警指挥学院"</f>
        <v>武警指挥学院</v>
      </c>
      <c r="F2055" s="1" t="str">
        <f>"法学"</f>
        <v>法学</v>
      </c>
      <c r="G2055" s="1" t="str">
        <f>"内乡县城关镇财富广场"</f>
        <v>内乡县城关镇财富广场</v>
      </c>
      <c r="H2055" s="1" t="str">
        <f t="shared" si="1016"/>
        <v>无</v>
      </c>
      <c r="I2055" s="1" t="str">
        <f>"2010.12-2022.12  中国人民武装警察部队湖南省总队服役
（期间：2012.09-2015.6.30  取得武警指挥学院法学专业专科学历；2019.03-2021.06 取得南华大学人力资源管理专业本科学历）
2023.01-2023.09  转业待安置
2023.09至今  河南内乡宝天曼国家级自然保护区管理局职工"</f>
        <v>2010.12-2022.12  中国人民武装警察部队湖南省总队服役
（期间：2012.09-2015.6.30  取得武警指挥学院法学专业专科学历；2019.03-2021.06 取得南华大学人力资源管理专业本科学历）
2023.01-2023.09  转业待安置
2023.09至今  河南内乡宝天曼国家级自然保护区管理局职工</v>
      </c>
    </row>
    <row r="2056" spans="1:9">
      <c r="A2056" s="1" t="str">
        <f>"411303200212180277"</f>
        <v>411303200212180277</v>
      </c>
      <c r="B2056" s="1" t="str">
        <f>"中共预备党员"</f>
        <v>中共预备党员</v>
      </c>
      <c r="C2056" s="1" t="str">
        <f t="shared" ref="C2056:C2060" si="1017">"本科"</f>
        <v>本科</v>
      </c>
      <c r="D2056" s="1" t="str">
        <f>"2025-06-01"</f>
        <v>2025-06-01</v>
      </c>
      <c r="E2056" s="1" t="str">
        <f>"郑州师范学院"</f>
        <v>郑州师范学院</v>
      </c>
      <c r="F2056" s="1" t="str">
        <f>"视觉传达设计"</f>
        <v>视觉传达设计</v>
      </c>
      <c r="G2056" s="1" t="str">
        <f>"河南省南阳市宛城区新华东路中奇花园"</f>
        <v>河南省南阳市宛城区新华东路中奇花园</v>
      </c>
      <c r="H2056" s="1" t="str">
        <f t="shared" si="1016"/>
        <v>无</v>
      </c>
      <c r="I2056" s="1" t="str">
        <f>"202109-202506 在郑州师范学院美术学院视觉传达设计专业就读，为全日制本科学历，毕业后在河南省南阳市宛城区待业"</f>
        <v>202109-202506 在郑州师范学院美术学院视觉传达设计专业就读，为全日制本科学历，毕业后在河南省南阳市宛城区待业</v>
      </c>
    </row>
    <row r="2057" spans="1:9">
      <c r="A2057" s="1" t="str">
        <f>"411381199903053916"</f>
        <v>411381199903053916</v>
      </c>
      <c r="B2057" s="1" t="str">
        <f t="shared" si="1015"/>
        <v>群众</v>
      </c>
      <c r="C2057" s="1" t="str">
        <f t="shared" si="1017"/>
        <v>本科</v>
      </c>
      <c r="D2057" s="1" t="str">
        <f>"20240618"</f>
        <v>20240618</v>
      </c>
      <c r="E2057" s="1" t="str">
        <f>"郑州工业应用技术学院"</f>
        <v>郑州工业应用技术学院</v>
      </c>
      <c r="F2057" s="1" t="str">
        <f>"药学"</f>
        <v>药学</v>
      </c>
      <c r="G2057" s="1" t="str">
        <f>"河南省邓州市"</f>
        <v>河南省邓州市</v>
      </c>
      <c r="H2057" s="1" t="str">
        <f t="shared" si="1016"/>
        <v>无</v>
      </c>
      <c r="I2057" s="1" t="str">
        <f>"201909-202207 南阳医学高等专科学校  药学院药学专业就读，全日制学历；
202209-202406 郑州工业应用技术学院  药学与化学工程学院药学专业就读，全日制学历。"</f>
        <v>201909-202207 南阳医学高等专科学校  药学院药学专业就读，全日制学历；
202209-202406 郑州工业应用技术学院  药学与化学工程学院药学专业就读，全日制学历。</v>
      </c>
    </row>
    <row r="2058" spans="1:9">
      <c r="A2058" s="1" t="str">
        <f>"411327200203230026"</f>
        <v>411327200203230026</v>
      </c>
      <c r="B2058" s="1" t="str">
        <f>"共青团员"</f>
        <v>共青团员</v>
      </c>
      <c r="C2058" s="1" t="str">
        <f t="shared" si="1017"/>
        <v>本科</v>
      </c>
      <c r="D2058" s="1" t="str">
        <f>"20250701"</f>
        <v>20250701</v>
      </c>
      <c r="E2058" s="1" t="str">
        <f>"郑州升达经贸管理学院"</f>
        <v>郑州升达经贸管理学院</v>
      </c>
      <c r="F2058" s="1" t="str">
        <f>"会计学"</f>
        <v>会计学</v>
      </c>
      <c r="G2058" s="1" t="str">
        <f>"内乡县城关镇县衙路88号"</f>
        <v>内乡县城关镇县衙路88号</v>
      </c>
      <c r="H2058" s="1" t="str">
        <f>"初级会计职称资格证书"</f>
        <v>初级会计职称资格证书</v>
      </c>
      <c r="I2058" s="1" t="str">
        <f>"202109-202506 郑州升达经贸管理学院会计学院会计学专业就读，全日制学历"</f>
        <v>202109-202506 郑州升达经贸管理学院会计学院会计学专业就读，全日制学历</v>
      </c>
    </row>
    <row r="2059" spans="1:9">
      <c r="A2059" s="1" t="str">
        <f>"411303199310122112"</f>
        <v>411303199310122112</v>
      </c>
      <c r="B2059" s="1" t="str">
        <f>"群众"</f>
        <v>群众</v>
      </c>
      <c r="C2059" s="1" t="str">
        <f t="shared" si="1017"/>
        <v>本科</v>
      </c>
      <c r="D2059" s="1" t="str">
        <f>"2016.06"</f>
        <v>2016.06</v>
      </c>
      <c r="E2059" s="1" t="str">
        <f>"南阳师范学院"</f>
        <v>南阳师范学院</v>
      </c>
      <c r="F2059" s="1" t="str">
        <f>"软件工程"</f>
        <v>软件工程</v>
      </c>
      <c r="G2059" s="1" t="str">
        <f>"河南省南阳市卧龙区十里铺小区3单元401"</f>
        <v>河南省南阳市卧龙区十里铺小区3单元401</v>
      </c>
      <c r="H2059" s="1" t="str">
        <f t="shared" ref="H2059:H2073" si="1018">"无"</f>
        <v>无</v>
      </c>
      <c r="I2059" s="1" t="str">
        <f>"2012.09-2016.06  南阳师范学院  计算机与信息技术学院 软件工程专业   全日制本科"</f>
        <v>2012.09-2016.06  南阳师范学院  计算机与信息技术学院 软件工程专业   全日制本科</v>
      </c>
    </row>
    <row r="2060" spans="1:9">
      <c r="A2060" s="1" t="str">
        <f>"411327200212113120"</f>
        <v>411327200212113120</v>
      </c>
      <c r="B2060" s="1" t="str">
        <f>"共青团员"</f>
        <v>共青团员</v>
      </c>
      <c r="C2060" s="1" t="str">
        <f t="shared" si="1017"/>
        <v>本科</v>
      </c>
      <c r="D2060" s="1" t="str">
        <f>"20240614"</f>
        <v>20240614</v>
      </c>
      <c r="E2060" s="1" t="str">
        <f>"西南民族大学"</f>
        <v>西南民族大学</v>
      </c>
      <c r="F2060" s="1" t="str">
        <f>"法学"</f>
        <v>法学</v>
      </c>
      <c r="G2060" s="1" t="str">
        <f>"四川省成都市双流区城南春天"</f>
        <v>四川省成都市双流区城南春天</v>
      </c>
      <c r="H2060" s="1" t="str">
        <f t="shared" si="1018"/>
        <v>无</v>
      </c>
      <c r="I2060" s="1" t="str">
        <f>"20201001-20240614西南民族大学就读"</f>
        <v>20201001-20240614西南民族大学就读</v>
      </c>
    </row>
    <row r="2061" spans="1:9">
      <c r="A2061" s="1" t="str">
        <f>"410881200012048568"</f>
        <v>410881200012048568</v>
      </c>
      <c r="B2061" s="1" t="str">
        <f>"中共党员"</f>
        <v>中共党员</v>
      </c>
      <c r="C2061" s="1" t="str">
        <f>"专科"</f>
        <v>专科</v>
      </c>
      <c r="D2061" s="1" t="str">
        <f>"20220701"</f>
        <v>20220701</v>
      </c>
      <c r="E2061" s="1" t="str">
        <f>"黄河水利职业技术"</f>
        <v>黄河水利职业技术</v>
      </c>
      <c r="F2061" s="1" t="str">
        <f>"地下与隧道工程技术"</f>
        <v>地下与隧道工程技术</v>
      </c>
      <c r="G2061" s="1" t="str">
        <f>"河南省济源市北海健康街38号"</f>
        <v>河南省济源市北海健康街38号</v>
      </c>
      <c r="H2061" s="1" t="str">
        <f t="shared" si="1018"/>
        <v>无</v>
      </c>
      <c r="I2061" s="1" t="str">
        <f>"201909-202207黄河水利职业技术学院土木工程学院地下与隧道工程技术就读是全日制学历
202207-至今待业"</f>
        <v>201909-202207黄河水利职业技术学院土木工程学院地下与隧道工程技术就读是全日制学历
202207-至今待业</v>
      </c>
    </row>
    <row r="2062" spans="1:9">
      <c r="A2062" s="1" t="str">
        <f>"411327199410072563"</f>
        <v>411327199410072563</v>
      </c>
      <c r="B2062" s="1" t="str">
        <f>"群众"</f>
        <v>群众</v>
      </c>
      <c r="C2062" s="1" t="str">
        <f t="shared" ref="C2062:C2065" si="1019">"本科"</f>
        <v>本科</v>
      </c>
      <c r="D2062" s="1" t="str">
        <f>"20170701"</f>
        <v>20170701</v>
      </c>
      <c r="E2062" s="1" t="str">
        <f>"安阳师范学院人文管理学院"</f>
        <v>安阳师范学院人文管理学院</v>
      </c>
      <c r="F2062" s="1" t="str">
        <f>"金融学"</f>
        <v>金融学</v>
      </c>
      <c r="G2062" s="1" t="str">
        <f>"河南省南阳市内乡县王店镇"</f>
        <v>河南省南阳市内乡县王店镇</v>
      </c>
      <c r="H2062" s="1" t="str">
        <f t="shared" si="1018"/>
        <v>无</v>
      </c>
      <c r="I2062" s="1" t="str">
        <f>"201309-201707 在安阳师范学院人文管理学院 金融学专业就读，全日制学历：201609-202101  在郑州华之悦汽车用品有限公司就职；202102-202204  在家待业；202205-至今  在内乡县马山口镇财政所就职"</f>
        <v>201309-201707 在安阳师范学院人文管理学院 金融学专业就读，全日制学历：201609-202101  在郑州华之悦汽车用品有限公司就职；202102-202204  在家待业；202205-至今  在内乡县马山口镇财政所就职</v>
      </c>
    </row>
    <row r="2063" spans="1:9">
      <c r="A2063" s="1" t="str">
        <f>"411324200012180012"</f>
        <v>411324200012180012</v>
      </c>
      <c r="B2063" s="1" t="str">
        <f>"中共党员"</f>
        <v>中共党员</v>
      </c>
      <c r="C2063" s="1" t="str">
        <f t="shared" si="1019"/>
        <v>本科</v>
      </c>
      <c r="D2063" s="1" t="str">
        <f>"20220701"</f>
        <v>20220701</v>
      </c>
      <c r="E2063" s="1" t="str">
        <f>"南阳师范学院"</f>
        <v>南阳师范学院</v>
      </c>
      <c r="F2063" s="1" t="str">
        <f>"视觉传达设计"</f>
        <v>视觉传达设计</v>
      </c>
      <c r="G2063" s="1" t="str">
        <f>"南阳市镇平县南环路税务局后"</f>
        <v>南阳市镇平县南环路税务局后</v>
      </c>
      <c r="H2063" s="1" t="str">
        <f t="shared" si="1018"/>
        <v>无</v>
      </c>
      <c r="I2063" s="1" t="str">
        <f>"201809-202207 南阳师范学院美术与艺术设计学院视觉传达设计专业就读全日制本科"</f>
        <v>201809-202207 南阳师范学院美术与艺术设计学院视觉传达设计专业就读全日制本科</v>
      </c>
    </row>
    <row r="2064" spans="1:9">
      <c r="A2064" s="1" t="str">
        <f>"411327200209071521"</f>
        <v>411327200209071521</v>
      </c>
      <c r="B2064" s="1" t="str">
        <f>"共青团员"</f>
        <v>共青团员</v>
      </c>
      <c r="C2064" s="1" t="str">
        <f t="shared" si="1019"/>
        <v>本科</v>
      </c>
      <c r="D2064" s="1" t="str">
        <f>"20250615"</f>
        <v>20250615</v>
      </c>
      <c r="E2064" s="1" t="str">
        <f>"河南理工大学"</f>
        <v>河南理工大学</v>
      </c>
      <c r="F2064" s="1" t="str">
        <f>"数学与应用数学"</f>
        <v>数学与应用数学</v>
      </c>
      <c r="G2064" s="1" t="str">
        <f>"河南省南阳市内乡县湍东镇北符营村"</f>
        <v>河南省南阳市内乡县湍东镇北符营村</v>
      </c>
      <c r="H2064" s="1" t="str">
        <f t="shared" si="1018"/>
        <v>无</v>
      </c>
      <c r="I2064" s="1" t="str">
        <f>"202109-202506  在河南理工大学数学与信息科学学院数学与应用数学专业就读，全日制学历；
202507-至今 在河南理工大学数学与信息科学学院从事科研助理工作"</f>
        <v>202109-202506  在河南理工大学数学与信息科学学院数学与应用数学专业就读，全日制学历；
202507-至今 在河南理工大学数学与信息科学学院从事科研助理工作</v>
      </c>
    </row>
    <row r="2065" spans="1:9">
      <c r="A2065" s="1" t="str">
        <f>"411327199810093320"</f>
        <v>411327199810093320</v>
      </c>
      <c r="B2065" s="1" t="str">
        <f>"中共预备党员"</f>
        <v>中共预备党员</v>
      </c>
      <c r="C2065" s="1" t="str">
        <f t="shared" si="1019"/>
        <v>本科</v>
      </c>
      <c r="D2065" s="1" t="str">
        <f t="shared" ref="D2065:D2070" si="1020">"20210701"</f>
        <v>20210701</v>
      </c>
      <c r="E2065" s="1" t="str">
        <f>"信阳学院"</f>
        <v>信阳学院</v>
      </c>
      <c r="F2065" s="1" t="str">
        <f>"汉语言文学"</f>
        <v>汉语言文学</v>
      </c>
      <c r="G2065" s="1" t="str">
        <f>"内乡县七里坪乡蚌峪村"</f>
        <v>内乡县七里坪乡蚌峪村</v>
      </c>
      <c r="H2065" s="1" t="str">
        <f t="shared" si="1018"/>
        <v>无</v>
      </c>
      <c r="I2065" s="1" t="str">
        <f>"201709-202107信阳学院汉语言文学就读   全日制本科
202109-202307内乡郦都学校教师
202307-202407在家待业
202408-202412尼莫儿童成长中心前台
202501-202506内乡正威物流 文员"</f>
        <v>201709-202107信阳学院汉语言文学就读   全日制本科
202109-202307内乡郦都学校教师
202307-202407在家待业
202408-202412尼莫儿童成长中心前台
202501-202506内乡正威物流 文员</v>
      </c>
    </row>
    <row r="2066" spans="1:9">
      <c r="A2066" s="1" t="str">
        <f>"411303199912191019"</f>
        <v>411303199912191019</v>
      </c>
      <c r="B2066" s="1" t="str">
        <f t="shared" ref="B2066:B2072" si="1021">"群众"</f>
        <v>群众</v>
      </c>
      <c r="C2066" s="1" t="str">
        <f>"专科"</f>
        <v>专科</v>
      </c>
      <c r="D2066" s="1" t="str">
        <f>"202107"</f>
        <v>202107</v>
      </c>
      <c r="E2066" s="1" t="str">
        <f>"郑州工商学院"</f>
        <v>郑州工商学院</v>
      </c>
      <c r="F2066" s="1" t="str">
        <f>"电子商务"</f>
        <v>电子商务</v>
      </c>
      <c r="G2066" s="1" t="str">
        <f>"河南省南阳市卧龙区盛世龙源西区13栋804"</f>
        <v>河南省南阳市卧龙区盛世龙源西区13栋804</v>
      </c>
      <c r="H2066" s="1" t="str">
        <f t="shared" si="1018"/>
        <v>无</v>
      </c>
      <c r="I2066" s="1" t="str">
        <f>"2018.09-2021.07 郑州工商学院商学院电子商务专业就读 全日制专科学历
2021.07-2021.12 待业
2021.12-               河南省南阳市卧龙区公安分局辅警
"</f>
        <v>2018.09-2021.07 郑州工商学院商学院电子商务专业就读 全日制专科学历
2021.07-2021.12 待业
2021.12-               河南省南阳市卧龙区公安分局辅警
</v>
      </c>
    </row>
    <row r="2067" spans="1:9">
      <c r="A2067" s="1" t="str">
        <f>"411303199812311829"</f>
        <v>411303199812311829</v>
      </c>
      <c r="B2067" s="1" t="str">
        <f>"共青团员"</f>
        <v>共青团员</v>
      </c>
      <c r="C2067" s="1" t="str">
        <f t="shared" ref="C2067:C2073" si="1022">"本科"</f>
        <v>本科</v>
      </c>
      <c r="D2067" s="1" t="str">
        <f t="shared" si="1020"/>
        <v>20210701</v>
      </c>
      <c r="E2067" s="1" t="str">
        <f>"河南师范大学新联学院"</f>
        <v>河南师范大学新联学院</v>
      </c>
      <c r="F2067" s="1" t="str">
        <f>"酒店管理"</f>
        <v>酒店管理</v>
      </c>
      <c r="G2067" s="1" t="str">
        <f>"河南省南阳市卧龙区麒麟路水里物资站住宅小区"</f>
        <v>河南省南阳市卧龙区麒麟路水里物资站住宅小区</v>
      </c>
      <c r="H2067" s="1" t="str">
        <f t="shared" si="1018"/>
        <v>无</v>
      </c>
      <c r="I2067" s="1" t="str">
        <f>"201609-201907  濮阳职业技术学院 就读
201909-202107  河南师范大学新联学院 就读"</f>
        <v>201609-201907  濮阳职业技术学院 就读
201909-202107  河南师范大学新联学院 就读</v>
      </c>
    </row>
    <row r="2068" spans="1:9">
      <c r="A2068" s="1" t="str">
        <f>"411327200302160326"</f>
        <v>411327200302160326</v>
      </c>
      <c r="B2068" s="1" t="str">
        <f>"中共党员"</f>
        <v>中共党员</v>
      </c>
      <c r="C2068" s="1" t="str">
        <f t="shared" si="1022"/>
        <v>本科</v>
      </c>
      <c r="D2068" s="1" t="str">
        <f>"20250630"</f>
        <v>20250630</v>
      </c>
      <c r="E2068" s="1" t="str">
        <f>"广州城市理工学院"</f>
        <v>广州城市理工学院</v>
      </c>
      <c r="F2068" s="1" t="str">
        <f>"税收学"</f>
        <v>税收学</v>
      </c>
      <c r="G2068" s="1" t="str">
        <f>"河南省南阳市内乡县大桥乡郭河村"</f>
        <v>河南省南阳市内乡县大桥乡郭河村</v>
      </c>
      <c r="H2068" s="1" t="str">
        <f t="shared" si="1018"/>
        <v>无</v>
      </c>
      <c r="I2068" s="1" t="str">
        <f>"202109-202506在广州城市理工学院经济学院税收学专业就读；
201809-202106在内乡县高级中学就读；
201509-201806在内乡县初级中学就读；
200909-201506在内乡县第二小学就读。"</f>
        <v>202109-202506在广州城市理工学院经济学院税收学专业就读；
201809-202106在内乡县高级中学就读；
201509-201806在内乡县初级中学就读；
200909-201506在内乡县第二小学就读。</v>
      </c>
    </row>
    <row r="2069" spans="1:9">
      <c r="A2069" s="1" t="str">
        <f>"410223200311235084"</f>
        <v>410223200311235084</v>
      </c>
      <c r="B2069" s="1" t="str">
        <f t="shared" si="1021"/>
        <v>群众</v>
      </c>
      <c r="C2069" s="1" t="str">
        <f>"专科"</f>
        <v>专科</v>
      </c>
      <c r="D2069" s="1" t="str">
        <f>"20240701"</f>
        <v>20240701</v>
      </c>
      <c r="E2069" s="1" t="str">
        <f>"重庆工商职业学院"</f>
        <v>重庆工商职业学院</v>
      </c>
      <c r="F2069" s="1" t="str">
        <f>"环境艺术设计"</f>
        <v>环境艺术设计</v>
      </c>
      <c r="G2069" s="1" t="str">
        <f>"河南省开封市尉氏县门楼任乡"</f>
        <v>河南省开封市尉氏县门楼任乡</v>
      </c>
      <c r="H2069" s="1" t="str">
        <f t="shared" si="1018"/>
        <v>无</v>
      </c>
      <c r="I2069" s="1" t="str">
        <f>"202109-202407重庆工商职业学院环境艺术设计就读，全日制学历，202408至今尉氏县昱华高级中学任职美术教师。"</f>
        <v>202109-202407重庆工商职业学院环境艺术设计就读，全日制学历，202408至今尉氏县昱华高级中学任职美术教师。</v>
      </c>
    </row>
    <row r="2070" spans="1:9">
      <c r="A2070" s="1" t="str">
        <f>"411303199911306742"</f>
        <v>411303199911306742</v>
      </c>
      <c r="B2070" s="1" t="str">
        <f t="shared" si="1021"/>
        <v>群众</v>
      </c>
      <c r="C2070" s="1" t="str">
        <f t="shared" si="1022"/>
        <v>本科</v>
      </c>
      <c r="D2070" s="1" t="str">
        <f t="shared" si="1020"/>
        <v>20210701</v>
      </c>
      <c r="E2070" s="1" t="str">
        <f>"河南科技学院"</f>
        <v>河南科技学院</v>
      </c>
      <c r="F2070" s="1" t="str">
        <f>"园艺"</f>
        <v>园艺</v>
      </c>
      <c r="G2070" s="1" t="str">
        <f>"河南省南阳市卧龙区安皋镇杨庄村"</f>
        <v>河南省南阳市卧龙区安皋镇杨庄村</v>
      </c>
      <c r="H2070" s="1" t="str">
        <f t="shared" si="1018"/>
        <v>无</v>
      </c>
      <c r="I2070" s="1" t="str">
        <f>"201709-202107 河南科技学院园艺园林学院园艺专业 就读 全日制
202107-202208 牧原肉食品有限公司 就职
202208-202304 河南省南阳市卧龙区安皋镇杨庄村 待业
202304-202507 南阳市公安局看护管理支队 就职（劳务派遣）"</f>
        <v>201709-202107 河南科技学院园艺园林学院园艺专业 就读 全日制
202107-202208 牧原肉食品有限公司 就职
202208-202304 河南省南阳市卧龙区安皋镇杨庄村 待业
202304-202507 南阳市公安局看护管理支队 就职（劳务派遣）</v>
      </c>
    </row>
    <row r="2071" spans="1:9">
      <c r="A2071" s="1" t="str">
        <f>"41132520011214068X"</f>
        <v>41132520011214068X</v>
      </c>
      <c r="B2071" s="1" t="str">
        <f t="shared" si="1021"/>
        <v>群众</v>
      </c>
      <c r="C2071" s="1" t="str">
        <f t="shared" si="1022"/>
        <v>本科</v>
      </c>
      <c r="D2071" s="1" t="str">
        <f>"20240607"</f>
        <v>20240607</v>
      </c>
      <c r="E2071" s="1" t="str">
        <f>"河南工程学院"</f>
        <v>河南工程学院</v>
      </c>
      <c r="F2071" s="1" t="str">
        <f>"财务管理"</f>
        <v>财务管理</v>
      </c>
      <c r="G2071" s="1" t="str">
        <f>"河南省南阳市内乡县马山口镇滨河西路"</f>
        <v>河南省南阳市内乡县马山口镇滨河西路</v>
      </c>
      <c r="H2071" s="1" t="str">
        <f t="shared" si="1018"/>
        <v>无</v>
      </c>
      <c r="I2071" s="1" t="str">
        <f>"201909-202206安阳工学院会计学院会计专业就读   全日制学历
202209-202406河南工程学院会计学院财务管理专业就读   全日制学历
202406至今在河南省南阳市内乡县马山口镇待业
"</f>
        <v>201909-202206安阳工学院会计学院会计专业就读   全日制学历
202209-202406河南工程学院会计学院财务管理专业就读   全日制学历
202406至今在河南省南阳市内乡县马山口镇待业
</v>
      </c>
    </row>
    <row r="2072" spans="1:9">
      <c r="A2072" s="1" t="str">
        <f>"411325199712020715"</f>
        <v>411325199712020715</v>
      </c>
      <c r="B2072" s="1" t="str">
        <f t="shared" si="1021"/>
        <v>群众</v>
      </c>
      <c r="C2072" s="1" t="str">
        <f t="shared" si="1022"/>
        <v>本科</v>
      </c>
      <c r="D2072" s="1" t="str">
        <f>"2025.07"</f>
        <v>2025.07</v>
      </c>
      <c r="E2072" s="1" t="str">
        <f>"黄河科技学院"</f>
        <v>黄河科技学院</v>
      </c>
      <c r="F2072" s="1" t="str">
        <f>"工商管理"</f>
        <v>工商管理</v>
      </c>
      <c r="G2072" s="1" t="str">
        <f>"唐河东润百货斜对面无限极"</f>
        <v>唐河东润百货斜对面无限极</v>
      </c>
      <c r="H2072" s="1" t="str">
        <f t="shared" si="1018"/>
        <v>无</v>
      </c>
      <c r="I2072" s="1" t="str">
        <f>"202309-202507黄河科技学院商学部工商管理全日制"</f>
        <v>202309-202507黄河科技学院商学部工商管理全日制</v>
      </c>
    </row>
    <row r="2073" spans="1:9">
      <c r="A2073" s="1" t="str">
        <f>"411330200010221535"</f>
        <v>411330200010221535</v>
      </c>
      <c r="B2073" s="1" t="str">
        <f t="shared" ref="B2073:B2077" si="1023">"共青团员"</f>
        <v>共青团员</v>
      </c>
      <c r="C2073" s="1" t="str">
        <f t="shared" si="1022"/>
        <v>本科</v>
      </c>
      <c r="D2073" s="1" t="str">
        <f>"2025-06-10"</f>
        <v>2025-06-10</v>
      </c>
      <c r="E2073" s="1" t="str">
        <f>"中原科技学院"</f>
        <v>中原科技学院</v>
      </c>
      <c r="F2073" s="1" t="str">
        <f>"土木工程"</f>
        <v>土木工程</v>
      </c>
      <c r="G2073" s="1" t="str">
        <f>"南阳市西峡县电厂路与莲花路沿渠北路3号"</f>
        <v>南阳市西峡县电厂路与莲花路沿渠北路3号</v>
      </c>
      <c r="H2073" s="1" t="str">
        <f t="shared" si="1018"/>
        <v>无</v>
      </c>
      <c r="I2073" s="1" t="str">
        <f>"202010-202306 开封大学 就读
202309-202506 中原科技学院 就读"</f>
        <v>202010-202306 开封大学 就读
202309-202506 中原科技学院 就读</v>
      </c>
    </row>
    <row r="2074" spans="1:9">
      <c r="A2074" s="1" t="str">
        <f>"411330200109231151"</f>
        <v>411330200109231151</v>
      </c>
      <c r="B2074" s="1" t="str">
        <f>"群众"</f>
        <v>群众</v>
      </c>
      <c r="C2074" s="1" t="str">
        <f>"专科"</f>
        <v>专科</v>
      </c>
      <c r="D2074" s="1" t="str">
        <f>"20250701"</f>
        <v>20250701</v>
      </c>
      <c r="E2074" s="1" t="str">
        <f>"郑州电力职业技术学院"</f>
        <v>郑州电力职业技术学院</v>
      </c>
      <c r="F2074" s="1" t="str">
        <f>"机电一体化技术"</f>
        <v>机电一体化技术</v>
      </c>
      <c r="G2074" s="1" t="str">
        <f>"河南省西峡县"</f>
        <v>河南省西峡县</v>
      </c>
      <c r="H2074" s="1" t="str">
        <f>"三级制图师"</f>
        <v>三级制图师</v>
      </c>
      <c r="I2074" s="1" t="str">
        <f>"202009-202307在郑州电力技术学院机电一体化技术专业就读，全日制，202308-202402在家待业，202403-202503在上海阿奇立克日立家用电器有限公司做技术工，202504-至今在家待业"</f>
        <v>202009-202307在郑州电力技术学院机电一体化技术专业就读，全日制，202308-202402在家待业，202403-202503在上海阿奇立克日立家用电器有限公司做技术工，202504-至今在家待业</v>
      </c>
    </row>
    <row r="2075" spans="1:9">
      <c r="A2075" s="1" t="str">
        <f>"411327199806301510"</f>
        <v>411327199806301510</v>
      </c>
      <c r="B2075" s="1" t="str">
        <f>"中共党员"</f>
        <v>中共党员</v>
      </c>
      <c r="C2075" s="1" t="str">
        <f t="shared" ref="C2075:C2079" si="1024">"本科"</f>
        <v>本科</v>
      </c>
      <c r="D2075" s="1" t="str">
        <f>"20220613"</f>
        <v>20220613</v>
      </c>
      <c r="E2075" s="1" t="str">
        <f>"湖南师范大学"</f>
        <v>湖南师范大学</v>
      </c>
      <c r="F2075" s="1" t="str">
        <f>"体育教育"</f>
        <v>体育教育</v>
      </c>
      <c r="G2075" s="1" t="str">
        <f>"河南省南阳市内乡县"</f>
        <v>河南省南阳市内乡县</v>
      </c>
      <c r="H2075" s="1" t="str">
        <f t="shared" ref="H2075:H2084" si="1025">"无"</f>
        <v>无</v>
      </c>
      <c r="I2075" s="1" t="str">
        <f>"201809-202206 湖南师范大学体育学院体育教育专业 就读。全日制学历"</f>
        <v>201809-202206 湖南师范大学体育学院体育教育专业 就读。全日制学历</v>
      </c>
    </row>
    <row r="2076" spans="1:9">
      <c r="A2076" s="1" t="str">
        <f>"410711200001302044"</f>
        <v>410711200001302044</v>
      </c>
      <c r="B2076" s="1" t="str">
        <f t="shared" si="1023"/>
        <v>共青团员</v>
      </c>
      <c r="C2076" s="1" t="str">
        <f>"硕士研究生"</f>
        <v>硕士研究生</v>
      </c>
      <c r="D2076" s="1" t="str">
        <f>"20250611"</f>
        <v>20250611</v>
      </c>
      <c r="E2076" s="1" t="str">
        <f>"新疆大学"</f>
        <v>新疆大学</v>
      </c>
      <c r="F2076" s="1" t="str">
        <f>"社会工作"</f>
        <v>社会工作</v>
      </c>
      <c r="G2076" s="1" t="str">
        <f>"河南省新乡市卫滨区平原镇八里营新村"</f>
        <v>河南省新乡市卫滨区平原镇八里营新村</v>
      </c>
      <c r="H2076" s="1" t="str">
        <f t="shared" si="1025"/>
        <v>无</v>
      </c>
      <c r="I2076" s="1" t="str">
        <f>"201809-202206 中国传媒大学南广学院文化管理学院贸易经济专业就读，全日制本科学历；
202209-202506 新疆大学政治与公共管理(国家安全)学院社会工作专业就读，全日制硕士研究生学历。"</f>
        <v>201809-202206 中国传媒大学南广学院文化管理学院贸易经济专业就读，全日制本科学历；
202209-202506 新疆大学政治与公共管理(国家安全)学院社会工作专业就读，全日制硕士研究生学历。</v>
      </c>
    </row>
    <row r="2077" spans="1:9">
      <c r="A2077" s="1" t="str">
        <f>"412727199012050740"</f>
        <v>412727199012050740</v>
      </c>
      <c r="B2077" s="1" t="str">
        <f t="shared" si="1023"/>
        <v>共青团员</v>
      </c>
      <c r="C2077" s="1" t="str">
        <f t="shared" si="1024"/>
        <v>本科</v>
      </c>
      <c r="D2077" s="1" t="str">
        <f>"2015年7月1日"</f>
        <v>2015年7月1日</v>
      </c>
      <c r="E2077" s="1" t="str">
        <f>"黄河科技学院"</f>
        <v>黄河科技学院</v>
      </c>
      <c r="F2077" s="1" t="str">
        <f>"人力资源管理"</f>
        <v>人力资源管理</v>
      </c>
      <c r="G2077" s="1" t="str">
        <f>"河南郑州金水区名门熙昕苑"</f>
        <v>河南郑州金水区名门熙昕苑</v>
      </c>
      <c r="H2077" s="1" t="str">
        <f t="shared" si="1025"/>
        <v>无</v>
      </c>
      <c r="I2077" s="1" t="str">
        <f>"2011099=201507 黄河科技学院 就读
2015-至今
从事教育行业"</f>
        <v>2011099=201507 黄河科技学院 就读
2015-至今
从事教育行业</v>
      </c>
    </row>
    <row r="2078" spans="1:9">
      <c r="A2078" s="1" t="str">
        <f>"413026199601161517"</f>
        <v>413026199601161517</v>
      </c>
      <c r="B2078" s="1" t="str">
        <f>"中共党员"</f>
        <v>中共党员</v>
      </c>
      <c r="C2078" s="1" t="str">
        <f t="shared" si="1024"/>
        <v>本科</v>
      </c>
      <c r="D2078" s="1" t="str">
        <f>"20180630"</f>
        <v>20180630</v>
      </c>
      <c r="E2078" s="1" t="str">
        <f>"江西师范大学"</f>
        <v>江西师范大学</v>
      </c>
      <c r="F2078" s="1" t="str">
        <f>"工程造价管理"</f>
        <v>工程造价管理</v>
      </c>
      <c r="G2078" s="1" t="str">
        <f>"河南省信阳市固始县外国语中学"</f>
        <v>河南省信阳市固始县外国语中学</v>
      </c>
      <c r="H2078" s="1" t="str">
        <f t="shared" si="1025"/>
        <v>无</v>
      </c>
      <c r="I2078" s="1" t="str">
        <f>"201409-201707江西应用科技学院园林工程技术专业全日制大专
201509-201806江西师范大学工程造价管理专业自考本科
201708-201908待业
201909-202507信阳市固始县信合外国语中学员工"</f>
        <v>201409-201707江西应用科技学院园林工程技术专业全日制大专
201509-201806江西师范大学工程造价管理专业自考本科
201708-201908待业
201909-202507信阳市固始县信合外国语中学员工</v>
      </c>
    </row>
    <row r="2079" spans="1:9">
      <c r="A2079" s="1" t="str">
        <f>"410425200012033515"</f>
        <v>410425200012033515</v>
      </c>
      <c r="B2079" s="1" t="str">
        <f t="shared" ref="B2079:B2082" si="1026">"群众"</f>
        <v>群众</v>
      </c>
      <c r="C2079" s="1" t="str">
        <f t="shared" si="1024"/>
        <v>本科</v>
      </c>
      <c r="D2079" s="1" t="str">
        <f>"20230606"</f>
        <v>20230606</v>
      </c>
      <c r="E2079" s="1" t="str">
        <f>"苏州科技大学天平学院"</f>
        <v>苏州科技大学天平学院</v>
      </c>
      <c r="F2079" s="1" t="str">
        <f>"人文地理与城乡规划"</f>
        <v>人文地理与城乡规划</v>
      </c>
      <c r="G2079" s="1" t="str">
        <f>"广东省深圳市南山区南油龙城花园18"</f>
        <v>广东省深圳市南山区南油龙城花园18</v>
      </c>
      <c r="H2079" s="1" t="str">
        <f t="shared" si="1025"/>
        <v>无</v>
      </c>
      <c r="I2079" s="1" t="str">
        <f>"201909-202306苏州科技大学天平学院就读，环境科学与工程系，人文地理与城乡规划专业，全日制本科
202306-202310无锡经开区公安分局，文职内勤（编外）
202310至今待业"</f>
        <v>201909-202306苏州科技大学天平学院就读，环境科学与工程系，人文地理与城乡规划专业，全日制本科
202306-202310无锡经开区公安分局，文职内勤（编外）
202310至今待业</v>
      </c>
    </row>
    <row r="2080" spans="1:9">
      <c r="A2080" s="1" t="str">
        <f>"41132720030430002X"</f>
        <v>41132720030430002X</v>
      </c>
      <c r="B2080" s="1" t="str">
        <f t="shared" si="1026"/>
        <v>群众</v>
      </c>
      <c r="C2080" s="1" t="str">
        <f>"专科"</f>
        <v>专科</v>
      </c>
      <c r="D2080" s="1" t="str">
        <f>"2024-07-01"</f>
        <v>2024-07-01</v>
      </c>
      <c r="E2080" s="1" t="str">
        <f>"河南物流职业学院"</f>
        <v>河南物流职业学院</v>
      </c>
      <c r="F2080" s="1" t="str">
        <f>"食品智能加工技术专业"</f>
        <v>食品智能加工技术专业</v>
      </c>
      <c r="G2080" s="1" t="str">
        <f>"南阳市内乡县城关镇民政局西"</f>
        <v>南阳市内乡县城关镇民政局西</v>
      </c>
      <c r="H2080" s="1" t="str">
        <f t="shared" si="1025"/>
        <v>无</v>
      </c>
      <c r="I2080" s="1" t="str">
        <f>"2021.09--2024.07 河南物流职业学院管理系食品智能加工技术专业（全日制）
2024.07--至今          河南省南阳市内乡县财政局上班（政府购岗）"</f>
        <v>2021.09--2024.07 河南物流职业学院管理系食品智能加工技术专业（全日制）
2024.07--至今          河南省南阳市内乡县财政局上班（政府购岗）</v>
      </c>
    </row>
    <row r="2081" spans="1:9">
      <c r="A2081" s="1" t="str">
        <f>"410622200210290055"</f>
        <v>410622200210290055</v>
      </c>
      <c r="B2081" s="1" t="str">
        <f t="shared" si="1026"/>
        <v>群众</v>
      </c>
      <c r="C2081" s="1" t="str">
        <f t="shared" ref="C2081:C2085" si="1027">"本科"</f>
        <v>本科</v>
      </c>
      <c r="D2081" s="1" t="str">
        <f>"20250701"</f>
        <v>20250701</v>
      </c>
      <c r="E2081" s="1" t="str">
        <f>"河南工学院"</f>
        <v>河南工学院</v>
      </c>
      <c r="F2081" s="1" t="str">
        <f>"物联网工程"</f>
        <v>物联网工程</v>
      </c>
      <c r="G2081" s="1" t="str">
        <f>"河南省淇县"</f>
        <v>河南省淇县</v>
      </c>
      <c r="H2081" s="1" t="str">
        <f t="shared" si="1025"/>
        <v>无</v>
      </c>
      <c r="I2081" s="1" t="str">
        <f>"202109-202507 河南工学院计算机科学与技术学院就读，为全日制本科"</f>
        <v>202109-202507 河南工学院计算机科学与技术学院就读，为全日制本科</v>
      </c>
    </row>
    <row r="2082" spans="1:9">
      <c r="A2082" s="1" t="str">
        <f>"411327199708171564"</f>
        <v>411327199708171564</v>
      </c>
      <c r="B2082" s="1" t="str">
        <f t="shared" si="1026"/>
        <v>群众</v>
      </c>
      <c r="C2082" s="1" t="str">
        <f>"硕士研究生"</f>
        <v>硕士研究生</v>
      </c>
      <c r="D2082" s="1" t="str">
        <f>"20230619"</f>
        <v>20230619</v>
      </c>
      <c r="E2082" s="1" t="str">
        <f>"河南农业大学"</f>
        <v>河南农业大学</v>
      </c>
      <c r="F2082" s="1" t="str">
        <f>"农艺与种业"</f>
        <v>农艺与种业</v>
      </c>
      <c r="G2082" s="1" t="str">
        <f>"河南省内乡县城关镇新星小区"</f>
        <v>河南省内乡县城关镇新星小区</v>
      </c>
      <c r="H2082" s="1" t="str">
        <f t="shared" si="1025"/>
        <v>无</v>
      </c>
      <c r="I2082" s="1" t="str">
        <f>"201609-202006 河南农业大学就读园艺技术与工程专业，本科全日制学历；202009-202306 河南农业大学就读农艺与种业，硕士全日制学历。"</f>
        <v>201609-202006 河南农业大学就读园艺技术与工程专业，本科全日制学历；202009-202306 河南农业大学就读农艺与种业，硕士全日制学历。</v>
      </c>
    </row>
    <row r="2083" spans="1:9">
      <c r="A2083" s="1" t="str">
        <f>"411327199212290017"</f>
        <v>411327199212290017</v>
      </c>
      <c r="B2083" s="1" t="str">
        <f t="shared" ref="B2083:B2088" si="1028">"中共党员"</f>
        <v>中共党员</v>
      </c>
      <c r="C2083" s="1" t="str">
        <f t="shared" si="1027"/>
        <v>本科</v>
      </c>
      <c r="D2083" s="1" t="str">
        <f>"2013.07"</f>
        <v>2013.07</v>
      </c>
      <c r="E2083" s="1" t="str">
        <f>"郑州科技学院"</f>
        <v>郑州科技学院</v>
      </c>
      <c r="F2083" s="1" t="str">
        <f>"艺术设计"</f>
        <v>艺术设计</v>
      </c>
      <c r="G2083" s="1" t="str">
        <f>"内乡县城关镇宏达南路十七巷"</f>
        <v>内乡县城关镇宏达南路十七巷</v>
      </c>
      <c r="H2083" s="1" t="str">
        <f t="shared" si="1025"/>
        <v>无</v>
      </c>
      <c r="I2083" s="1" t="str">
        <f>"2005年9月——2009年6月，在内乡县高中学习
2009年9月——2013年7月，在郑州科技学院学习
2013年8月——2016年1月，在郑煤集团工作
2016年2月——2025年5月，从事网店经营工作"</f>
        <v>2005年9月——2009年6月，在内乡县高中学习
2009年9月——2013年7月，在郑州科技学院学习
2013年8月——2016年1月，在郑煤集团工作
2016年2月——2025年5月，从事网店经营工作</v>
      </c>
    </row>
    <row r="2084" spans="1:9">
      <c r="A2084" s="1" t="str">
        <f>"411302199403130027"</f>
        <v>411302199403130027</v>
      </c>
      <c r="B2084" s="1" t="str">
        <f t="shared" si="1028"/>
        <v>中共党员</v>
      </c>
      <c r="C2084" s="1" t="str">
        <f t="shared" si="1027"/>
        <v>本科</v>
      </c>
      <c r="D2084" s="1" t="str">
        <f>"20160607"</f>
        <v>20160607</v>
      </c>
      <c r="E2084" s="1" t="str">
        <f>"南阳师范学院"</f>
        <v>南阳师范学院</v>
      </c>
      <c r="F2084" s="1" t="str">
        <f>"音乐表演"</f>
        <v>音乐表演</v>
      </c>
      <c r="G2084" s="1" t="str">
        <f>"南阳市宛城区张衡路美丽之都"</f>
        <v>南阳市宛城区张衡路美丽之都</v>
      </c>
      <c r="H2084" s="1" t="str">
        <f t="shared" si="1025"/>
        <v>无</v>
      </c>
      <c r="I2084" s="1" t="str">
        <f>"201209-201606 南阳师范学院音乐学院 音乐表演专业就读 全日制学历
201607-201712 在南阳市十四小担任代课教师
201801-202012  在南阳市国土资源局任职公益岗
"</f>
        <v>201209-201606 南阳师范学院音乐学院 音乐表演专业就读 全日制学历
201607-201712 在南阳市十四小担任代课教师
201801-202012  在南阳市国土资源局任职公益岗
</v>
      </c>
    </row>
    <row r="2085" spans="1:9">
      <c r="A2085" s="1" t="str">
        <f>"411330199004195128"</f>
        <v>411330199004195128</v>
      </c>
      <c r="B2085" s="1" t="str">
        <f t="shared" ref="B2085:B2089" si="1029">"共青团员"</f>
        <v>共青团员</v>
      </c>
      <c r="C2085" s="1" t="str">
        <f t="shared" si="1027"/>
        <v>本科</v>
      </c>
      <c r="D2085" s="1" t="str">
        <f>"20200701"</f>
        <v>20200701</v>
      </c>
      <c r="E2085" s="1" t="str">
        <f>"南阳师范学院"</f>
        <v>南阳师范学院</v>
      </c>
      <c r="F2085" s="1" t="str">
        <f>"汉语言文学"</f>
        <v>汉语言文学</v>
      </c>
      <c r="G2085" s="1" t="str">
        <f>"河南省南阳市西峡县紫金北路仁颐嘉苑"</f>
        <v>河南省南阳市西峡县紫金北路仁颐嘉苑</v>
      </c>
      <c r="H2085" s="1" t="str">
        <f>"执业药师"</f>
        <v>执业药师</v>
      </c>
      <c r="I2085" s="1" t="str">
        <f>"201803-202007 南阳师范学院继续教育学院汉语言文学专业就读 否全日制
202007-202102 宛西育才实验学校 任教七年级数学
202102-202503 西峡静安医院 门诊药房 药品调剂员
202503-至今      西峡县百草园大药房有限公司 执业药师"</f>
        <v>201803-202007 南阳师范学院继续教育学院汉语言文学专业就读 否全日制
202007-202102 宛西育才实验学校 任教七年级数学
202102-202503 西峡静安医院 门诊药房 药品调剂员
202503-至今      西峡县百草园大药房有限公司 执业药师</v>
      </c>
    </row>
    <row r="2086" spans="1:9">
      <c r="A2086" s="1" t="str">
        <f>"412723199812167757"</f>
        <v>412723199812167757</v>
      </c>
      <c r="B2086" s="1" t="str">
        <f t="shared" ref="B2086:B2091" si="1030">"群众"</f>
        <v>群众</v>
      </c>
      <c r="C2086" s="1" t="str">
        <f>"专科"</f>
        <v>专科</v>
      </c>
      <c r="D2086" s="1" t="str">
        <f>"20190701"</f>
        <v>20190701</v>
      </c>
      <c r="E2086" s="1" t="str">
        <f>"河南牧业经济学院"</f>
        <v>河南牧业经济学院</v>
      </c>
      <c r="F2086" s="1" t="str">
        <f>"电子信息工程技术"</f>
        <v>电子信息工程技术</v>
      </c>
      <c r="G2086" s="1" t="str">
        <f>"河南省周口市商水县"</f>
        <v>河南省周口市商水县</v>
      </c>
      <c r="H2086" s="1" t="str">
        <f t="shared" ref="H2086:H2089" si="1031">"无"</f>
        <v>无</v>
      </c>
      <c r="I2086" s="1" t="str">
        <f>"201209-201606 商水一高
201609-201906 河南牧业经济学院 信息与电子工程学院 电子信息工程技术
201909-202409 陆军第74集团军
202409-至今 待业
"</f>
        <v>201209-201606 商水一高
201609-201906 河南牧业经济学院 信息与电子工程学院 电子信息工程技术
201909-202409 陆军第74集团军
202409-至今 待业
</v>
      </c>
    </row>
    <row r="2087" spans="1:9">
      <c r="A2087" s="1" t="str">
        <f>"411381200011104525"</f>
        <v>411381200011104525</v>
      </c>
      <c r="B2087" s="1" t="str">
        <f t="shared" si="1029"/>
        <v>共青团员</v>
      </c>
      <c r="C2087" s="1" t="str">
        <f>"专科"</f>
        <v>专科</v>
      </c>
      <c r="D2087" s="1" t="str">
        <f>"2021-07-01"</f>
        <v>2021-07-01</v>
      </c>
      <c r="E2087" s="1" t="str">
        <f>"商丘职业技术学院"</f>
        <v>商丘职业技术学院</v>
      </c>
      <c r="F2087" s="1" t="str">
        <f>"会计"</f>
        <v>会计</v>
      </c>
      <c r="G2087" s="1" t="str">
        <f>"河南省南阳市邓州市半岛帝城"</f>
        <v>河南省南阳市邓州市半岛帝城</v>
      </c>
      <c r="H2087" s="1" t="str">
        <f t="shared" si="1031"/>
        <v>无</v>
      </c>
      <c r="I2087" s="1" t="str">
        <f>"2018年9月——2021年7月 商丘职业技术学院 经贸系会计专业 全日制学历
2021年9月——至今 待业"</f>
        <v>2018年9月——2021年7月 商丘职业技术学院 经贸系会计专业 全日制学历
2021年9月——至今 待业</v>
      </c>
    </row>
    <row r="2088" spans="1:9">
      <c r="A2088" s="1" t="str">
        <f>"411302200206080134"</f>
        <v>411302200206080134</v>
      </c>
      <c r="B2088" s="1" t="str">
        <f t="shared" si="1028"/>
        <v>中共党员</v>
      </c>
      <c r="C2088" s="1" t="str">
        <f t="shared" ref="C2088:C2098" si="1032">"本科"</f>
        <v>本科</v>
      </c>
      <c r="D2088" s="1" t="str">
        <f>"20240610"</f>
        <v>20240610</v>
      </c>
      <c r="E2088" s="1" t="str">
        <f>"郑州工商学院"</f>
        <v>郑州工商学院</v>
      </c>
      <c r="F2088" s="1" t="str">
        <f>"互联网金融"</f>
        <v>互联网金融</v>
      </c>
      <c r="G2088" s="1" t="str">
        <f>"河南省南阳市宛城区长江东路长江才苑七号楼2416"</f>
        <v>河南省南阳市宛城区长江东路长江才苑七号楼2416</v>
      </c>
      <c r="H2088" s="1" t="str">
        <f>"初级会计证书 普通话二级乙等"</f>
        <v>初级会计证书 普通话二级乙等</v>
      </c>
      <c r="I2088" s="1" t="str">
        <f>"202009-202406 郑州工商学院商学院互联网金融专业就读 全日制学历
202401-202501 就职于东明石化河南销售服务有限责任公司
202501-至今 待业
"</f>
        <v>202009-202406 郑州工商学院商学院互联网金融专业就读 全日制学历
202401-202501 就职于东明石化河南销售服务有限责任公司
202501-至今 待业
</v>
      </c>
    </row>
    <row r="2089" spans="1:9">
      <c r="A2089" s="1" t="str">
        <f>"411327200301182523"</f>
        <v>411327200301182523</v>
      </c>
      <c r="B2089" s="1" t="str">
        <f t="shared" si="1029"/>
        <v>共青团员</v>
      </c>
      <c r="C2089" s="1" t="str">
        <f t="shared" si="1032"/>
        <v>本科</v>
      </c>
      <c r="D2089" s="1" t="str">
        <f>"20240625"</f>
        <v>20240625</v>
      </c>
      <c r="E2089" s="1" t="str">
        <f>"郑州西亚斯学院"</f>
        <v>郑州西亚斯学院</v>
      </c>
      <c r="F2089" s="1" t="str">
        <f>"音乐表演（声乐方向）"</f>
        <v>音乐表演（声乐方向）</v>
      </c>
      <c r="G2089" s="1" t="str">
        <f>"河南省南阳市内乡县建业森林半岛"</f>
        <v>河南省南阳市内乡县建业森林半岛</v>
      </c>
      <c r="H2089" s="1" t="str">
        <f t="shared" si="1031"/>
        <v>无</v>
      </c>
      <c r="I2089" s="1" t="str">
        <f>"202009-202406 郑州西亚斯学院 音乐戏剧学院 音乐表演（声乐方向）专业 全日制学历
202406-至今 在家待业"</f>
        <v>202009-202406 郑州西亚斯学院 音乐戏剧学院 音乐表演（声乐方向）专业 全日制学历
202406-至今 在家待业</v>
      </c>
    </row>
    <row r="2090" spans="1:9">
      <c r="A2090" s="1" t="str">
        <f>"41132420030529112X"</f>
        <v>41132420030529112X</v>
      </c>
      <c r="B2090" s="1" t="str">
        <f t="shared" si="1030"/>
        <v>群众</v>
      </c>
      <c r="C2090" s="1" t="str">
        <f t="shared" si="1032"/>
        <v>本科</v>
      </c>
      <c r="D2090" s="1" t="str">
        <f>"2024620"</f>
        <v>2024620</v>
      </c>
      <c r="E2090" s="1" t="str">
        <f>"中原工学院"</f>
        <v>中原工学院</v>
      </c>
      <c r="F2090" s="1" t="str">
        <f>"产品设计"</f>
        <v>产品设计</v>
      </c>
      <c r="G2090" s="1" t="str">
        <f>"河南省南阳市镇平县老庄镇曾寨村上邱岗"</f>
        <v>河南省南阳市镇平县老庄镇曾寨村上邱岗</v>
      </c>
      <c r="H2090" s="1" t="str">
        <f>"高级中学美术教师资格证"</f>
        <v>高级中学美术教师资格证</v>
      </c>
      <c r="I2090" s="1" t="str">
        <f>"202009-202406 中原工学院服装学院产品设计系就读。全日制学历
202406至今 待业"</f>
        <v>202009-202406 中原工学院服装学院产品设计系就读。全日制学历
202406至今 待业</v>
      </c>
    </row>
    <row r="2091" spans="1:9">
      <c r="A2091" s="1" t="str">
        <f>"411381200210260619"</f>
        <v>411381200210260619</v>
      </c>
      <c r="B2091" s="1" t="str">
        <f t="shared" si="1030"/>
        <v>群众</v>
      </c>
      <c r="C2091" s="1" t="str">
        <f t="shared" si="1032"/>
        <v>本科</v>
      </c>
      <c r="D2091" s="1" t="str">
        <f>"20250701"</f>
        <v>20250701</v>
      </c>
      <c r="E2091" s="1" t="str">
        <f>"黄河交通学院"</f>
        <v>黄河交通学院</v>
      </c>
      <c r="F2091" s="1" t="str">
        <f>"物流管理"</f>
        <v>物流管理</v>
      </c>
      <c r="G2091" s="1" t="str">
        <f>"河南省南阳市邓州市"</f>
        <v>河南省南阳市邓州市</v>
      </c>
      <c r="H2091" s="1" t="str">
        <f>"电子商务师高级工"</f>
        <v>电子商务师高级工</v>
      </c>
      <c r="I2091" s="1" t="str">
        <f>"202009-202307在郑州科技学院工商管理学院物流管理专业就读，是全日制学历
202209-202507在黄河交通学院经济管理学院物流管理专业就读，是全日制学历"</f>
        <v>202009-202307在郑州科技学院工商管理学院物流管理专业就读，是全日制学历
202209-202507在黄河交通学院经济管理学院物流管理专业就读，是全日制学历</v>
      </c>
    </row>
    <row r="2092" spans="1:9">
      <c r="A2092" s="1" t="str">
        <f>"411327200303040019"</f>
        <v>411327200303040019</v>
      </c>
      <c r="B2092" s="1" t="str">
        <f t="shared" ref="B2092:B2095" si="1033">"共青团员"</f>
        <v>共青团员</v>
      </c>
      <c r="C2092" s="1" t="str">
        <f t="shared" si="1032"/>
        <v>本科</v>
      </c>
      <c r="D2092" s="1" t="str">
        <f>"2025-07-01"</f>
        <v>2025-07-01</v>
      </c>
      <c r="E2092" s="1" t="str">
        <f>"河南牧业经济学院"</f>
        <v>河南牧业经济学院</v>
      </c>
      <c r="F2092" s="1" t="str">
        <f>"会计学"</f>
        <v>会计学</v>
      </c>
      <c r="G2092" s="1" t="str">
        <f>"河南省南阳市内乡县余关镇"</f>
        <v>河南省南阳市内乡县余关镇</v>
      </c>
      <c r="H2092" s="1" t="str">
        <f>"初级会计证"</f>
        <v>初级会计证</v>
      </c>
      <c r="I2092" s="1" t="str">
        <f>"202109-202506 河南牧业经济学院 金融与会计学院 会计学专业 就读
是全日制学历"</f>
        <v>202109-202506 河南牧业经济学院 金融与会计学院 会计学专业 就读
是全日制学历</v>
      </c>
    </row>
    <row r="2093" spans="1:9">
      <c r="A2093" s="1" t="str">
        <f>"411302200211030190"</f>
        <v>411302200211030190</v>
      </c>
      <c r="B2093" s="1" t="str">
        <f t="shared" si="1033"/>
        <v>共青团员</v>
      </c>
      <c r="C2093" s="1" t="str">
        <f t="shared" si="1032"/>
        <v>本科</v>
      </c>
      <c r="D2093" s="1" t="str">
        <f>"20250617"</f>
        <v>20250617</v>
      </c>
      <c r="E2093" s="1" t="str">
        <f>"南阳理工学院"</f>
        <v>南阳理工学院</v>
      </c>
      <c r="F2093" s="1" t="str">
        <f>"环境设计"</f>
        <v>环境设计</v>
      </c>
      <c r="G2093" s="1" t="str">
        <f>"河南省南阳市宛城区万政大帝苑"</f>
        <v>河南省南阳市宛城区万政大帝苑</v>
      </c>
      <c r="H2093" s="1" t="str">
        <f>"室内装饰设计师"</f>
        <v>室内装饰设计师</v>
      </c>
      <c r="I2093" s="1" t="str">
        <f>"202309-202506 南阳理工学院 建筑学院环境设计专业 就读全日制 202010-202307 河南林业职业学院 信息与艺术系环境艺术设计专业 就读全日制"</f>
        <v>202309-202506 南阳理工学院 建筑学院环境设计专业 就读全日制 202010-202307 河南林业职业学院 信息与艺术系环境艺术设计专业 就读全日制</v>
      </c>
    </row>
    <row r="2094" spans="1:9">
      <c r="A2094" s="1" t="str">
        <f>"410711200009251018"</f>
        <v>410711200009251018</v>
      </c>
      <c r="B2094" s="1" t="str">
        <f t="shared" ref="B2094:B2098" si="1034">"群众"</f>
        <v>群众</v>
      </c>
      <c r="C2094" s="1" t="str">
        <f t="shared" si="1032"/>
        <v>本科</v>
      </c>
      <c r="D2094" s="1" t="str">
        <f>"20250701"</f>
        <v>20250701</v>
      </c>
      <c r="E2094" s="1" t="str">
        <f>"桂林电子科技大学信息科技学院"</f>
        <v>桂林电子科技大学信息科技学院</v>
      </c>
      <c r="F2094" s="1" t="str">
        <f>"物联网工程"</f>
        <v>物联网工程</v>
      </c>
      <c r="G2094" s="1" t="str">
        <f>"河南省新乡市新乡县大召营镇大召营社区6号楼1单元1层东户"</f>
        <v>河南省新乡市新乡县大召营镇大召营社区6号楼1单元1层东户</v>
      </c>
      <c r="H2094" s="1" t="str">
        <f t="shared" ref="H2094:H2105" si="1035">"无"</f>
        <v>无</v>
      </c>
      <c r="I2094" s="1" t="str">
        <f>"201909-202009 桂林电子科技大学信息科技学院物联网工程就读 全日制本科
202009-202209 31694部队服役
202209-202509 桂林电子科技大学信息科技学院物联网工程就读 全日制本科"</f>
        <v>201909-202009 桂林电子科技大学信息科技学院物联网工程就读 全日制本科
202009-202209 31694部队服役
202209-202509 桂林电子科技大学信息科技学院物联网工程就读 全日制本科</v>
      </c>
    </row>
    <row r="2095" spans="1:9">
      <c r="A2095" s="1" t="str">
        <f>"410426200001170027"</f>
        <v>410426200001170027</v>
      </c>
      <c r="B2095" s="1" t="str">
        <f t="shared" si="1033"/>
        <v>共青团员</v>
      </c>
      <c r="C2095" s="1" t="str">
        <f t="shared" si="1032"/>
        <v>本科</v>
      </c>
      <c r="D2095" s="1" t="str">
        <f>"20230701"</f>
        <v>20230701</v>
      </c>
      <c r="E2095" s="1" t="str">
        <f>"信阳学院"</f>
        <v>信阳学院</v>
      </c>
      <c r="F2095" s="1" t="str">
        <f>"物联网工程"</f>
        <v>物联网工程</v>
      </c>
      <c r="G2095" s="1" t="str">
        <f>"河南省许昌市襄城县城关镇安庄1号附73"</f>
        <v>河南省许昌市襄城县城关镇安庄1号附73</v>
      </c>
      <c r="H2095" s="1" t="str">
        <f t="shared" si="1035"/>
        <v>无</v>
      </c>
      <c r="I2095" s="1" t="str">
        <f>"201809-202307  信阳学院大数据与人工智能学院物联网工程专业就读，全日制本科学历；
202307-202507  河南省襄城县城关镇待业。"</f>
        <v>201809-202307  信阳学院大数据与人工智能学院物联网工程专业就读，全日制本科学历；
202307-202507  河南省襄城县城关镇待业。</v>
      </c>
    </row>
    <row r="2096" spans="1:9">
      <c r="A2096" s="1" t="str">
        <f>"412826199603300333"</f>
        <v>412826199603300333</v>
      </c>
      <c r="B2096" s="1" t="str">
        <f t="shared" si="1034"/>
        <v>群众</v>
      </c>
      <c r="C2096" s="1" t="str">
        <f t="shared" si="1032"/>
        <v>本科</v>
      </c>
      <c r="D2096" s="1" t="str">
        <f>"20210120"</f>
        <v>20210120</v>
      </c>
      <c r="E2096" s="1" t="str">
        <f>"河南大学"</f>
        <v>河南大学</v>
      </c>
      <c r="F2096" s="1" t="str">
        <f>"金融数学"</f>
        <v>金融数学</v>
      </c>
      <c r="G2096" s="1" t="str">
        <f>"河南省汝南县搬运公司"</f>
        <v>河南省汝南县搬运公司</v>
      </c>
      <c r="H2096" s="1" t="str">
        <f t="shared" si="1035"/>
        <v>无</v>
      </c>
      <c r="I2096" s="1" t="str">
        <f>"201609-202001 河南大学数学与统计学院金融数学专业 就读
202101-202408 小状元托教辅导老师 兼职"</f>
        <v>201609-202001 河南大学数学与统计学院金融数学专业 就读
202101-202408 小状元托教辅导老师 兼职</v>
      </c>
    </row>
    <row r="2097" spans="1:9">
      <c r="A2097" s="1" t="str">
        <f>"410421200005110011"</f>
        <v>410421200005110011</v>
      </c>
      <c r="B2097" s="1" t="str">
        <f>"中共预备党员"</f>
        <v>中共预备党员</v>
      </c>
      <c r="C2097" s="1" t="str">
        <f t="shared" si="1032"/>
        <v>本科</v>
      </c>
      <c r="D2097" s="1" t="str">
        <f>"20220601"</f>
        <v>20220601</v>
      </c>
      <c r="E2097" s="1" t="str">
        <f>"河南师范大学"</f>
        <v>河南师范大学</v>
      </c>
      <c r="F2097" s="1" t="str">
        <f>"音乐学"</f>
        <v>音乐学</v>
      </c>
      <c r="G2097" s="1" t="str">
        <f>"河南省平顶山市鲁山县南环路盛世华城"</f>
        <v>河南省平顶山市鲁山县南环路盛世华城</v>
      </c>
      <c r="H2097" s="1" t="str">
        <f t="shared" si="1035"/>
        <v>无</v>
      </c>
      <c r="I2097" s="1" t="str">
        <f>"202209-202506河南师范大学音乐学院音乐学就读，全日制学历"</f>
        <v>202209-202506河南师范大学音乐学院音乐学就读，全日制学历</v>
      </c>
    </row>
    <row r="2098" spans="1:9">
      <c r="A2098" s="1" t="str">
        <f>"411327200110282011"</f>
        <v>411327200110282011</v>
      </c>
      <c r="B2098" s="1" t="str">
        <f t="shared" si="1034"/>
        <v>群众</v>
      </c>
      <c r="C2098" s="1" t="str">
        <f t="shared" si="1032"/>
        <v>本科</v>
      </c>
      <c r="D2098" s="1" t="str">
        <f>"20250701"</f>
        <v>20250701</v>
      </c>
      <c r="E2098" s="1" t="str">
        <f>"河南城建学院"</f>
        <v>河南城建学院</v>
      </c>
      <c r="F2098" s="1" t="str">
        <f>"环境设计"</f>
        <v>环境设计</v>
      </c>
      <c r="G2098" s="1" t="str">
        <f>"河南省南阳市内乡县城关镇"</f>
        <v>河南省南阳市内乡县城关镇</v>
      </c>
      <c r="H2098" s="1" t="str">
        <f t="shared" si="1035"/>
        <v>无</v>
      </c>
      <c r="I2098" s="1" t="str">
        <f>"202009-202307  在郑州科技学院  艺术学院  艺术设计专业   就读  全日制专科  三年制
202309-202507   在河南城建学院  艺术设计学院   环境设计专业   就读
全日制本科  两年制"</f>
        <v>202009-202307  在郑州科技学院  艺术学院  艺术设计专业   就读  全日制专科  三年制
202309-202507   在河南城建学院  艺术设计学院   环境设计专业   就读
全日制本科  两年制</v>
      </c>
    </row>
    <row r="2099" spans="1:9">
      <c r="A2099" s="1" t="str">
        <f>"411325200001269448"</f>
        <v>411325200001269448</v>
      </c>
      <c r="B2099" s="1" t="str">
        <f>"中共党员"</f>
        <v>中共党员</v>
      </c>
      <c r="C2099" s="1" t="str">
        <f>"硕士研究生"</f>
        <v>硕士研究生</v>
      </c>
      <c r="D2099" s="1" t="str">
        <f>"20250615"</f>
        <v>20250615</v>
      </c>
      <c r="E2099" s="1" t="str">
        <f>"吉首大学"</f>
        <v>吉首大学</v>
      </c>
      <c r="F2099" s="1" t="str">
        <f>"中国语言文学"</f>
        <v>中国语言文学</v>
      </c>
      <c r="G2099" s="1" t="str">
        <f>"河南省南阳市唐河县"</f>
        <v>河南省南阳市唐河县</v>
      </c>
      <c r="H2099" s="1" t="str">
        <f t="shared" si="1035"/>
        <v>无</v>
      </c>
      <c r="I2099" s="1" t="str">
        <f>"201609-202006 济南大学文学院汉语言文学专业就读 全日制；
202007-202208 待业；
202209-202506 吉首大学文学与新闻传播学院中国语言文学专业就读 全日制"</f>
        <v>201609-202006 济南大学文学院汉语言文学专业就读 全日制；
202007-202208 待业；
202209-202506 吉首大学文学与新闻传播学院中国语言文学专业就读 全日制</v>
      </c>
    </row>
    <row r="2100" spans="1:9">
      <c r="A2100" s="1" t="str">
        <f>"411323200207185116"</f>
        <v>411323200207185116</v>
      </c>
      <c r="B2100" s="1" t="str">
        <f t="shared" ref="B2100:B2102" si="1036">"共青团员"</f>
        <v>共青团员</v>
      </c>
      <c r="C2100" s="1" t="str">
        <f t="shared" ref="C2100:C2103" si="1037">"本科"</f>
        <v>本科</v>
      </c>
      <c r="D2100" s="1" t="str">
        <f t="shared" ref="D2100:D2102" si="1038">"20240701"</f>
        <v>20240701</v>
      </c>
      <c r="E2100" s="1" t="str">
        <f>"河南科技大学"</f>
        <v>河南科技大学</v>
      </c>
      <c r="F2100" s="1" t="str">
        <f>"物联网工程"</f>
        <v>物联网工程</v>
      </c>
      <c r="G2100" s="1" t="str">
        <f>"河南省南阳市西峡县双龙镇化山村炉子沟组106号"</f>
        <v>河南省南阳市西峡县双龙镇化山村炉子沟组106号</v>
      </c>
      <c r="H2100" s="1" t="str">
        <f t="shared" si="1035"/>
        <v>无</v>
      </c>
      <c r="I2100" s="1" t="str">
        <f>"202009-202407 河南科技大学信息工程学院物联网工程专业就读，全日制学历。
202407-至今 待业"</f>
        <v>202009-202407 河南科技大学信息工程学院物联网工程专业就读，全日制学历。
202407-至今 待业</v>
      </c>
    </row>
    <row r="2101" spans="1:9">
      <c r="A2101" s="1" t="str">
        <f>"411323199902230016"</f>
        <v>411323199902230016</v>
      </c>
      <c r="B2101" s="1" t="str">
        <f t="shared" si="1036"/>
        <v>共青团员</v>
      </c>
      <c r="C2101" s="1" t="str">
        <f t="shared" si="1037"/>
        <v>本科</v>
      </c>
      <c r="D2101" s="1" t="str">
        <f t="shared" si="1038"/>
        <v>20240701</v>
      </c>
      <c r="E2101" s="1" t="str">
        <f>"南阳师范学院"</f>
        <v>南阳师范学院</v>
      </c>
      <c r="F2101" s="1" t="str">
        <f>"计算机科学与技术"</f>
        <v>计算机科学与技术</v>
      </c>
      <c r="G2101" s="1" t="str">
        <f>"南阳市淅川县狮子路"</f>
        <v>南阳市淅川县狮子路</v>
      </c>
      <c r="H2101" s="1" t="str">
        <f t="shared" si="1035"/>
        <v>无</v>
      </c>
      <c r="I2101" s="1" t="str">
        <f>"201809-202107 黄河水利职业技术学院学校国际教育学院土木工程检测技术专业就读，全日制学历
202112-202411 淅川县文学艺术界联合会就职（大学生公益岗）
202203-202407 南阳师范学院计算机科学与技术专业就读（成人本科）
202412-至今 待业"</f>
        <v>201809-202107 黄河水利职业技术学院学校国际教育学院土木工程检测技术专业就读，全日制学历
202112-202411 淅川县文学艺术界联合会就职（大学生公益岗）
202203-202407 南阳师范学院计算机科学与技术专业就读（成人本科）
202412-至今 待业</v>
      </c>
    </row>
    <row r="2102" spans="1:9">
      <c r="A2102" s="1" t="str">
        <f>"410726200012052014"</f>
        <v>410726200012052014</v>
      </c>
      <c r="B2102" s="1" t="str">
        <f t="shared" si="1036"/>
        <v>共青团员</v>
      </c>
      <c r="C2102" s="1" t="str">
        <f t="shared" si="1037"/>
        <v>本科</v>
      </c>
      <c r="D2102" s="1" t="str">
        <f t="shared" si="1038"/>
        <v>20240701</v>
      </c>
      <c r="E2102" s="1" t="str">
        <f>"郑州升达经贸管理学院"</f>
        <v>郑州升达经贸管理学院</v>
      </c>
      <c r="F2102" s="1" t="str">
        <f>"土木工程"</f>
        <v>土木工程</v>
      </c>
      <c r="G2102" s="1" t="str">
        <f>"河南省新乡市延津县王楼乡王楼村0111号"</f>
        <v>河南省新乡市延津县王楼乡王楼村0111号</v>
      </c>
      <c r="H2102" s="1" t="str">
        <f t="shared" si="1035"/>
        <v>无</v>
      </c>
      <c r="I2102" s="1" t="str">
        <f>"202009-202407于郑州升达经贸管理学院就读土木工程全日制学历202407-202507于延津县王楼镇家中待业"</f>
        <v>202009-202407于郑州升达经贸管理学院就读土木工程全日制学历202407-202507于延津县王楼镇家中待业</v>
      </c>
    </row>
    <row r="2103" spans="1:9">
      <c r="A2103" s="1" t="str">
        <f>"411327200309010611"</f>
        <v>411327200309010611</v>
      </c>
      <c r="B2103" s="1" t="str">
        <f t="shared" ref="B2103:B2106" si="1039">"群众"</f>
        <v>群众</v>
      </c>
      <c r="C2103" s="1" t="str">
        <f t="shared" si="1037"/>
        <v>本科</v>
      </c>
      <c r="D2103" s="1" t="str">
        <f>"20250630"</f>
        <v>20250630</v>
      </c>
      <c r="E2103" s="1" t="str">
        <f>"河北工程大学"</f>
        <v>河北工程大学</v>
      </c>
      <c r="F2103" s="1" t="str">
        <f>"通信工程"</f>
        <v>通信工程</v>
      </c>
      <c r="G2103" s="1" t="str">
        <f>"河南省南阳市内乡县"</f>
        <v>河南省南阳市内乡县</v>
      </c>
      <c r="H2103" s="1" t="str">
        <f t="shared" si="1035"/>
        <v>无</v>
      </c>
      <c r="I2103" s="1" t="str">
        <f>"202109-202506 河北工程大学信息与电气工程学院通信工程专业 全日制 就读"</f>
        <v>202109-202506 河北工程大学信息与电气工程学院通信工程专业 全日制 就读</v>
      </c>
    </row>
    <row r="2104" spans="1:9">
      <c r="A2104" s="1" t="str">
        <f>"411327200305070019"</f>
        <v>411327200305070019</v>
      </c>
      <c r="B2104" s="1" t="str">
        <f t="shared" si="1039"/>
        <v>群众</v>
      </c>
      <c r="C2104" s="1" t="str">
        <f t="shared" ref="C2104:C2107" si="1040">"专科"</f>
        <v>专科</v>
      </c>
      <c r="D2104" s="1" t="str">
        <f>"20240703"</f>
        <v>20240703</v>
      </c>
      <c r="E2104" s="1" t="str">
        <f>"北京交通大学"</f>
        <v>北京交通大学</v>
      </c>
      <c r="F2104" s="1" t="str">
        <f>"铁道工程技术"</f>
        <v>铁道工程技术</v>
      </c>
      <c r="G2104" s="1" t="str">
        <f>"河南省南阳市内乡县城关镇菊园小区289号"</f>
        <v>河南省南阳市内乡县城关镇菊园小区289号</v>
      </c>
      <c r="H2104" s="1" t="str">
        <f t="shared" si="1035"/>
        <v>无</v>
      </c>
      <c r="I2104" s="1" t="str">
        <f>"202009-202407在北京交通大学铁道工程技术专业网络教育学习就读非全日制"</f>
        <v>202009-202407在北京交通大学铁道工程技术专业网络教育学习就读非全日制</v>
      </c>
    </row>
    <row r="2105" spans="1:9">
      <c r="A2105" s="1" t="str">
        <f>"411327200312280014"</f>
        <v>411327200312280014</v>
      </c>
      <c r="B2105" s="1" t="str">
        <f t="shared" si="1039"/>
        <v>群众</v>
      </c>
      <c r="C2105" s="1" t="str">
        <f t="shared" si="1040"/>
        <v>专科</v>
      </c>
      <c r="D2105" s="1" t="str">
        <f>"20250630"</f>
        <v>20250630</v>
      </c>
      <c r="E2105" s="1" t="str">
        <f>"湖北水利水电职业技术学院"</f>
        <v>湖北水利水电职业技术学院</v>
      </c>
      <c r="F2105" s="1" t="str">
        <f>"水利水电建筑工程"</f>
        <v>水利水电建筑工程</v>
      </c>
      <c r="G2105" s="1" t="str">
        <f>"河南省南阳市内乡县城关镇"</f>
        <v>河南省南阳市内乡县城关镇</v>
      </c>
      <c r="H2105" s="1" t="str">
        <f t="shared" si="1035"/>
        <v>无</v>
      </c>
      <c r="I2105" s="1" t="str">
        <f>"202209-202506湖北水利水电职业技术学院水利系水利水电建筑工程就读，是全日制学历"</f>
        <v>202209-202506湖北水利水电职业技术学院水利系水利水电建筑工程就读，是全日制学历</v>
      </c>
    </row>
    <row r="2106" spans="1:9">
      <c r="A2106" s="1" t="str">
        <f>"210504199111081337"</f>
        <v>210504199111081337</v>
      </c>
      <c r="B2106" s="1" t="str">
        <f t="shared" si="1039"/>
        <v>群众</v>
      </c>
      <c r="C2106" s="1" t="str">
        <f t="shared" ref="C2106:C2111" si="1041">"本科"</f>
        <v>本科</v>
      </c>
      <c r="D2106" s="1" t="str">
        <f>"20180701"</f>
        <v>20180701</v>
      </c>
      <c r="E2106" s="1" t="str">
        <f>"河南工程学院"</f>
        <v>河南工程学院</v>
      </c>
      <c r="F2106" s="1" t="str">
        <f>"环境工程"</f>
        <v>环境工程</v>
      </c>
      <c r="G2106" s="1" t="str">
        <f>"河南省平顶山市新华区曙光街39号院14号楼"</f>
        <v>河南省平顶山市新华区曙光街39号院14号楼</v>
      </c>
      <c r="H2106" s="1" t="str">
        <f>"助理工程师、二级建造师"</f>
        <v>助理工程师、二级建造师</v>
      </c>
      <c r="I2106" s="1" t="str">
        <f>"201309-201507 郑州电力职业技术学院 供用电技术  非全日制
201509-201807 河南工程学院  环境工程   非全日制"</f>
        <v>201309-201507 郑州电力职业技术学院 供用电技术  非全日制
201509-201807 河南工程学院  环境工程   非全日制</v>
      </c>
    </row>
    <row r="2107" spans="1:9">
      <c r="A2107" s="1" t="str">
        <f>"411328200112181341"</f>
        <v>411328200112181341</v>
      </c>
      <c r="B2107" s="1" t="str">
        <f t="shared" ref="B2107:B2110" si="1042">"共青团员"</f>
        <v>共青团员</v>
      </c>
      <c r="C2107" s="1" t="str">
        <f t="shared" si="1040"/>
        <v>专科</v>
      </c>
      <c r="D2107" s="1" t="str">
        <f>"20230701"</f>
        <v>20230701</v>
      </c>
      <c r="E2107" s="1" t="str">
        <f>"许昌职业技术学院"</f>
        <v>许昌职业技术学院</v>
      </c>
      <c r="F2107" s="1" t="str">
        <f>"小学教育（师范）"</f>
        <v>小学教育（师范）</v>
      </c>
      <c r="G2107" s="1" t="str">
        <f>"和男生南阳市新野县棉花在"</f>
        <v>和男生南阳市新野县棉花在</v>
      </c>
      <c r="H2107" s="1" t="str">
        <f>"小学数学教室资格，小学心理健康教师资格 普通话证书"</f>
        <v>小学数学教室资格，小学心理健康教师资格 普通话证书</v>
      </c>
      <c r="I2107" s="1" t="str">
        <f>"20200901——20230701许昌职业技术学院人文系小学教育（师范类）专业就读 全日制  20230901——20240701歪子王小桥小学三年级语文英语
20240901——20250115歪子新苗实验小学五六年级数学
20250217——至今今生金书法老师"</f>
        <v>20200901——20230701许昌职业技术学院人文系小学教育（师范类）专业就读 全日制  20230901——20240701歪子王小桥小学三年级语文英语
20240901——20250115歪子新苗实验小学五六年级数学
20250217——至今今生金书法老师</v>
      </c>
    </row>
    <row r="2108" spans="1:9">
      <c r="A2108" s="1" t="str">
        <f>"410221199907023439"</f>
        <v>410221199907023439</v>
      </c>
      <c r="B2108" s="1" t="str">
        <f t="shared" si="1042"/>
        <v>共青团员</v>
      </c>
      <c r="C2108" s="1" t="str">
        <f t="shared" si="1041"/>
        <v>本科</v>
      </c>
      <c r="D2108" s="1" t="str">
        <f>"20240701"</f>
        <v>20240701</v>
      </c>
      <c r="E2108" s="1" t="str">
        <f>"河南财经政法大学"</f>
        <v>河南财经政法大学</v>
      </c>
      <c r="F2108" s="1" t="str">
        <f>"金融学"</f>
        <v>金融学</v>
      </c>
      <c r="G2108" s="1" t="str">
        <f>"开封市杞县竹林乡罗洼村"</f>
        <v>开封市杞县竹林乡罗洼村</v>
      </c>
      <c r="H2108" s="1" t="str">
        <f>"银行业专业人员职业资格证书"</f>
        <v>银行业专业人员职业资格证书</v>
      </c>
      <c r="I2108" s="1" t="str">
        <f>"201909-202206 河南工程学院 就读 全日制；202209-202407 河南财经政法大学 就读 全日制；202407-2025-07 河南省开封市杞县 待业。"</f>
        <v>201909-202206 河南工程学院 就读 全日制；202209-202407 河南财经政法大学 就读 全日制；202407-2025-07 河南省开封市杞县 待业。</v>
      </c>
    </row>
    <row r="2109" spans="1:9">
      <c r="A2109" s="1" t="str">
        <f>"410928199312053033"</f>
        <v>410928199312053033</v>
      </c>
      <c r="B2109" s="1" t="str">
        <f>"群众"</f>
        <v>群众</v>
      </c>
      <c r="C2109" s="1" t="str">
        <f t="shared" si="1041"/>
        <v>本科</v>
      </c>
      <c r="D2109" s="1" t="str">
        <f>"20190701"</f>
        <v>20190701</v>
      </c>
      <c r="E2109" s="1" t="str">
        <f>"安阳工学院"</f>
        <v>安阳工学院</v>
      </c>
      <c r="F2109" s="1" t="str">
        <f>"土木工程"</f>
        <v>土木工程</v>
      </c>
      <c r="G2109" s="1" t="str">
        <f>"河南省平顶山市新华区建业18城"</f>
        <v>河南省平顶山市新华区建业18城</v>
      </c>
      <c r="H2109" s="1" t="str">
        <f t="shared" ref="H2109:H2111" si="1043">"无"</f>
        <v>无</v>
      </c>
      <c r="I2109" s="1" t="str">
        <f>"202409-201706郑州工程技术学院就读
201709-201907安阳工学院土木工程学院土木工程专业就读"</f>
        <v>202409-201706郑州工程技术学院就读
201709-201907安阳工学院土木工程学院土木工程专业就读</v>
      </c>
    </row>
    <row r="2110" spans="1:9">
      <c r="A2110" s="1" t="str">
        <f>"41132420021225002X"</f>
        <v>41132420021225002X</v>
      </c>
      <c r="B2110" s="1" t="str">
        <f t="shared" si="1042"/>
        <v>共青团员</v>
      </c>
      <c r="C2110" s="1" t="str">
        <f t="shared" si="1041"/>
        <v>本科</v>
      </c>
      <c r="D2110" s="1" t="str">
        <f>"20250610"</f>
        <v>20250610</v>
      </c>
      <c r="E2110" s="1" t="str">
        <f>"中原科技学院"</f>
        <v>中原科技学院</v>
      </c>
      <c r="F2110" s="1" t="str">
        <f>"汉语言文学"</f>
        <v>汉语言文学</v>
      </c>
      <c r="G2110" s="1" t="str">
        <f>"河南省南阳市"</f>
        <v>河南省南阳市</v>
      </c>
      <c r="H2110" s="1" t="str">
        <f t="shared" si="1043"/>
        <v>无</v>
      </c>
      <c r="I2110" s="1" t="str">
        <f>"202009-202306 漯河职业技术学院小学教育专业 全日制
202309-202506 中原科技学院汉语言文学专业 全日制"</f>
        <v>202009-202306 漯河职业技术学院小学教育专业 全日制
202309-202506 中原科技学院汉语言文学专业 全日制</v>
      </c>
    </row>
    <row r="2111" spans="1:9">
      <c r="A2111" s="1" t="str">
        <f>"411330200002012012"</f>
        <v>411330200002012012</v>
      </c>
      <c r="B2111" s="1" t="str">
        <f>"中共党员"</f>
        <v>中共党员</v>
      </c>
      <c r="C2111" s="1" t="str">
        <f t="shared" si="1041"/>
        <v>本科</v>
      </c>
      <c r="D2111" s="1" t="str">
        <f>"20230701"</f>
        <v>20230701</v>
      </c>
      <c r="E2111" s="1" t="str">
        <f>"商丘学院"</f>
        <v>商丘学院</v>
      </c>
      <c r="F2111" s="1" t="str">
        <f>"学前教育"</f>
        <v>学前教育</v>
      </c>
      <c r="G2111" s="1" t="str">
        <f>"河南省南阳市西峡县五里桥镇北堂村上营组559号"</f>
        <v>河南省南阳市西峡县五里桥镇北堂村上营组559号</v>
      </c>
      <c r="H2111" s="1" t="str">
        <f t="shared" si="1043"/>
        <v>无</v>
      </c>
      <c r="I2111" s="1" t="str">
        <f>"201809-202107 南阳理工学院教师教育学院就读 全日制大专
202109-202307 商丘学院应用科技学院就读 全日制本科
202307至今 南阳职业学院担任辅导员"</f>
        <v>201809-202107 南阳理工学院教师教育学院就读 全日制大专
202109-202307 商丘学院应用科技学院就读 全日制本科
202307至今 南阳职业学院担任辅导员</v>
      </c>
    </row>
    <row r="2112" spans="1:9">
      <c r="A2112" s="1" t="str">
        <f>"411321199611281523"</f>
        <v>411321199611281523</v>
      </c>
      <c r="B2112" s="1" t="str">
        <f t="shared" ref="B2112:B2117" si="1044">"群众"</f>
        <v>群众</v>
      </c>
      <c r="C2112" s="1" t="str">
        <f t="shared" ref="C2112:C2115" si="1045">"专科"</f>
        <v>专科</v>
      </c>
      <c r="D2112" s="1" t="str">
        <f>"20240701"</f>
        <v>20240701</v>
      </c>
      <c r="E2112" s="1" t="str">
        <f>"郑州工业应用技术学院"</f>
        <v>郑州工业应用技术学院</v>
      </c>
      <c r="F2112" s="1" t="str">
        <f>"大数据与会计"</f>
        <v>大数据与会计</v>
      </c>
      <c r="G2112" s="1" t="str">
        <f>"南阳市宛城区光武东路凯璟清华园"</f>
        <v>南阳市宛城区光武东路凯璟清华园</v>
      </c>
      <c r="H2112" s="1" t="str">
        <f>"初级会计证"</f>
        <v>初级会计证</v>
      </c>
      <c r="I2112" s="1" t="str">
        <f>"2012年9月--2015年7月在河南省经济管理学校学习学前教育专业
2015年7月--2022年6月在南阳市怡隆物业管理服务有限公司任财务人员
2022年6月至2024年1月在绿城物业服务集团有限公司河南分公司任财务人员
2024年1月至今在南阳市湛然教育有限公司职工（期间：2022年3月至2024年7月在郑州工业应用技术学院通过函授形式学习大数据与会计专业并取得了大专学历）"</f>
        <v>2012年9月--2015年7月在河南省经济管理学校学习学前教育专业
2015年7月--2022年6月在南阳市怡隆物业管理服务有限公司任财务人员
2022年6月至2024年1月在绿城物业服务集团有限公司河南分公司任财务人员
2024年1月至今在南阳市湛然教育有限公司职工（期间：2022年3月至2024年7月在郑州工业应用技术学院通过函授形式学习大数据与会计专业并取得了大专学历）</v>
      </c>
    </row>
    <row r="2113" spans="1:9">
      <c r="A2113" s="1" t="str">
        <f>"411327200312054922"</f>
        <v>411327200312054922</v>
      </c>
      <c r="B2113" s="1" t="str">
        <f>"共青团员"</f>
        <v>共青团员</v>
      </c>
      <c r="C2113" s="1" t="str">
        <f t="shared" ref="C2113:C2127" si="1046">"本科"</f>
        <v>本科</v>
      </c>
      <c r="D2113" s="1" t="str">
        <f>"20250701"</f>
        <v>20250701</v>
      </c>
      <c r="E2113" s="1" t="str">
        <f>"河南师范大学"</f>
        <v>河南师范大学</v>
      </c>
      <c r="F2113" s="1" t="str">
        <f>"人文地理与城乡规划"</f>
        <v>人文地理与城乡规划</v>
      </c>
      <c r="G2113" s="1" t="str">
        <f>"河南省南阳市内乡县城关镇菊园小区"</f>
        <v>河南省南阳市内乡县城关镇菊园小区</v>
      </c>
      <c r="H2113" s="1" t="str">
        <f t="shared" ref="H2113:H2123" si="1047">"无"</f>
        <v>无</v>
      </c>
      <c r="I2113" s="1" t="str">
        <f>"202109-202507 就读于河南师范大学旅游学院人文地理与城乡规划专业，属全日制学历"</f>
        <v>202109-202507 就读于河南师范大学旅游学院人文地理与城乡规划专业，属全日制学历</v>
      </c>
    </row>
    <row r="2114" spans="1:9">
      <c r="A2114" s="1" t="str">
        <f>"411327200309174229"</f>
        <v>411327200309174229</v>
      </c>
      <c r="B2114" s="1" t="str">
        <f>"共青团员"</f>
        <v>共青团员</v>
      </c>
      <c r="C2114" s="1" t="str">
        <f t="shared" si="1045"/>
        <v>专科</v>
      </c>
      <c r="D2114" s="1" t="str">
        <f>"20230701"</f>
        <v>20230701</v>
      </c>
      <c r="E2114" s="1" t="str">
        <f>"河南工业和信息化职业学院"</f>
        <v>河南工业和信息化职业学院</v>
      </c>
      <c r="F2114" s="1" t="str">
        <f>"物流管理"</f>
        <v>物流管理</v>
      </c>
      <c r="G2114" s="1" t="str">
        <f>"河南省南阳市内乡县五里堡"</f>
        <v>河南省南阳市内乡县五里堡</v>
      </c>
      <c r="H2114" s="1" t="str">
        <f t="shared" si="1047"/>
        <v>无</v>
      </c>
      <c r="I2114" s="1" t="str">
        <f>"202009-202307 在河南工业和信息化职业学院财经商贸系物流管理专业全日制三年制就读"</f>
        <v>202009-202307 在河南工业和信息化职业学院财经商贸系物流管理专业全日制三年制就读</v>
      </c>
    </row>
    <row r="2115" spans="1:9">
      <c r="A2115" s="1" t="str">
        <f>"411327199611061123"</f>
        <v>411327199611061123</v>
      </c>
      <c r="B2115" s="1" t="str">
        <f t="shared" si="1044"/>
        <v>群众</v>
      </c>
      <c r="C2115" s="1" t="str">
        <f t="shared" si="1045"/>
        <v>专科</v>
      </c>
      <c r="D2115" s="1" t="str">
        <f>"20210715"</f>
        <v>20210715</v>
      </c>
      <c r="E2115" s="1" t="str">
        <f>"西北工业大学"</f>
        <v>西北工业大学</v>
      </c>
      <c r="F2115" s="1" t="str">
        <f>"工商企业管理"</f>
        <v>工商企业管理</v>
      </c>
      <c r="G2115" s="1" t="str">
        <f>"河南省内乡县赤眉镇马营村孙洼组"</f>
        <v>河南省内乡县赤眉镇马营村孙洼组</v>
      </c>
      <c r="H2115" s="1" t="str">
        <f t="shared" si="1047"/>
        <v>无</v>
      </c>
      <c r="I2115" s="1" t="str">
        <f>"201903-202107   西北工业大学 工商企业管理  网络教育
202107-202507   内乡县第五小学 代课教师"</f>
        <v>201903-202107   西北工业大学 工商企业管理  网络教育
202107-202507   内乡县第五小学 代课教师</v>
      </c>
    </row>
    <row r="2116" spans="1:9">
      <c r="A2116" s="1" t="str">
        <f>"411325199708290624"</f>
        <v>411325199708290624</v>
      </c>
      <c r="B2116" s="1" t="str">
        <f t="shared" si="1044"/>
        <v>群众</v>
      </c>
      <c r="C2116" s="1" t="str">
        <f>"硕士研究生"</f>
        <v>硕士研究生</v>
      </c>
      <c r="D2116" s="1" t="str">
        <f>"2025-07-01"</f>
        <v>2025-07-01</v>
      </c>
      <c r="E2116" s="1" t="str">
        <f>"河南科技学院"</f>
        <v>河南科技学院</v>
      </c>
      <c r="F2116" s="1" t="str">
        <f>"园艺学"</f>
        <v>园艺学</v>
      </c>
      <c r="G2116" s="1" t="str">
        <f>"河南省南阳市内乡县马山口镇樊岗村4组"</f>
        <v>河南省南阳市内乡县马山口镇樊岗村4组</v>
      </c>
      <c r="H2116" s="1" t="str">
        <f t="shared" si="1047"/>
        <v>无</v>
      </c>
      <c r="I2116" s="1" t="str">
        <f>"201809-202207  河南科技学院就读于资源与环境学院，农业资源与环境专业
202209-202507  河南科技学院就读于园艺园林学院，园艺学专业"</f>
        <v>201809-202207  河南科技学院就读于资源与环境学院，农业资源与环境专业
202209-202507  河南科技学院就读于园艺园林学院，园艺学专业</v>
      </c>
    </row>
    <row r="2117" spans="1:9">
      <c r="A2117" s="1" t="str">
        <f>"411381200112093028"</f>
        <v>411381200112093028</v>
      </c>
      <c r="B2117" s="1" t="str">
        <f t="shared" si="1044"/>
        <v>群众</v>
      </c>
      <c r="C2117" s="1" t="str">
        <f t="shared" si="1046"/>
        <v>本科</v>
      </c>
      <c r="D2117" s="1" t="str">
        <f>"20240607"</f>
        <v>20240607</v>
      </c>
      <c r="E2117" s="1" t="str">
        <f>"周口师范学院"</f>
        <v>周口师范学院</v>
      </c>
      <c r="F2117" s="1" t="str">
        <f>"音乐学"</f>
        <v>音乐学</v>
      </c>
      <c r="G2117" s="1" t="str">
        <f>"河南省南阳市邓州市田庄口"</f>
        <v>河南省南阳市邓州市田庄口</v>
      </c>
      <c r="H2117" s="1" t="str">
        <f t="shared" si="1047"/>
        <v>无</v>
      </c>
      <c r="I2117" s="1" t="str">
        <f>"202009-202406周口师范学院  就读
202406-202507在河南省南阳市邓州市待业"</f>
        <v>202009-202406周口师范学院  就读
202406-202507在河南省南阳市邓州市待业</v>
      </c>
    </row>
    <row r="2118" spans="1:9">
      <c r="A2118" s="1" t="str">
        <f>"411330200203081567"</f>
        <v>411330200203081567</v>
      </c>
      <c r="B2118" s="1" t="str">
        <f t="shared" ref="B2118:B2120" si="1048">"中共党员"</f>
        <v>中共党员</v>
      </c>
      <c r="C2118" s="1" t="str">
        <f t="shared" si="1046"/>
        <v>本科</v>
      </c>
      <c r="D2118" s="1" t="str">
        <f>"20250602"</f>
        <v>20250602</v>
      </c>
      <c r="E2118" s="1" t="str">
        <f>"周口师范学院"</f>
        <v>周口师范学院</v>
      </c>
      <c r="F2118" s="1" t="str">
        <f>"绘画"</f>
        <v>绘画</v>
      </c>
      <c r="G2118" s="1" t="str">
        <f>"河南省南阳市西峡县"</f>
        <v>河南省南阳市西峡县</v>
      </c>
      <c r="H2118" s="1" t="str">
        <f t="shared" si="1047"/>
        <v>无</v>
      </c>
      <c r="I2118" s="1" t="str">
        <f>"202110-202506周口师范学院美术学院绘画专业就读，是全日制学历。"</f>
        <v>202110-202506周口师范学院美术学院绘画专业就读，是全日制学历。</v>
      </c>
    </row>
    <row r="2119" spans="1:9">
      <c r="A2119" s="1" t="str">
        <f>"411327199811251140"</f>
        <v>411327199811251140</v>
      </c>
      <c r="B2119" s="1" t="str">
        <f t="shared" si="1048"/>
        <v>中共党员</v>
      </c>
      <c r="C2119" s="1" t="str">
        <f t="shared" si="1046"/>
        <v>本科</v>
      </c>
      <c r="D2119" s="1" t="str">
        <f>"20220701"</f>
        <v>20220701</v>
      </c>
      <c r="E2119" s="1" t="str">
        <f>"河南师范大学新联学院"</f>
        <v>河南师范大学新联学院</v>
      </c>
      <c r="F2119" s="1" t="str">
        <f>"工商管理"</f>
        <v>工商管理</v>
      </c>
      <c r="G2119" s="1" t="str">
        <f>"河南省南阳市内乡县赤眉镇"</f>
        <v>河南省南阳市内乡县赤眉镇</v>
      </c>
      <c r="H2119" s="1" t="str">
        <f t="shared" si="1047"/>
        <v>无</v>
      </c>
      <c r="I2119" s="1" t="str">
        <f>"201409-201706 河南经贸职业学院金融管理专业就读
201709-202207河南师范大学新联学院工商管理专业就读
202209-202507内乡菊潭学校就业"</f>
        <v>201409-201706 河南经贸职业学院金融管理专业就读
201709-202207河南师范大学新联学院工商管理专业就读
202209-202507内乡菊潭学校就业</v>
      </c>
    </row>
    <row r="2120" spans="1:9">
      <c r="A2120" s="1" t="str">
        <f>"420529199203190019"</f>
        <v>420529199203190019</v>
      </c>
      <c r="B2120" s="1" t="str">
        <f t="shared" si="1048"/>
        <v>中共党员</v>
      </c>
      <c r="C2120" s="1" t="str">
        <f t="shared" si="1046"/>
        <v>本科</v>
      </c>
      <c r="D2120" s="1" t="str">
        <f>"20250701"</f>
        <v>20250701</v>
      </c>
      <c r="E2120" s="1" t="str">
        <f>"湖北第二师范学院"</f>
        <v>湖北第二师范学院</v>
      </c>
      <c r="F2120" s="1" t="str">
        <f>"新闻学"</f>
        <v>新闻学</v>
      </c>
      <c r="G2120" s="1" t="str">
        <f>"湖北省五峰土家族自治五峰镇"</f>
        <v>湖北省五峰土家族自治五峰镇</v>
      </c>
      <c r="H2120" s="1" t="str">
        <f t="shared" si="1047"/>
        <v>无</v>
      </c>
      <c r="I2120" s="1" t="str">
        <f>"202303-202507湖北第二师范学院新闻学非全日制"</f>
        <v>202303-202507湖北第二师范学院新闻学非全日制</v>
      </c>
    </row>
    <row r="2121" spans="1:9">
      <c r="A2121" s="1" t="str">
        <f>"411303200012100041"</f>
        <v>411303200012100041</v>
      </c>
      <c r="B2121" s="1" t="str">
        <f t="shared" ref="B2121:B2124" si="1049">"共青团员"</f>
        <v>共青团员</v>
      </c>
      <c r="C2121" s="1" t="str">
        <f t="shared" si="1046"/>
        <v>本科</v>
      </c>
      <c r="D2121" s="1" t="str">
        <f>"20230529"</f>
        <v>20230529</v>
      </c>
      <c r="E2121" s="1" t="str">
        <f>"河南大学"</f>
        <v>河南大学</v>
      </c>
      <c r="F2121" s="1" t="str">
        <f>"环境设计"</f>
        <v>环境设计</v>
      </c>
      <c r="G2121" s="1" t="str">
        <f>"南阳市城乡一体化示范区枣林街道兴达社区珑府北区"</f>
        <v>南阳市城乡一体化示范区枣林街道兴达社区珑府北区</v>
      </c>
      <c r="H2121" s="1" t="str">
        <f t="shared" si="1047"/>
        <v>无</v>
      </c>
      <c r="I2121" s="1" t="str">
        <f>"2019年9月-2023年5月 河南大学欧亚国际学院环境设计专业就读，全日制学历
2023年6月-2025年7月 在家待业"</f>
        <v>2019年9月-2023年5月 河南大学欧亚国际学院环境设计专业就读，全日制学历
2023年6月-2025年7月 在家待业</v>
      </c>
    </row>
    <row r="2122" spans="1:9">
      <c r="A2122" s="1" t="str">
        <f>"411327200012270025"</f>
        <v>411327200012270025</v>
      </c>
      <c r="B2122" s="1" t="str">
        <f t="shared" si="1049"/>
        <v>共青团员</v>
      </c>
      <c r="C2122" s="1" t="str">
        <f t="shared" si="1046"/>
        <v>本科</v>
      </c>
      <c r="D2122" s="1" t="str">
        <f>"20240622"</f>
        <v>20240622</v>
      </c>
      <c r="E2122" s="1" t="str">
        <f>"新乡医学院三全学院"</f>
        <v>新乡医学院三全学院</v>
      </c>
      <c r="F2122" s="1" t="str">
        <f>"市场营销"</f>
        <v>市场营销</v>
      </c>
      <c r="G2122" s="1" t="str">
        <f>"河南省南阳市内乡县香樟苑小区"</f>
        <v>河南省南阳市内乡县香樟苑小区</v>
      </c>
      <c r="H2122" s="1" t="str">
        <f t="shared" si="1047"/>
        <v>无</v>
      </c>
      <c r="I2122" s="1" t="str">
        <f>"2019年9月至2022年6月，就读于郑州西亚斯国际学院会计学专业
2022年9月至2024年6月，就读于新乡医学院三全学院健康管理学院市场营销专业"</f>
        <v>2019年9月至2022年6月，就读于郑州西亚斯国际学院会计学专业
2022年9月至2024年6月，就读于新乡医学院三全学院健康管理学院市场营销专业</v>
      </c>
    </row>
    <row r="2123" spans="1:9">
      <c r="A2123" s="1" t="str">
        <f>"411525200301130924"</f>
        <v>411525200301130924</v>
      </c>
      <c r="B2123" s="1" t="str">
        <f>"群众"</f>
        <v>群众</v>
      </c>
      <c r="C2123" s="1" t="str">
        <f t="shared" si="1046"/>
        <v>本科</v>
      </c>
      <c r="D2123" s="1" t="str">
        <f>"20250610"</f>
        <v>20250610</v>
      </c>
      <c r="E2123" s="1" t="str">
        <f>"郑州工商学院"</f>
        <v>郑州工商学院</v>
      </c>
      <c r="F2123" s="1" t="str">
        <f>"商务英语"</f>
        <v>商务英语</v>
      </c>
      <c r="G2123" s="1" t="str">
        <f>"河南省固始县"</f>
        <v>河南省固始县</v>
      </c>
      <c r="H2123" s="1" t="str">
        <f t="shared" si="1047"/>
        <v>无</v>
      </c>
      <c r="I2123" s="1" t="str">
        <f>"202109-202506郑州工商学院就读，全日制"</f>
        <v>202109-202506郑州工商学院就读，全日制</v>
      </c>
    </row>
    <row r="2124" spans="1:9">
      <c r="A2124" s="1" t="str">
        <f>"412723200005202523"</f>
        <v>412723200005202523</v>
      </c>
      <c r="B2124" s="1" t="str">
        <f t="shared" si="1049"/>
        <v>共青团员</v>
      </c>
      <c r="C2124" s="1" t="str">
        <f t="shared" si="1046"/>
        <v>本科</v>
      </c>
      <c r="D2124" s="1" t="str">
        <f>"20220701"</f>
        <v>20220701</v>
      </c>
      <c r="E2124" s="1" t="str">
        <f>"河南师范大学新联学院"</f>
        <v>河南师范大学新联学院</v>
      </c>
      <c r="F2124" s="1" t="str">
        <f>"人力资源管理"</f>
        <v>人力资源管理</v>
      </c>
      <c r="G2124" s="1" t="str">
        <f>"河南省周口市商水县郝岗镇郝内小学"</f>
        <v>河南省周口市商水县郝岗镇郝内小学</v>
      </c>
      <c r="H2124" s="1" t="str">
        <f>"人力资源管理师四级"</f>
        <v>人力资源管理师四级</v>
      </c>
      <c r="I2124" s="1" t="str">
        <f>"201809-202207 河南师范大学新联学院 经济与管理学院 人力资源管理专业 就读 全日制；
202207-202507 在家待业备考"</f>
        <v>201809-202207 河南师范大学新联学院 经济与管理学院 人力资源管理专业 就读 全日制；
202207-202507 在家待业备考</v>
      </c>
    </row>
    <row r="2125" spans="1:9">
      <c r="A2125" s="1" t="str">
        <f>"411327200003134910"</f>
        <v>411327200003134910</v>
      </c>
      <c r="B2125" s="1" t="str">
        <f>"群众"</f>
        <v>群众</v>
      </c>
      <c r="C2125" s="1" t="str">
        <f t="shared" si="1046"/>
        <v>本科</v>
      </c>
      <c r="D2125" s="1" t="str">
        <f>"2023-06-19"</f>
        <v>2023-06-19</v>
      </c>
      <c r="E2125" s="1" t="str">
        <f>"哈尔滨体育学院"</f>
        <v>哈尔滨体育学院</v>
      </c>
      <c r="F2125" s="1" t="str">
        <f>"社会体育指导与管理"</f>
        <v>社会体育指导与管理</v>
      </c>
      <c r="G2125" s="1" t="str">
        <f>"河南省南阳市内乡县湍东镇新都花苑小区"</f>
        <v>河南省南阳市内乡县湍东镇新都花苑小区</v>
      </c>
      <c r="H2125" s="1" t="str">
        <f t="shared" ref="H2125:H2139" si="1050">"无"</f>
        <v>无</v>
      </c>
      <c r="I2125" s="1" t="str">
        <f>"2019年09月—2023年06月 哈尔滨体育学院 社会体育指导与管理 就读 全日制本科
2023年9月—至今 在内乡郦都学校担任体育教师"</f>
        <v>2019年09月—2023年06月 哈尔滨体育学院 社会体育指导与管理 就读 全日制本科
2023年9月—至今 在内乡郦都学校担任体育教师</v>
      </c>
    </row>
    <row r="2126" ht="108" spans="1:9">
      <c r="A2126" s="1" t="str">
        <f>"610302199710260514"</f>
        <v>610302199710260514</v>
      </c>
      <c r="B2126" s="1" t="str">
        <f>"中共党员"</f>
        <v>中共党员</v>
      </c>
      <c r="C2126" s="1" t="str">
        <f t="shared" si="1046"/>
        <v>本科</v>
      </c>
      <c r="D2126" s="1" t="str">
        <f>"20220710"</f>
        <v>20220710</v>
      </c>
      <c r="E2126" s="1" t="str">
        <f>"西安工业大学"</f>
        <v>西安工业大学</v>
      </c>
      <c r="F2126" s="1" t="str">
        <f>"土木工程"</f>
        <v>土木工程</v>
      </c>
      <c r="G2126" s="1" t="str">
        <f>"陕西省宝鸡市金台区东风路宝鸡石油机械厂塔A楼13层6号"</f>
        <v>陕西省宝鸡市金台区东风路宝鸡石油机械厂塔A楼13层6号</v>
      </c>
      <c r="H2126" s="1" t="str">
        <f>"二级建造师、助理工程师"</f>
        <v>二级建造师、助理工程师</v>
      </c>
      <c r="I2126" s="3" t="s">
        <v>241</v>
      </c>
    </row>
    <row r="2127" spans="1:9">
      <c r="A2127" s="1" t="str">
        <f>"410381200109107336"</f>
        <v>410381200109107336</v>
      </c>
      <c r="B2127" s="1" t="str">
        <f t="shared" ref="B2127:B2129" si="1051">"共青团员"</f>
        <v>共青团员</v>
      </c>
      <c r="C2127" s="1" t="str">
        <f t="shared" si="1046"/>
        <v>本科</v>
      </c>
      <c r="D2127" s="1" t="str">
        <f>"20240719"</f>
        <v>20240719</v>
      </c>
      <c r="E2127" s="1" t="str">
        <f>"郑州航空工业管理学院"</f>
        <v>郑州航空工业管理学院</v>
      </c>
      <c r="F2127" s="1" t="str">
        <f>"给排水科学与工程"</f>
        <v>给排水科学与工程</v>
      </c>
      <c r="G2127" s="1" t="str">
        <f>"河南省洛阳市洛龙区诸葛镇金燕农庄"</f>
        <v>河南省洛阳市洛龙区诸葛镇金燕农庄</v>
      </c>
      <c r="H2127" s="1" t="str">
        <f t="shared" si="1050"/>
        <v>无</v>
      </c>
      <c r="I2127" s="1" t="str">
        <f>"202009-201407 郑州航空工业管理学院 土木建筑学院 给排水科学与工程专业 就读 全日制"</f>
        <v>202009-201407 郑州航空工业管理学院 土木建筑学院 给排水科学与工程专业 就读 全日制</v>
      </c>
    </row>
    <row r="2128" spans="1:9">
      <c r="A2128" s="1" t="str">
        <f>"411327200008310020"</f>
        <v>411327200008310020</v>
      </c>
      <c r="B2128" s="1" t="str">
        <f t="shared" si="1051"/>
        <v>共青团员</v>
      </c>
      <c r="C2128" s="1" t="str">
        <f>"硕士研究生"</f>
        <v>硕士研究生</v>
      </c>
      <c r="D2128" s="1" t="str">
        <f>"20250701"</f>
        <v>20250701</v>
      </c>
      <c r="E2128" s="1" t="str">
        <f>"山西师范大学"</f>
        <v>山西师范大学</v>
      </c>
      <c r="F2128" s="1" t="str">
        <f>"戏剧与影视学"</f>
        <v>戏剧与影视学</v>
      </c>
      <c r="G2128" s="1" t="str">
        <f>"河南省南阳市内乡县城关镇东风村东风东路16号"</f>
        <v>河南省南阳市内乡县城关镇东风村东风东路16号</v>
      </c>
      <c r="H2128" s="1" t="str">
        <f t="shared" si="1050"/>
        <v>无</v>
      </c>
      <c r="I2128" s="1" t="str">
        <f>"201809-202207 河南师范大学文学院戏剧影视文学专业 全日制学士
202209-202507 山西师范大学传媒学院戏剧与影视学专业 全日制硕士"</f>
        <v>201809-202207 河南师范大学文学院戏剧影视文学专业 全日制学士
202209-202507 山西师范大学传媒学院戏剧与影视学专业 全日制硕士</v>
      </c>
    </row>
    <row r="2129" spans="1:9">
      <c r="A2129" s="1" t="str">
        <f>"411327200009283722"</f>
        <v>411327200009283722</v>
      </c>
      <c r="B2129" s="1" t="str">
        <f t="shared" si="1051"/>
        <v>共青团员</v>
      </c>
      <c r="C2129" s="1" t="str">
        <f t="shared" ref="C2129:C2133" si="1052">"本科"</f>
        <v>本科</v>
      </c>
      <c r="D2129" s="1" t="str">
        <f>"20220701"</f>
        <v>20220701</v>
      </c>
      <c r="E2129" s="1" t="str">
        <f>"洛阳师范学院"</f>
        <v>洛阳师范学院</v>
      </c>
      <c r="F2129" s="1" t="str">
        <f>"工商管理"</f>
        <v>工商管理</v>
      </c>
      <c r="G2129" s="1" t="str">
        <f>"河南省南阳市内乡县桃溪镇"</f>
        <v>河南省南阳市内乡县桃溪镇</v>
      </c>
      <c r="H2129" s="1" t="str">
        <f t="shared" si="1050"/>
        <v>无</v>
      </c>
      <c r="I2129" s="1" t="str">
        <f>"201809-202207 洛阳师范学院商学院工商管理专业 就读 是全日制学历"</f>
        <v>201809-202207 洛阳师范学院商学院工商管理专业 就读 是全日制学历</v>
      </c>
    </row>
    <row r="2130" spans="1:9">
      <c r="A2130" s="1" t="str">
        <f>"411322199003143836"</f>
        <v>411322199003143836</v>
      </c>
      <c r="B2130" s="1" t="str">
        <f t="shared" ref="B2130:B2134" si="1053">"群众"</f>
        <v>群众</v>
      </c>
      <c r="C2130" s="1" t="str">
        <f>"专科"</f>
        <v>专科</v>
      </c>
      <c r="D2130" s="1" t="str">
        <f>"2023年7月1日"</f>
        <v>2023年7月1日</v>
      </c>
      <c r="E2130" s="1" t="str">
        <f>"河南工业职业技术学院"</f>
        <v>河南工业职业技术学院</v>
      </c>
      <c r="F2130" s="1" t="str">
        <f>"计算机应用技术"</f>
        <v>计算机应用技术</v>
      </c>
      <c r="G2130" s="1" t="str">
        <f>"河南省南阳市方城县券桥镇券桥村东马童庄578号"</f>
        <v>河南省南阳市方城县券桥镇券桥村东马童庄578号</v>
      </c>
      <c r="H2130" s="1" t="str">
        <f t="shared" si="1050"/>
        <v>无</v>
      </c>
      <c r="I2130" s="1" t="str">
        <f>"2007年9月—2010年6月在方城县国际学校高中部读高中
2010年9月—2015年10月在南阳市信利佳电子有限公司做网络维护
2015年11月—2017年9月在南阳市咏梅婴幼儿服饰有限公司销售
2017年10月—2021年9月在方城县券桥镇人民政府公益岗
2021年10月—2023年7月就读河南工业职业技术学院计算机应用专业
2023年7月—2025年7月方城县券桥镇临时人员"</f>
        <v>2007年9月—2010年6月在方城县国际学校高中部读高中
2010年9月—2015年10月在南阳市信利佳电子有限公司做网络维护
2015年11月—2017年9月在南阳市咏梅婴幼儿服饰有限公司销售
2017年10月—2021年9月在方城县券桥镇人民政府公益岗
2021年10月—2023年7月就读河南工业职业技术学院计算机应用专业
2023年7月—2025年7月方城县券桥镇临时人员</v>
      </c>
    </row>
    <row r="2131" spans="1:9">
      <c r="A2131" s="1" t="str">
        <f>"411327199102183157"</f>
        <v>411327199102183157</v>
      </c>
      <c r="B2131" s="1" t="str">
        <f>"中共党员"</f>
        <v>中共党员</v>
      </c>
      <c r="C2131" s="1" t="str">
        <f>"硕士研究生"</f>
        <v>硕士研究生</v>
      </c>
      <c r="D2131" s="1" t="str">
        <f>"20160630"</f>
        <v>20160630</v>
      </c>
      <c r="E2131" s="1" t="str">
        <f>"西北农林科技大学"</f>
        <v>西北农林科技大学</v>
      </c>
      <c r="F2131" s="1" t="str">
        <f>"食品工程"</f>
        <v>食品工程</v>
      </c>
      <c r="G2131" s="1" t="str">
        <f>"河南省内乡县夏馆镇吴岗村"</f>
        <v>河南省内乡县夏馆镇吴岗村</v>
      </c>
      <c r="H2131" s="1" t="str">
        <f t="shared" si="1050"/>
        <v>无</v>
      </c>
      <c r="I2131" s="1" t="str">
        <f>"2010.09-2014.07   南阳师范学院生物科学专业本科学生
2014.07-2014.09   待业
2014.09-2016.06   西北农林科技大学食品工程专业研究生
2016.06-2016.08   待业
2016.08-2019.08   江苏省宝应县夏集镇郭桥村大学生村官
2019.08-          待业"</f>
        <v>2010.09-2014.07   南阳师范学院生物科学专业本科学生
2014.07-2014.09   待业
2014.09-2016.06   西北农林科技大学食品工程专业研究生
2016.06-2016.08   待业
2016.08-2019.08   江苏省宝应县夏集镇郭桥村大学生村官
2019.08-          待业</v>
      </c>
    </row>
    <row r="2132" spans="1:9">
      <c r="A2132" s="1" t="str">
        <f>"411327199408263125"</f>
        <v>411327199408263125</v>
      </c>
      <c r="B2132" s="1" t="str">
        <f>"中共预备党员"</f>
        <v>中共预备党员</v>
      </c>
      <c r="C2132" s="1" t="str">
        <f t="shared" si="1052"/>
        <v>本科</v>
      </c>
      <c r="D2132" s="1" t="str">
        <f>"20180701"</f>
        <v>20180701</v>
      </c>
      <c r="E2132" s="1" t="str">
        <f>"河南牧业经济学院"</f>
        <v>河南牧业经济学院</v>
      </c>
      <c r="F2132" s="1" t="str">
        <f>"食品科学与工程"</f>
        <v>食品科学与工程</v>
      </c>
      <c r="G2132" s="1" t="str">
        <f>"河南省南阳市内乡县夏馆镇吴岗村"</f>
        <v>河南省南阳市内乡县夏馆镇吴岗村</v>
      </c>
      <c r="H2132" s="1" t="str">
        <f t="shared" si="1050"/>
        <v>无</v>
      </c>
      <c r="I2132" s="1" t="str">
        <f>"201409-201807河南牧业经济学院，就读视频科学与工程专业，全日制本科学历。
201807-201907蓝月亮（中国）有限公司，在浓缩使命中心从事促销主任一职。
201907-202110河南天任科技网络有限公司，在市场部从事学员专业辅导工作。
202403-202406河南智慧物流园有限公司，在市场部从事文员工作。
202411-202505高顿教育，从事研究生规划辅导一职。 "</f>
        <v>201409-201807河南牧业经济学院，就读视频科学与工程专业，全日制本科学历。
201807-201907蓝月亮（中国）有限公司，在浓缩使命中心从事促销主任一职。
201907-202110河南天任科技网络有限公司，在市场部从事学员专业辅导工作。
202403-202406河南智慧物流园有限公司，在市场部从事文员工作。
202411-202505高顿教育，从事研究生规划辅导一职。 </v>
      </c>
    </row>
    <row r="2133" spans="1:9">
      <c r="A2133" s="1" t="str">
        <f>"411327200102034536"</f>
        <v>411327200102034536</v>
      </c>
      <c r="B2133" s="1" t="str">
        <f t="shared" si="1053"/>
        <v>群众</v>
      </c>
      <c r="C2133" s="1" t="str">
        <f t="shared" si="1052"/>
        <v>本科</v>
      </c>
      <c r="D2133" s="1" t="str">
        <f>"20220701"</f>
        <v>20220701</v>
      </c>
      <c r="E2133" s="1" t="str">
        <f>"河南工学院"</f>
        <v>河南工学院</v>
      </c>
      <c r="F2133" s="1" t="str">
        <f>"工业工程"</f>
        <v>工业工程</v>
      </c>
      <c r="G2133" s="1" t="str">
        <f>"内乡县赵店乡长岭村阮家组5号"</f>
        <v>内乡县赵店乡长岭村阮家组5号</v>
      </c>
      <c r="H2133" s="1" t="str">
        <f t="shared" si="1050"/>
        <v>无</v>
      </c>
      <c r="I2133" s="1" t="str">
        <f>"201809—202206在河南工学院管理学院工业工程专业全日制就读
202202—202208在广达电脑（上海）集团实习
202207—202212待业
202301——至今  内乡县经济作物推广中心（原内乡县人民政府烟叶生产办公室）公益性岗位"</f>
        <v>201809—202206在河南工学院管理学院工业工程专业全日制就读
202202—202208在广达电脑（上海）集团实习
202207—202212待业
202301——至今  内乡县经济作物推广中心（原内乡县人民政府烟叶生产办公室）公益性岗位</v>
      </c>
    </row>
    <row r="2134" spans="1:9">
      <c r="A2134" s="1" t="str">
        <f>"41132719930603003X"</f>
        <v>41132719930603003X</v>
      </c>
      <c r="B2134" s="1" t="str">
        <f t="shared" si="1053"/>
        <v>群众</v>
      </c>
      <c r="C2134" s="1" t="str">
        <f>"专科"</f>
        <v>专科</v>
      </c>
      <c r="D2134" s="1" t="str">
        <f>"20140701"</f>
        <v>20140701</v>
      </c>
      <c r="E2134" s="1" t="str">
        <f>"郑州华信学院"</f>
        <v>郑州华信学院</v>
      </c>
      <c r="F2134" s="1" t="str">
        <f>"汽车运用技术"</f>
        <v>汽车运用技术</v>
      </c>
      <c r="G2134" s="1" t="str">
        <f>"河南省南阳市内乡县县委"</f>
        <v>河南省南阳市内乡县县委</v>
      </c>
      <c r="H2134" s="1" t="str">
        <f t="shared" si="1050"/>
        <v>无</v>
      </c>
      <c r="I2134" s="1" t="str">
        <f>"200909-201407郑州华信学院就读  全日制"</f>
        <v>200909-201407郑州华信学院就读  全日制</v>
      </c>
    </row>
    <row r="2135" spans="1:9">
      <c r="A2135" s="1" t="str">
        <f>"411327199807183325"</f>
        <v>411327199807183325</v>
      </c>
      <c r="B2135" s="1" t="str">
        <f t="shared" ref="B2135:B2137" si="1054">"共青团员"</f>
        <v>共青团员</v>
      </c>
      <c r="C2135" s="1" t="str">
        <f t="shared" ref="C2135:C2137" si="1055">"本科"</f>
        <v>本科</v>
      </c>
      <c r="D2135" s="1" t="str">
        <f>"20210621"</f>
        <v>20210621</v>
      </c>
      <c r="E2135" s="1" t="str">
        <f>"广西医科大学"</f>
        <v>广西医科大学</v>
      </c>
      <c r="F2135" s="1" t="str">
        <f>"生物医学工程"</f>
        <v>生物医学工程</v>
      </c>
      <c r="G2135" s="1" t="str">
        <f>"河南省南阳市内乡县湍东镇安泰荣盛公馆4号楼"</f>
        <v>河南省南阳市内乡县湍东镇安泰荣盛公馆4号楼</v>
      </c>
      <c r="H2135" s="1" t="str">
        <f t="shared" si="1050"/>
        <v>无</v>
      </c>
      <c r="I2135" s="1" t="str">
        <f>"201709-202106 广西医科大学学校基础医学院生物医学工程专业就读，全日制学历
202106-202205广州科洛克生物医药集团有限公司
202205-至今 内乡县城关镇卫生院"</f>
        <v>201709-202106 广西医科大学学校基础医学院生物医学工程专业就读，全日制学历
202106-202205广州科洛克生物医药集团有限公司
202205-至今 内乡县城关镇卫生院</v>
      </c>
    </row>
    <row r="2136" spans="1:9">
      <c r="A2136" s="1" t="str">
        <f>"410822199911282029"</f>
        <v>410822199911282029</v>
      </c>
      <c r="B2136" s="1" t="str">
        <f t="shared" si="1054"/>
        <v>共青团员</v>
      </c>
      <c r="C2136" s="1" t="str">
        <f t="shared" si="1055"/>
        <v>本科</v>
      </c>
      <c r="D2136" s="1" t="str">
        <f>"19991128"</f>
        <v>19991128</v>
      </c>
      <c r="E2136" s="1" t="str">
        <f>"河南师范大学"</f>
        <v>河南师范大学</v>
      </c>
      <c r="F2136" s="1" t="str">
        <f>"生态学"</f>
        <v>生态学</v>
      </c>
      <c r="G2136" s="1" t="str">
        <f>"河南省焦作市"</f>
        <v>河南省焦作市</v>
      </c>
      <c r="H2136" s="1" t="str">
        <f t="shared" si="1050"/>
        <v>无</v>
      </c>
      <c r="I2136" s="1" t="str">
        <f>"201809-202206 河南师范大学生命科学学院生态学就读，全日制本科学历"</f>
        <v>201809-202206 河南师范大学生命科学学院生态学就读，全日制本科学历</v>
      </c>
    </row>
    <row r="2137" spans="1:9">
      <c r="A2137" s="1" t="str">
        <f>"339005199811024821"</f>
        <v>339005199811024821</v>
      </c>
      <c r="B2137" s="1" t="str">
        <f t="shared" si="1054"/>
        <v>共青团员</v>
      </c>
      <c r="C2137" s="1" t="str">
        <f t="shared" si="1055"/>
        <v>本科</v>
      </c>
      <c r="D2137" s="1" t="str">
        <f>"20210602"</f>
        <v>20210602</v>
      </c>
      <c r="E2137" s="1" t="str">
        <f>"温州医科大学仁济学院"</f>
        <v>温州医科大学仁济学院</v>
      </c>
      <c r="F2137" s="1" t="str">
        <f>"生物医学工程"</f>
        <v>生物医学工程</v>
      </c>
      <c r="G2137" s="1" t="str">
        <f>"浙江省杭州市萧山区瓜沥镇低田畈村2组张家12号"</f>
        <v>浙江省杭州市萧山区瓜沥镇低田畈村2组张家12号</v>
      </c>
      <c r="H2137" s="1" t="str">
        <f t="shared" si="1050"/>
        <v>无</v>
      </c>
      <c r="I2137" s="1" t="str">
        <f>"201709-202106 温州医科大学仁济学院就读  2017年09月至2021年06月在温州医科大学仁济学院人文管理与信息工程系生物医学工程专业就读 全日制学历
202106-202108 杭州待业
202108-至今  杭州就业"</f>
        <v>201709-202106 温州医科大学仁济学院就读  2017年09月至2021年06月在温州医科大学仁济学院人文管理与信息工程系生物医学工程专业就读 全日制学历
202106-202108 杭州待业
202108-至今  杭州就业</v>
      </c>
    </row>
    <row r="2138" spans="1:9">
      <c r="A2138" s="1" t="str">
        <f>"411324200004053240"</f>
        <v>411324200004053240</v>
      </c>
      <c r="B2138" s="1" t="str">
        <f>"中共党员"</f>
        <v>中共党员</v>
      </c>
      <c r="C2138" s="1" t="str">
        <f>"硕士研究生"</f>
        <v>硕士研究生</v>
      </c>
      <c r="D2138" s="1" t="str">
        <f>"20250701"</f>
        <v>20250701</v>
      </c>
      <c r="E2138" s="1" t="str">
        <f>"河南师范大学"</f>
        <v>河南师范大学</v>
      </c>
      <c r="F2138" s="1" t="str">
        <f>"生物学"</f>
        <v>生物学</v>
      </c>
      <c r="G2138" s="1" t="str">
        <f>"河南省南阳市镇平县雪枫街道新城广场"</f>
        <v>河南省南阳市镇平县雪枫街道新城广场</v>
      </c>
      <c r="H2138" s="1" t="str">
        <f t="shared" si="1050"/>
        <v>无</v>
      </c>
      <c r="I2138" s="1" t="str">
        <f>"201809-202207 河南师范大学新联学院就读 生物技术 全日制学历 本科
202209-202507 河南师范大学就读 生物学 全日制学历 研究生"</f>
        <v>201809-202207 河南师范大学新联学院就读 生物技术 全日制学历 本科
202209-202507 河南师范大学就读 生物学 全日制学历 研究生</v>
      </c>
    </row>
    <row r="2139" spans="1:9">
      <c r="A2139" s="1" t="str">
        <f>"410926200108180425"</f>
        <v>410926200108180425</v>
      </c>
      <c r="B2139" s="1" t="str">
        <f t="shared" ref="B2139:B2144" si="1056">"共青团员"</f>
        <v>共青团员</v>
      </c>
      <c r="C2139" s="1" t="str">
        <f t="shared" ref="C2139:C2145" si="1057">"本科"</f>
        <v>本科</v>
      </c>
      <c r="D2139" s="1" t="str">
        <f>"201907"</f>
        <v>201907</v>
      </c>
      <c r="E2139" s="1" t="str">
        <f>"河南师范大学新联学院"</f>
        <v>河南师范大学新联学院</v>
      </c>
      <c r="F2139" s="1" t="str">
        <f>"酒店管理"</f>
        <v>酒店管理</v>
      </c>
      <c r="G2139" s="1" t="str">
        <f>"河南省濮阳市五一路世外桃源"</f>
        <v>河南省濮阳市五一路世外桃源</v>
      </c>
      <c r="H2139" s="1" t="str">
        <f t="shared" si="1050"/>
        <v>无</v>
      </c>
      <c r="I2139" s="1" t="str">
        <f>"201909-202307 河南师范大学新联学院 就读酒店管理专业，全日制"</f>
        <v>201909-202307 河南师范大学新联学院 就读酒店管理专业，全日制</v>
      </c>
    </row>
    <row r="2140" spans="1:9">
      <c r="A2140" s="1" t="str">
        <f>"411325200201100663"</f>
        <v>411325200201100663</v>
      </c>
      <c r="B2140" s="1" t="str">
        <f t="shared" ref="B2140:B2148" si="1058">"群众"</f>
        <v>群众</v>
      </c>
      <c r="C2140" s="1" t="str">
        <f t="shared" si="1057"/>
        <v>本科</v>
      </c>
      <c r="D2140" s="1" t="str">
        <f>"20250607"</f>
        <v>20250607</v>
      </c>
      <c r="E2140" s="1" t="str">
        <f>"南阳师范学院"</f>
        <v>南阳师范学院</v>
      </c>
      <c r="F2140" s="1" t="str">
        <f>"财务管理"</f>
        <v>财务管理</v>
      </c>
      <c r="G2140" s="1" t="str">
        <f>"河南省南阳市内乡县马山口镇"</f>
        <v>河南省南阳市内乡县马山口镇</v>
      </c>
      <c r="H2140" s="1" t="str">
        <f>"初级会计证书、计算机二级证书"</f>
        <v>初级会计证书、计算机二级证书</v>
      </c>
      <c r="I2140" s="1" t="str">
        <f>"202109-202506南阳师范学院经济与管理学院工商管理类财务管理专业就读，全日制学历。"</f>
        <v>202109-202506南阳师范学院经济与管理学院工商管理类财务管理专业就读，全日制学历。</v>
      </c>
    </row>
    <row r="2141" spans="1:9">
      <c r="A2141" s="1" t="str">
        <f>"411327200111192018"</f>
        <v>411327200111192018</v>
      </c>
      <c r="B2141" s="1" t="str">
        <f>"中共党员"</f>
        <v>中共党员</v>
      </c>
      <c r="C2141" s="1" t="str">
        <f t="shared" si="1057"/>
        <v>本科</v>
      </c>
      <c r="D2141" s="1" t="str">
        <f>"20240701"</f>
        <v>20240701</v>
      </c>
      <c r="E2141" s="1" t="str">
        <f>"黄河交通学院"</f>
        <v>黄河交通学院</v>
      </c>
      <c r="F2141" s="1" t="str">
        <f>"计算机科学与技术"</f>
        <v>计算机科学与技术</v>
      </c>
      <c r="G2141" s="1" t="str">
        <f>"河南省南阳市内乡县建业森林半岛"</f>
        <v>河南省南阳市内乡县建业森林半岛</v>
      </c>
      <c r="H2141" s="1" t="str">
        <f t="shared" ref="H2141:H2143" si="1059">"无"</f>
        <v>无</v>
      </c>
      <c r="I2141" s="1" t="str">
        <f>"202009-202407 黄河交通学院 智能工程学院计算机科学与技术专业 全日制就读"</f>
        <v>202009-202407 黄河交通学院 智能工程学院计算机科学与技术专业 全日制就读</v>
      </c>
    </row>
    <row r="2142" spans="1:9">
      <c r="A2142" s="1" t="str">
        <f>"411327199712121148"</f>
        <v>411327199712121148</v>
      </c>
      <c r="B2142" s="1" t="str">
        <f t="shared" si="1056"/>
        <v>共青团员</v>
      </c>
      <c r="C2142" s="1" t="str">
        <f t="shared" si="1057"/>
        <v>本科</v>
      </c>
      <c r="D2142" s="1" t="str">
        <f>"20210701"</f>
        <v>20210701</v>
      </c>
      <c r="E2142" s="1" t="str">
        <f>"信阳学院"</f>
        <v>信阳学院</v>
      </c>
      <c r="F2142" s="1" t="str">
        <f>"汉语言文学"</f>
        <v>汉语言文学</v>
      </c>
      <c r="G2142" s="1" t="str">
        <f>"河南省南阳市内乡县赤眉镇鱼贯口村"</f>
        <v>河南省南阳市内乡县赤眉镇鱼贯口村</v>
      </c>
      <c r="H2142" s="1" t="str">
        <f t="shared" si="1059"/>
        <v>无</v>
      </c>
      <c r="I2142" s="1" t="str">
        <f>"201709-202107于信阳学院文学院汉语言文学专业就读
202109-202301于内乡郦都任教
202302-至今待业"</f>
        <v>201709-202107于信阳学院文学院汉语言文学专业就读
202109-202301于内乡郦都任教
202302-至今待业</v>
      </c>
    </row>
    <row r="2143" spans="1:9">
      <c r="A2143" s="1" t="str">
        <f>"410182199412180317"</f>
        <v>410182199412180317</v>
      </c>
      <c r="B2143" s="1" t="str">
        <f t="shared" si="1058"/>
        <v>群众</v>
      </c>
      <c r="C2143" s="1" t="str">
        <f t="shared" si="1057"/>
        <v>本科</v>
      </c>
      <c r="D2143" s="1" t="str">
        <f>"20230702"</f>
        <v>20230702</v>
      </c>
      <c r="E2143" s="1" t="str">
        <f>"约克维尔大学"</f>
        <v>约克维尔大学</v>
      </c>
      <c r="F2143" s="1" t="str">
        <f>"工商管理"</f>
        <v>工商管理</v>
      </c>
      <c r="G2143" s="1" t="str">
        <f>"河南省，郑州市，新密市北文峰路青屏花园1号"</f>
        <v>河南省，郑州市，新密市北文峰路青屏花园1号</v>
      </c>
      <c r="H2143" s="1" t="str">
        <f t="shared" si="1059"/>
        <v>无</v>
      </c>
      <c r="I2143" s="1" t="str">
        <f>"201404-201506，就读于加拿大道格拉斯学院学习ESL英语课程，非全日制。
201507-201704，就读于加拿大高贵林学院学习ESL英语课程，非全日制。
201705-202007，就读于加拿大温哥华首相管理学院，毕业于酒店管理专业，全日制。
202010-202307，就读于加拿大约克维尔大学，毕业于工商管理专业，全日制。
202307至今，待业。"</f>
        <v>201404-201506，就读于加拿大道格拉斯学院学习ESL英语课程，非全日制。
201507-201704，就读于加拿大高贵林学院学习ESL英语课程，非全日制。
201705-202007，就读于加拿大温哥华首相管理学院，毕业于酒店管理专业，全日制。
202010-202307，就读于加拿大约克维尔大学，毕业于工商管理专业，全日制。
202307至今，待业。</v>
      </c>
    </row>
    <row r="2144" spans="1:9">
      <c r="A2144" s="1" t="str">
        <f>"411327200210211122"</f>
        <v>411327200210211122</v>
      </c>
      <c r="B2144" s="1" t="str">
        <f t="shared" si="1056"/>
        <v>共青团员</v>
      </c>
      <c r="C2144" s="1" t="str">
        <f t="shared" si="1057"/>
        <v>本科</v>
      </c>
      <c r="D2144" s="1" t="str">
        <f>"20240701"</f>
        <v>20240701</v>
      </c>
      <c r="E2144" s="1" t="str">
        <f>"河南师范大学"</f>
        <v>河南师范大学</v>
      </c>
      <c r="F2144" s="1" t="str">
        <f>"法学"</f>
        <v>法学</v>
      </c>
      <c r="G2144" s="1" t="str">
        <f>"河南省南阳市内乡县赤眉镇张堂村庙根"</f>
        <v>河南省南阳市内乡县赤眉镇张堂村庙根</v>
      </c>
      <c r="H2144" s="1" t="str">
        <f>"法律职业资格证A证"</f>
        <v>法律职业资格证A证</v>
      </c>
      <c r="I2144" s="1" t="str">
        <f>"202009-202407 河南师范大学法学专业就读，全日制本科
202407-202507于南阳市待业"</f>
        <v>202009-202407 河南师范大学法学专业就读，全日制本科
202407-202507于南阳市待业</v>
      </c>
    </row>
    <row r="2145" spans="1:9">
      <c r="A2145" s="1" t="str">
        <f>"410882199812198573"</f>
        <v>410882199812198573</v>
      </c>
      <c r="B2145" s="1" t="str">
        <f t="shared" si="1058"/>
        <v>群众</v>
      </c>
      <c r="C2145" s="1" t="str">
        <f t="shared" si="1057"/>
        <v>本科</v>
      </c>
      <c r="D2145" s="1" t="str">
        <f>"20210625"</f>
        <v>20210625</v>
      </c>
      <c r="E2145" s="1" t="str">
        <f>"齐齐哈尔大学"</f>
        <v>齐齐哈尔大学</v>
      </c>
      <c r="F2145" s="1" t="str">
        <f>"环境工程"</f>
        <v>环境工程</v>
      </c>
      <c r="G2145" s="1" t="str">
        <f>"河南省焦作市沁阳市山王庄镇"</f>
        <v>河南省焦作市沁阳市山王庄镇</v>
      </c>
      <c r="H2145" s="1" t="str">
        <f t="shared" ref="H2145:H2152" si="1060">"无"</f>
        <v>无</v>
      </c>
      <c r="I2145" s="1" t="str">
        <f>"201709-202106齐齐哈尔大学化学与化学工程学院环境工程专业就读 全日制 202107-202306中国机械工业第四建设工程有限公司就业技术员 202306至今在河南省焦作市沁阳市山王庄镇张坡村待业"</f>
        <v>201709-202106齐齐哈尔大学化学与化学工程学院环境工程专业就读 全日制 202107-202306中国机械工业第四建设工程有限公司就业技术员 202306至今在河南省焦作市沁阳市山王庄镇张坡村待业</v>
      </c>
    </row>
    <row r="2146" spans="1:9">
      <c r="A2146" s="1" t="str">
        <f>"411327199303073720"</f>
        <v>411327199303073720</v>
      </c>
      <c r="B2146" s="1" t="str">
        <f t="shared" si="1058"/>
        <v>群众</v>
      </c>
      <c r="C2146" s="1" t="str">
        <f>"专科"</f>
        <v>专科</v>
      </c>
      <c r="D2146" s="1" t="str">
        <f>"201507"</f>
        <v>201507</v>
      </c>
      <c r="E2146" s="1" t="str">
        <f>"河南工程学院"</f>
        <v>河南工程学院</v>
      </c>
      <c r="F2146" s="1" t="str">
        <f>"社区管理与服务"</f>
        <v>社区管理与服务</v>
      </c>
      <c r="G2146" s="1" t="str">
        <f>"河南省南阳市内乡县赵店乡"</f>
        <v>河南省南阳市内乡县赵店乡</v>
      </c>
      <c r="H2146" s="1" t="str">
        <f t="shared" si="1060"/>
        <v>无</v>
      </c>
      <c r="I2146" s="1" t="str">
        <f>"201309-201507河南工程学院就读
201509-202507淅川县厚坡第三中心小学教师"</f>
        <v>201309-201507河南工程学院就读
201509-202507淅川县厚坡第三中心小学教师</v>
      </c>
    </row>
    <row r="2147" spans="1:9">
      <c r="A2147" s="1" t="str">
        <f>"411325200107021520"</f>
        <v>411325200107021520</v>
      </c>
      <c r="B2147" s="1" t="str">
        <f t="shared" si="1058"/>
        <v>群众</v>
      </c>
      <c r="C2147" s="1" t="str">
        <f t="shared" ref="C2147:C2151" si="1061">"本科"</f>
        <v>本科</v>
      </c>
      <c r="D2147" s="1" t="str">
        <f>"20240610"</f>
        <v>20240610</v>
      </c>
      <c r="E2147" s="1" t="str">
        <f>"郑州经贸学院"</f>
        <v>郑州经贸学院</v>
      </c>
      <c r="F2147" s="1" t="str">
        <f>"计算机科学与技术"</f>
        <v>计算机科学与技术</v>
      </c>
      <c r="G2147" s="1" t="str">
        <f>"河南省南阳市内乡县张岗村"</f>
        <v>河南省南阳市内乡县张岗村</v>
      </c>
      <c r="H2147" s="1" t="str">
        <f t="shared" si="1060"/>
        <v>无</v>
      </c>
      <c r="I2147" s="1" t="str">
        <f>"201909-202206河南职业技术学院就读 现代信息技术学院大数据技术与应用专业 是全日制
202209-202406郑州经贸学院就读 计算机学院 计算机科学与技术专业 是全日制"</f>
        <v>201909-202206河南职业技术学院就读 现代信息技术学院大数据技术与应用专业 是全日制
202209-202406郑州经贸学院就读 计算机学院 计算机科学与技术专业 是全日制</v>
      </c>
    </row>
    <row r="2148" spans="1:9">
      <c r="A2148" s="1" t="str">
        <f>"411326200002160037"</f>
        <v>411326200002160037</v>
      </c>
      <c r="B2148" s="1" t="str">
        <f t="shared" si="1058"/>
        <v>群众</v>
      </c>
      <c r="C2148" s="1" t="str">
        <f>"专科"</f>
        <v>专科</v>
      </c>
      <c r="D2148" s="1" t="str">
        <f>"2021-07-01"</f>
        <v>2021-07-01</v>
      </c>
      <c r="E2148" s="1" t="str">
        <f>"河南质量工程职业学院"</f>
        <v>河南质量工程职业学院</v>
      </c>
      <c r="F2148" s="1" t="str">
        <f>"计算机应用技术"</f>
        <v>计算机应用技术</v>
      </c>
      <c r="G2148" s="1" t="str">
        <f>"河南省南阳市南召县城关镇鑫泰广场三单元2601"</f>
        <v>河南省南阳市南召县城关镇鑫泰广场三单元2601</v>
      </c>
      <c r="H2148" s="1" t="str">
        <f t="shared" si="1060"/>
        <v>无</v>
      </c>
      <c r="I2148" s="1" t="str">
        <f>"2018年09月01日-2021年07月01日于河南质量工程职业学院信息工程系计算机应用技术专业就读，全日制学历。2021年12月份至2024年12月份在南召县市场监督管理局提供的公益性岗位工作；2024年12月后离职，至今未就业。"</f>
        <v>2018年09月01日-2021年07月01日于河南质量工程职业学院信息工程系计算机应用技术专业就读，全日制学历。2021年12月份至2024年12月份在南召县市场监督管理局提供的公益性岗位工作；2024年12月后离职，至今未就业。</v>
      </c>
    </row>
    <row r="2149" spans="1:9">
      <c r="A2149" s="1" t="str">
        <f>"411327200408181141"</f>
        <v>411327200408181141</v>
      </c>
      <c r="B2149" s="1" t="str">
        <f>"共青团员"</f>
        <v>共青团员</v>
      </c>
      <c r="C2149" s="1" t="str">
        <f t="shared" si="1061"/>
        <v>本科</v>
      </c>
      <c r="D2149" s="1" t="str">
        <f>"20250630"</f>
        <v>20250630</v>
      </c>
      <c r="E2149" s="1" t="str">
        <f>"中南民族大学"</f>
        <v>中南民族大学</v>
      </c>
      <c r="F2149" s="1" t="str">
        <f>"电子信息工程"</f>
        <v>电子信息工程</v>
      </c>
      <c r="G2149" s="1" t="str">
        <f>"河南省内乡县赤眉一初中"</f>
        <v>河南省内乡县赤眉一初中</v>
      </c>
      <c r="H2149" s="1" t="str">
        <f t="shared" si="1060"/>
        <v>无</v>
      </c>
      <c r="I2149" s="1" t="str">
        <f>"202109-202506 中南民族大学 电子信息工程学院 电子信息工程专业就读 全日制学历"</f>
        <v>202109-202506 中南民族大学 电子信息工程学院 电子信息工程专业就读 全日制学历</v>
      </c>
    </row>
    <row r="2150" spans="1:9">
      <c r="A2150" s="1" t="str">
        <f>"410303200102243221"</f>
        <v>410303200102243221</v>
      </c>
      <c r="B2150" s="1" t="str">
        <f>"中共党员"</f>
        <v>中共党员</v>
      </c>
      <c r="C2150" s="1" t="str">
        <f t="shared" si="1061"/>
        <v>本科</v>
      </c>
      <c r="D2150" s="1" t="str">
        <f>"20250630"</f>
        <v>20250630</v>
      </c>
      <c r="E2150" s="1" t="str">
        <f>"郑州工程技术学院"</f>
        <v>郑州工程技术学院</v>
      </c>
      <c r="F2150" s="1" t="str">
        <f>"酒店管理"</f>
        <v>酒店管理</v>
      </c>
      <c r="G2150" s="1" t="str">
        <f>"河南省洛阳市瀍河区恒大绿洲"</f>
        <v>河南省洛阳市瀍河区恒大绿洲</v>
      </c>
      <c r="H2150" s="1" t="str">
        <f t="shared" si="1060"/>
        <v>无</v>
      </c>
      <c r="I2150" s="1" t="str">
        <f>"202009-202306 河南交通职业技术学院 酒店管理 全日制
202309-202506 郑州工程技术学院 酒店管理 全日制"</f>
        <v>202009-202306 河南交通职业技术学院 酒店管理 全日制
202309-202506 郑州工程技术学院 酒店管理 全日制</v>
      </c>
    </row>
    <row r="2151" spans="1:9">
      <c r="A2151" s="1" t="str">
        <f>"142730199911291014"</f>
        <v>142730199911291014</v>
      </c>
      <c r="B2151" s="1" t="str">
        <f t="shared" ref="B2151:B2156" si="1062">"群众"</f>
        <v>群众</v>
      </c>
      <c r="C2151" s="1" t="str">
        <f t="shared" si="1061"/>
        <v>本科</v>
      </c>
      <c r="D2151" s="1" t="str">
        <f>"20220603"</f>
        <v>20220603</v>
      </c>
      <c r="E2151" s="1" t="str">
        <f>"运城学院"</f>
        <v>运城学院</v>
      </c>
      <c r="F2151" s="1" t="str">
        <f>"旅游管理"</f>
        <v>旅游管理</v>
      </c>
      <c r="G2151" s="1" t="str">
        <f>"山西省夏县禹王乡中其里村"</f>
        <v>山西省夏县禹王乡中其里村</v>
      </c>
      <c r="H2151" s="1" t="str">
        <f t="shared" si="1060"/>
        <v>无</v>
      </c>
      <c r="I2151" s="1" t="str">
        <f>"201809-202206 在运城学院（文化旅游系旅游管理）（全日制）就读；
202207-202303 在西安蜗牛学苑学习；
202304-202402 在北京通达信分公司工作；
202403-202409 在泰州待业；
202410-202411 在无锡微晶软件科技有限公司工作；
202412-202502 在无锡中信银行信用卡中心工作；
202503至今 在山西夏县待业。"</f>
        <v>201809-202206 在运城学院（文化旅游系旅游管理）（全日制）就读；
202207-202303 在西安蜗牛学苑学习；
202304-202402 在北京通达信分公司工作；
202403-202409 在泰州待业；
202410-202411 在无锡微晶软件科技有限公司工作；
202412-202502 在无锡中信银行信用卡中心工作；
202503至今 在山西夏县待业。</v>
      </c>
    </row>
    <row r="2152" spans="1:9">
      <c r="A2152" s="1" t="str">
        <f>"411327200310080019"</f>
        <v>411327200310080019</v>
      </c>
      <c r="B2152" s="1" t="str">
        <f>"共青团员"</f>
        <v>共青团员</v>
      </c>
      <c r="C2152" s="1" t="str">
        <f>"专科"</f>
        <v>专科</v>
      </c>
      <c r="D2152" s="1" t="str">
        <f>"20240701"</f>
        <v>20240701</v>
      </c>
      <c r="E2152" s="1" t="str">
        <f>"郑州工业安全职业学院"</f>
        <v>郑州工业安全职业学院</v>
      </c>
      <c r="F2152" s="1" t="str">
        <f>"物联网应用技术"</f>
        <v>物联网应用技术</v>
      </c>
      <c r="G2152" s="1" t="str">
        <f>"河南省南阳市内乡县"</f>
        <v>河南省南阳市内乡县</v>
      </c>
      <c r="H2152" s="1" t="str">
        <f t="shared" si="1060"/>
        <v>无</v>
      </c>
      <c r="I2152" s="1" t="str">
        <f>"202109202407与郑州工业安全职业学院信息工程系物联网应用技术专业就读全日制大学"</f>
        <v>202109202407与郑州工业安全职业学院信息工程系物联网应用技术专业就读全日制大学</v>
      </c>
    </row>
    <row r="2153" spans="1:9">
      <c r="A2153" s="1" t="str">
        <f>"412726199003240829"</f>
        <v>412726199003240829</v>
      </c>
      <c r="B2153" s="1" t="str">
        <f t="shared" si="1062"/>
        <v>群众</v>
      </c>
      <c r="C2153" s="1" t="str">
        <f t="shared" ref="C2153:C2158" si="1063">"本科"</f>
        <v>本科</v>
      </c>
      <c r="D2153" s="1" t="str">
        <f>"2018-07-01"</f>
        <v>2018-07-01</v>
      </c>
      <c r="E2153" s="1" t="str">
        <f>"东北师范大学"</f>
        <v>东北师范大学</v>
      </c>
      <c r="F2153" s="1" t="str">
        <f>"会计学"</f>
        <v>会计学</v>
      </c>
      <c r="G2153" s="1" t="str">
        <f>"漯河市召陵区3515家属院"</f>
        <v>漯河市召陵区3515家属院</v>
      </c>
      <c r="H2153" s="1" t="str">
        <f>"会计初级职称"</f>
        <v>会计初级职称</v>
      </c>
      <c r="I2153" s="1" t="str">
        <f>"2007.9-2010.7    漯河职业技术学院   电子信息工程技术   大专   全日制
2016.3-2018.7        东北师范大学          会计学            本科    非全日制
"</f>
        <v>2007.9-2010.7    漯河职业技术学院   电子信息工程技术   大专   全日制
2016.3-2018.7        东北师范大学          会计学            本科    非全日制
</v>
      </c>
    </row>
    <row r="2154" spans="1:9">
      <c r="A2154" s="1" t="str">
        <f>"411327199112202518"</f>
        <v>411327199112202518</v>
      </c>
      <c r="B2154" s="1" t="str">
        <f t="shared" ref="B2154:B2158" si="1064">"中共党员"</f>
        <v>中共党员</v>
      </c>
      <c r="C2154" s="1" t="str">
        <f>"专科"</f>
        <v>专科</v>
      </c>
      <c r="D2154" s="1" t="str">
        <f>"20220630"</f>
        <v>20220630</v>
      </c>
      <c r="E2154" s="1" t="str">
        <f>"南阳农业职业学院"</f>
        <v>南阳农业职业学院</v>
      </c>
      <c r="F2154" s="1" t="str">
        <f>"畜牧兽医"</f>
        <v>畜牧兽医</v>
      </c>
      <c r="G2154" s="1" t="str">
        <f>"河南省南阳市内乡县王店镇东南178号"</f>
        <v>河南省南阳市内乡县王店镇东南178号</v>
      </c>
      <c r="H2154" s="1" t="str">
        <f t="shared" ref="H2154:H2156" si="1065">"无"</f>
        <v>无</v>
      </c>
      <c r="I2154" s="1" t="str">
        <f>"2019年6月—2021年2月，村聘内乡县王店镇刘观村微机员。
2019年12月—2022年6月（弹性学制）南阳农业职业学院专科就读。
2021年2月-------------至今，内乡县王店镇观村任村委委员。"</f>
        <v>2019年6月—2021年2月，村聘内乡县王店镇刘观村微机员。
2019年12月—2022年6月（弹性学制）南阳农业职业学院专科就读。
2021年2月-------------至今，内乡县王店镇观村任村委委员。</v>
      </c>
    </row>
    <row r="2155" spans="1:9">
      <c r="A2155" s="1" t="str">
        <f>"410403199809215523"</f>
        <v>410403199809215523</v>
      </c>
      <c r="B2155" s="1" t="str">
        <f>"共青团员"</f>
        <v>共青团员</v>
      </c>
      <c r="C2155" s="1" t="str">
        <f t="shared" si="1063"/>
        <v>本科</v>
      </c>
      <c r="D2155" s="1" t="str">
        <f>"20210701"</f>
        <v>20210701</v>
      </c>
      <c r="E2155" s="1" t="str">
        <f>"新乡学院"</f>
        <v>新乡学院</v>
      </c>
      <c r="F2155" s="1" t="str">
        <f>"计算机科学与技术"</f>
        <v>计算机科学与技术</v>
      </c>
      <c r="G2155" s="1" t="str">
        <f>"河南省平顶山市卫东区长途汽车站老站"</f>
        <v>河南省平顶山市卫东区长途汽车站老站</v>
      </c>
      <c r="H2155" s="1" t="str">
        <f t="shared" si="1065"/>
        <v>无</v>
      </c>
      <c r="I2155" s="1" t="str">
        <f>"201709—201907 河南财经政法大学  计算机网络技术  全日制
201909—202107 新乡学院  计算机科学与技术  全日制"</f>
        <v>201709—201907 河南财经政法大学  计算机网络技术  全日制
201909—202107 新乡学院  计算机科学与技术  全日制</v>
      </c>
    </row>
    <row r="2156" spans="1:9">
      <c r="A2156" s="1" t="str">
        <f>"411327200310073732"</f>
        <v>411327200310073732</v>
      </c>
      <c r="B2156" s="1" t="str">
        <f t="shared" si="1062"/>
        <v>群众</v>
      </c>
      <c r="C2156" s="1" t="str">
        <f t="shared" si="1063"/>
        <v>本科</v>
      </c>
      <c r="D2156" s="1" t="str">
        <f>"20250630"</f>
        <v>20250630</v>
      </c>
      <c r="E2156" s="1" t="str">
        <f>"吉林农业科技学院"</f>
        <v>吉林农业科技学院</v>
      </c>
      <c r="F2156" s="1" t="str">
        <f>"中药学"</f>
        <v>中药学</v>
      </c>
      <c r="G2156" s="1" t="str">
        <f>"河南省南阳市内乡县桃溪镇"</f>
        <v>河南省南阳市内乡县桃溪镇</v>
      </c>
      <c r="H2156" s="1" t="str">
        <f t="shared" si="1065"/>
        <v>无</v>
      </c>
      <c r="I2156" s="1" t="str">
        <f>"20210905-20250630 吉林农业科技学院学校 就读 是全日制学历"</f>
        <v>20210905-20250630 吉林农业科技学院学校 就读 是全日制学历</v>
      </c>
    </row>
    <row r="2157" spans="1:9">
      <c r="A2157" s="1" t="str">
        <f>"411327199210030027"</f>
        <v>411327199210030027</v>
      </c>
      <c r="B2157" s="1" t="str">
        <f t="shared" si="1064"/>
        <v>中共党员</v>
      </c>
      <c r="C2157" s="1" t="str">
        <f t="shared" si="1063"/>
        <v>本科</v>
      </c>
      <c r="D2157" s="1" t="str">
        <f>"20160607"</f>
        <v>20160607</v>
      </c>
      <c r="E2157" s="1" t="str">
        <f>"商丘师范学院"</f>
        <v>商丘师范学院</v>
      </c>
      <c r="F2157" s="1" t="str">
        <f>"信息管理与信息系统"</f>
        <v>信息管理与信息系统</v>
      </c>
      <c r="G2157" s="1" t="str">
        <f>"内乡县城关镇县衙路"</f>
        <v>内乡县城关镇县衙路</v>
      </c>
      <c r="H2157" s="1" t="str">
        <f>"中小学二级教师"</f>
        <v>中小学二级教师</v>
      </c>
      <c r="I2157" s="1" t="str">
        <f>"201109-201406开封大学就读
201409-201606商丘师范学院就读"</f>
        <v>201109-201406开封大学就读
201409-201606商丘师范学院就读</v>
      </c>
    </row>
    <row r="2158" spans="1:9">
      <c r="A2158" s="1" t="str">
        <f>"411702200201163530"</f>
        <v>411702200201163530</v>
      </c>
      <c r="B2158" s="1" t="str">
        <f t="shared" si="1064"/>
        <v>中共党员</v>
      </c>
      <c r="C2158" s="1" t="str">
        <f t="shared" si="1063"/>
        <v>本科</v>
      </c>
      <c r="D2158" s="1" t="str">
        <f>"20250610"</f>
        <v>20250610</v>
      </c>
      <c r="E2158" s="1" t="str">
        <f>"郑州工商学院"</f>
        <v>郑州工商学院</v>
      </c>
      <c r="F2158" s="1" t="str">
        <f>"财务管理"</f>
        <v>财务管理</v>
      </c>
      <c r="G2158" s="1" t="str">
        <f>"河南省驻马店市驿城区菜园街250号1号楼42号"</f>
        <v>河南省驻马店市驿城区菜园街250号1号楼42号</v>
      </c>
      <c r="H2158" s="1" t="str">
        <f t="shared" ref="H2158:H2160" si="1066">"无"</f>
        <v>无</v>
      </c>
      <c r="I2158" s="1" t="str">
        <f>"202010-202307 郑州升达经贸管理学院会计学院会计专业 就读 全日制
202309-202506 郑州工商学院财税学院财务管理专业 就读 全日制"</f>
        <v>202010-202307 郑州升达经贸管理学院会计学院会计专业 就读 全日制
202309-202506 郑州工商学院财税学院财务管理专业 就读 全日制</v>
      </c>
    </row>
    <row r="2159" spans="1:9">
      <c r="A2159" s="1" t="str">
        <f>"411324200106150041"</f>
        <v>411324200106150041</v>
      </c>
      <c r="B2159" s="1" t="str">
        <f t="shared" ref="B2159:B2164" si="1067">"共青团员"</f>
        <v>共青团员</v>
      </c>
      <c r="C2159" s="1" t="str">
        <f>"专科"</f>
        <v>专科</v>
      </c>
      <c r="D2159" s="1" t="str">
        <f>"20220630"</f>
        <v>20220630</v>
      </c>
      <c r="E2159" s="1" t="str">
        <f>"襄阳职业技术学院"</f>
        <v>襄阳职业技术学院</v>
      </c>
      <c r="F2159" s="1" t="str">
        <f>"小学教育"</f>
        <v>小学教育</v>
      </c>
      <c r="G2159" s="1" t="str">
        <f>"河南省南阳市镇平县瑞贝卡小区"</f>
        <v>河南省南阳市镇平县瑞贝卡小区</v>
      </c>
      <c r="H2159" s="1" t="str">
        <f t="shared" si="1066"/>
        <v>无</v>
      </c>
      <c r="I2159" s="1" t="str">
        <f>"2019.09-2022.06襄阳职业技术学院
2022.09-2023.01小集小学数学教师
2023.09-2024.01李普吾小学数学教师
2024.01-至今  待业"</f>
        <v>2019.09-2022.06襄阳职业技术学院
2022.09-2023.01小集小学数学教师
2023.09-2024.01李普吾小学数学教师
2024.01-至今  待业</v>
      </c>
    </row>
    <row r="2160" spans="1:9">
      <c r="A2160" s="1" t="str">
        <f>"411327199404020011"</f>
        <v>411327199404020011</v>
      </c>
      <c r="B2160" s="1" t="str">
        <f>"中共党员"</f>
        <v>中共党员</v>
      </c>
      <c r="C2160" s="1" t="str">
        <f t="shared" ref="C2160:C2166" si="1068">"本科"</f>
        <v>本科</v>
      </c>
      <c r="D2160" s="1" t="str">
        <f>"20170110"</f>
        <v>20170110</v>
      </c>
      <c r="E2160" s="1" t="str">
        <f>"中南大学"</f>
        <v>中南大学</v>
      </c>
      <c r="F2160" s="1" t="str">
        <f>"法学"</f>
        <v>法学</v>
      </c>
      <c r="G2160" s="1" t="str">
        <f>"河南省内乡县东湖家园"</f>
        <v>河南省内乡县东湖家园</v>
      </c>
      <c r="H2160" s="1" t="str">
        <f t="shared" si="1066"/>
        <v>无</v>
      </c>
      <c r="I2160" s="1" t="str">
        <f>"2012.9-2014.7 河南财政税务高等专科学校
2014.9-2016.9 空军93756、空军95778部队服役
2014.9-2017.1 中南大学（网络教育）
2016.9-2018.7 内乡县公安局交警大队
2018.7-至  今   内乡县房产中心"</f>
        <v>2012.9-2014.7 河南财政税务高等专科学校
2014.9-2016.9 空军93756、空军95778部队服役
2014.9-2017.1 中南大学（网络教育）
2016.9-2018.7 内乡县公安局交警大队
2018.7-至  今   内乡县房产中心</v>
      </c>
    </row>
    <row r="2161" spans="1:9">
      <c r="A2161" s="1" t="str">
        <f>"411326200110276942"</f>
        <v>411326200110276942</v>
      </c>
      <c r="B2161" s="1" t="str">
        <f>"群众"</f>
        <v>群众</v>
      </c>
      <c r="C2161" s="1" t="str">
        <f>"专科"</f>
        <v>专科</v>
      </c>
      <c r="D2161" s="1" t="str">
        <f>"20240630"</f>
        <v>20240630</v>
      </c>
      <c r="E2161" s="1" t="str">
        <f>"安阳幼儿师范高等专科学校"</f>
        <v>安阳幼儿师范高等专科学校</v>
      </c>
      <c r="F2161" s="1" t="str">
        <f>"语文教育"</f>
        <v>语文教育</v>
      </c>
      <c r="G2161" s="1" t="str">
        <f>"河南省淅川县香花镇"</f>
        <v>河南省淅川县香花镇</v>
      </c>
      <c r="H2161" s="1" t="str">
        <f>"职业技能等级证书（讲解员三级）小学教师资格证书（语文）"</f>
        <v>职业技能等级证书（讲解员三级）小学教师资格证书（语文）</v>
      </c>
      <c r="I2161" s="1" t="str">
        <f>"202109-202406 安阳幼儿师范高等专科学校  语言文学系（语文教育） 就读
202406至今待业"</f>
        <v>202109-202406 安阳幼儿师范高等专科学校  语言文学系（语文教育） 就读
202406至今待业</v>
      </c>
    </row>
    <row r="2162" spans="1:9">
      <c r="A2162" s="1" t="str">
        <f>"41132620000619041X"</f>
        <v>41132620000619041X</v>
      </c>
      <c r="B2162" s="1" t="str">
        <f t="shared" si="1067"/>
        <v>共青团员</v>
      </c>
      <c r="C2162" s="1" t="str">
        <f t="shared" si="1068"/>
        <v>本科</v>
      </c>
      <c r="D2162" s="1" t="str">
        <f>"20220701"</f>
        <v>20220701</v>
      </c>
      <c r="E2162" s="1" t="str">
        <f>"河南工程学院"</f>
        <v>河南工程学院</v>
      </c>
      <c r="F2162" s="1" t="str">
        <f>"行政管理"</f>
        <v>行政管理</v>
      </c>
      <c r="G2162" s="1" t="str">
        <f>"南阳市范蠡路华鑫苑7号楼"</f>
        <v>南阳市范蠡路华鑫苑7号楼</v>
      </c>
      <c r="H2162" s="1" t="str">
        <f t="shared" ref="H2162:H2178" si="1069">"无"</f>
        <v>无</v>
      </c>
      <c r="I2162" s="1" t="str">
        <f>"201709-202007 河南工程学院人文政法学院行政管理专业就读专科，全日制学历
202009-202207 河南工程学院人文政法学院行政管理专业就读本科，全日制学历"</f>
        <v>201709-202007 河南工程学院人文政法学院行政管理专业就读专科，全日制学历
202009-202207 河南工程学院人文政法学院行政管理专业就读本科，全日制学历</v>
      </c>
    </row>
    <row r="2163" spans="1:9">
      <c r="A2163" s="1" t="str">
        <f>"410423199706152027"</f>
        <v>410423199706152027</v>
      </c>
      <c r="B2163" s="1" t="str">
        <f>"中共党员"</f>
        <v>中共党员</v>
      </c>
      <c r="C2163" s="1" t="str">
        <f>"硕士研究生"</f>
        <v>硕士研究生</v>
      </c>
      <c r="D2163" s="1" t="str">
        <f>"20240630"</f>
        <v>20240630</v>
      </c>
      <c r="E2163" s="1" t="str">
        <f>"河南大学"</f>
        <v>河南大学</v>
      </c>
      <c r="F2163" s="1" t="str">
        <f>"公共管理"</f>
        <v>公共管理</v>
      </c>
      <c r="G2163" s="1" t="str">
        <f>"河南省开封市龙亭区河南大学金明校区"</f>
        <v>河南省开封市龙亭区河南大学金明校区</v>
      </c>
      <c r="H2163" s="1" t="str">
        <f t="shared" si="1069"/>
        <v>无</v>
      </c>
      <c r="I2163" s="1" t="str">
        <f>"201309-201607 高中   河南省鲁山县第一高级中学
201609-201707 高中（复读） 河南省鲁山县第一高级中学
201709-202107 本科     河南省新乡市新乡学院商学院  电子商务专业 全日制
202109-202407  研究生  河南大学哲学与公共管理学院 公共管理专业 全日制
202407—202507 待业 "</f>
        <v>201309-201607 高中   河南省鲁山县第一高级中学
201609-201707 高中（复读） 河南省鲁山县第一高级中学
201709-202107 本科     河南省新乡市新乡学院商学院  电子商务专业 全日制
202109-202407  研究生  河南大学哲学与公共管理学院 公共管理专业 全日制
202407—202507 待业 </v>
      </c>
    </row>
    <row r="2164" spans="1:9">
      <c r="A2164" s="1" t="str">
        <f>"411327200005260013"</f>
        <v>411327200005260013</v>
      </c>
      <c r="B2164" s="1" t="str">
        <f t="shared" si="1067"/>
        <v>共青团员</v>
      </c>
      <c r="C2164" s="1" t="str">
        <f t="shared" si="1068"/>
        <v>本科</v>
      </c>
      <c r="D2164" s="1" t="str">
        <f>"202309"</f>
        <v>202309</v>
      </c>
      <c r="E2164" s="1" t="str">
        <f>"黄河科技学院"</f>
        <v>黄河科技学院</v>
      </c>
      <c r="F2164" s="1" t="str">
        <f>"摄影"</f>
        <v>摄影</v>
      </c>
      <c r="G2164" s="1" t="str">
        <f>"河南省南阳市内乡县亲水家园"</f>
        <v>河南省南阳市内乡县亲水家园</v>
      </c>
      <c r="H2164" s="1" t="str">
        <f t="shared" si="1069"/>
        <v>无</v>
      </c>
      <c r="I2164" s="1" t="str">
        <f>"201809-202109 郑州轻工职业学院 室内装饰与设计专业就读 全日制
202109-202309 黄河科技学院 摄影专业就读 全日制"</f>
        <v>201809-202109 郑州轻工职业学院 室内装饰与设计专业就读 全日制
202109-202309 黄河科技学院 摄影专业就读 全日制</v>
      </c>
    </row>
    <row r="2165" spans="1:9">
      <c r="A2165" s="1" t="str">
        <f>"411327200112051567"</f>
        <v>411327200112051567</v>
      </c>
      <c r="B2165" s="1" t="str">
        <f>"群众"</f>
        <v>群众</v>
      </c>
      <c r="C2165" s="1" t="str">
        <f t="shared" si="1068"/>
        <v>本科</v>
      </c>
      <c r="D2165" s="1" t="str">
        <f>"20250701"</f>
        <v>20250701</v>
      </c>
      <c r="E2165" s="1" t="str">
        <f>"郑州商学院"</f>
        <v>郑州商学院</v>
      </c>
      <c r="F2165" s="1" t="str">
        <f>"汉语言文学"</f>
        <v>汉语言文学</v>
      </c>
      <c r="G2165" s="1" t="str">
        <f>"河南省南阳市城关镇滨河家园"</f>
        <v>河南省南阳市城关镇滨河家园</v>
      </c>
      <c r="H2165" s="1" t="str">
        <f t="shared" si="1069"/>
        <v>无</v>
      </c>
      <c r="I2165" s="1" t="str">
        <f>"202009-202306 信阳职业技术学院 就读
202309-202507 郑州商学院 就读"</f>
        <v>202009-202306 信阳职业技术学院 就读
202309-202507 郑州商学院 就读</v>
      </c>
    </row>
    <row r="2166" spans="1:9">
      <c r="A2166" s="1" t="str">
        <f>"411323199906226348"</f>
        <v>411323199906226348</v>
      </c>
      <c r="B2166" s="1" t="str">
        <f t="shared" ref="B2166:B2172" si="1070">"中共党员"</f>
        <v>中共党员</v>
      </c>
      <c r="C2166" s="1" t="str">
        <f t="shared" si="1068"/>
        <v>本科</v>
      </c>
      <c r="D2166" s="1" t="str">
        <f>"2022.07.1"</f>
        <v>2022.07.1</v>
      </c>
      <c r="E2166" s="1" t="str">
        <f>"周口师范学院"</f>
        <v>周口师范学院</v>
      </c>
      <c r="F2166" s="1" t="str">
        <f>"生物技术"</f>
        <v>生物技术</v>
      </c>
      <c r="G2166" s="1" t="str">
        <f>"河南省南阳市淅川县厚坡镇唐湾村"</f>
        <v>河南省南阳市淅川县厚坡镇唐湾村</v>
      </c>
      <c r="H2166" s="1" t="str">
        <f t="shared" si="1069"/>
        <v>无</v>
      </c>
      <c r="I2166" s="1" t="str">
        <f>"2015年9月至2018年7月，在河南省南阳市淅川县第一高级中学读书；
2018年9月至2022年7月，在周口师范学院读书；"</f>
        <v>2015年9月至2018年7月，在河南省南阳市淅川县第一高级中学读书；
2018年9月至2022年7月，在周口师范学院读书；</v>
      </c>
    </row>
    <row r="2167" spans="1:9">
      <c r="A2167" s="1" t="str">
        <f>"411324199510280010"</f>
        <v>411324199510280010</v>
      </c>
      <c r="B2167" s="1" t="str">
        <f>"群众"</f>
        <v>群众</v>
      </c>
      <c r="C2167" s="1" t="str">
        <f>"专科"</f>
        <v>专科</v>
      </c>
      <c r="D2167" s="1" t="str">
        <f>"20190701"</f>
        <v>20190701</v>
      </c>
      <c r="E2167" s="1" t="str">
        <f>"郑州电力职业技术学院"</f>
        <v>郑州电力职业技术学院</v>
      </c>
      <c r="F2167" s="1" t="str">
        <f>"供用电技术"</f>
        <v>供用电技术</v>
      </c>
      <c r="G2167" s="1" t="str">
        <f>"镇平县玉乡花苑小区"</f>
        <v>镇平县玉乡花苑小区</v>
      </c>
      <c r="H2167" s="1" t="str">
        <f t="shared" si="1069"/>
        <v>无</v>
      </c>
      <c r="I2167" s="1" t="str">
        <f>"201409-201509 郑州电力职业技术学院供用电技术专业就读全日制学历
201509-201709 服役于中国人民解放军77115部队战士
201709-201907郑州电力职业技术学院供用电技术专业就读全日制学历
201907至今在镇平县待业"</f>
        <v>201409-201509 郑州电力职业技术学院供用电技术专业就读全日制学历
201509-201709 服役于中国人民解放军77115部队战士
201709-201907郑州电力职业技术学院供用电技术专业就读全日制学历
201907至今在镇平县待业</v>
      </c>
    </row>
    <row r="2168" spans="1:9">
      <c r="A2168" s="1" t="str">
        <f>"622701200102094537"</f>
        <v>622701200102094537</v>
      </c>
      <c r="B2168" s="1" t="str">
        <f t="shared" ref="B2168:B2173" si="1071">"共青团员"</f>
        <v>共青团员</v>
      </c>
      <c r="C2168" s="1" t="str">
        <f t="shared" ref="C2168:C2173" si="1072">"本科"</f>
        <v>本科</v>
      </c>
      <c r="D2168" s="1" t="str">
        <f>"20240620"</f>
        <v>20240620</v>
      </c>
      <c r="E2168" s="1" t="str">
        <f>"湖南文理学院"</f>
        <v>湖南文理学院</v>
      </c>
      <c r="F2168" s="1" t="str">
        <f>"环境设计"</f>
        <v>环境设计</v>
      </c>
      <c r="G2168" s="1" t="str">
        <f>"甘肃省平凉市崆峒区西大街行署巷市直27号楼1-401室"</f>
        <v>甘肃省平凉市崆峒区西大街行署巷市直27号楼1-401室</v>
      </c>
      <c r="H2168" s="1" t="str">
        <f t="shared" si="1069"/>
        <v>无</v>
      </c>
      <c r="I2168" s="1" t="str">
        <f>"202009-202406  在湖南文理学院美术与设计学院环境设计专业就读，全日制
202406-2025.07 在家待业"</f>
        <v>202009-202406  在湖南文理学院美术与设计学院环境设计专业就读，全日制
202406-2025.07 在家待业</v>
      </c>
    </row>
    <row r="2169" ht="81" spans="1:9">
      <c r="A2169" s="1" t="str">
        <f>"411327199104251512"</f>
        <v>411327199104251512</v>
      </c>
      <c r="B2169" s="1" t="str">
        <f t="shared" si="1070"/>
        <v>中共党员</v>
      </c>
      <c r="C2169" s="1" t="str">
        <f t="shared" si="1072"/>
        <v>本科</v>
      </c>
      <c r="D2169" s="1" t="str">
        <f>"2018-07-18"</f>
        <v>2018-07-18</v>
      </c>
      <c r="E2169" s="1" t="str">
        <f>"河海大学"</f>
        <v>河海大学</v>
      </c>
      <c r="F2169" s="1" t="str">
        <f>"水利水电工程"</f>
        <v>水利水电工程</v>
      </c>
      <c r="G2169" s="1" t="str">
        <f>"河南省内乡县湍东镇茶庵村许西组"</f>
        <v>河南省内乡县湍东镇茶庵村许西组</v>
      </c>
      <c r="H2169" s="1" t="str">
        <f t="shared" si="1069"/>
        <v>无</v>
      </c>
      <c r="I2169" s="3" t="s">
        <v>242</v>
      </c>
    </row>
    <row r="2170" spans="1:9">
      <c r="A2170" s="1" t="str">
        <f>"411327200204240066"</f>
        <v>411327200204240066</v>
      </c>
      <c r="B2170" s="1" t="str">
        <f t="shared" si="1071"/>
        <v>共青团员</v>
      </c>
      <c r="C2170" s="1" t="str">
        <f t="shared" si="1072"/>
        <v>本科</v>
      </c>
      <c r="D2170" s="1" t="str">
        <f>"20250610"</f>
        <v>20250610</v>
      </c>
      <c r="E2170" s="1" t="str">
        <f>"郑州工商学院"</f>
        <v>郑州工商学院</v>
      </c>
      <c r="F2170" s="1" t="str">
        <f>"学前教育"</f>
        <v>学前教育</v>
      </c>
      <c r="G2170" s="1" t="str">
        <f>"内乡县城关镇郦都大道湍河组66号"</f>
        <v>内乡县城关镇郦都大道湍河组66号</v>
      </c>
      <c r="H2170" s="1" t="str">
        <f t="shared" si="1069"/>
        <v>无</v>
      </c>
      <c r="I2170" s="1" t="str">
        <f>"201909-202009郑州工商学院学前教育专业就读，是全日制
202009-202209中国人民解放军32152部队战士
202209-202506郑州工商学院学前教育专业就读，是全日制"</f>
        <v>201909-202009郑州工商学院学前教育专业就读，是全日制
202009-202209中国人民解放军32152部队战士
202209-202506郑州工商学院学前教育专业就读，是全日制</v>
      </c>
    </row>
    <row r="2171" spans="1:9">
      <c r="A2171" s="1" t="str">
        <f>"41032420021206172X"</f>
        <v>41032420021206172X</v>
      </c>
      <c r="B2171" s="1" t="str">
        <f t="shared" si="1070"/>
        <v>中共党员</v>
      </c>
      <c r="C2171" s="1" t="str">
        <f t="shared" si="1072"/>
        <v>本科</v>
      </c>
      <c r="D2171" s="1" t="str">
        <f>"20250701"</f>
        <v>20250701</v>
      </c>
      <c r="E2171" s="1" t="str">
        <f>"信阳师范大学"</f>
        <v>信阳师范大学</v>
      </c>
      <c r="F2171" s="1" t="str">
        <f>"学前教育"</f>
        <v>学前教育</v>
      </c>
      <c r="G2171" s="1" t="str">
        <f>"河南省洛阳市栾川县秋扒乡秋扒村南街组15号"</f>
        <v>河南省洛阳市栾川县秋扒乡秋扒村南街组15号</v>
      </c>
      <c r="H2171" s="1" t="str">
        <f t="shared" si="1069"/>
        <v>无</v>
      </c>
      <c r="I2171" s="1" t="str">
        <f>"202109-202507信阳师范大学教育科学学院学前教育专业就读"</f>
        <v>202109-202507信阳师范大学教育科学学院学前教育专业就读</v>
      </c>
    </row>
    <row r="2172" spans="1:9">
      <c r="A2172" s="1" t="str">
        <f>"410521200002210522"</f>
        <v>410521200002210522</v>
      </c>
      <c r="B2172" s="1" t="str">
        <f t="shared" si="1070"/>
        <v>中共党员</v>
      </c>
      <c r="C2172" s="1" t="str">
        <f t="shared" si="1072"/>
        <v>本科</v>
      </c>
      <c r="D2172" s="1" t="str">
        <f>"20240607"</f>
        <v>20240607</v>
      </c>
      <c r="E2172" s="1" t="str">
        <f>"河南牧业经济学院"</f>
        <v>河南牧业经济学院</v>
      </c>
      <c r="F2172" s="1" t="str">
        <f>"酒店管理"</f>
        <v>酒店管理</v>
      </c>
      <c r="G2172" s="1" t="str">
        <f>"河南省安阳市林州市东街村"</f>
        <v>河南省安阳市林州市东街村</v>
      </c>
      <c r="H2172" s="1" t="str">
        <f t="shared" si="1069"/>
        <v>无</v>
      </c>
      <c r="I2172" s="1" t="str">
        <f>"202209-202406 河南牧业经济学院旅游管理系酒店管理专业就读，全日制学历。
202406-202507 河南省安阳市林州市待业。"</f>
        <v>202209-202406 河南牧业经济学院旅游管理系酒店管理专业就读，全日制学历。
202406-202507 河南省安阳市林州市待业。</v>
      </c>
    </row>
    <row r="2173" spans="1:9">
      <c r="A2173" s="1" t="str">
        <f>"411327200211153147"</f>
        <v>411327200211153147</v>
      </c>
      <c r="B2173" s="1" t="str">
        <f t="shared" si="1071"/>
        <v>共青团员</v>
      </c>
      <c r="C2173" s="1" t="str">
        <f t="shared" si="1072"/>
        <v>本科</v>
      </c>
      <c r="D2173" s="1" t="str">
        <f>"20250625"</f>
        <v>20250625</v>
      </c>
      <c r="E2173" s="1" t="str">
        <f>"重庆工商大学派斯学院"</f>
        <v>重庆工商大学派斯学院</v>
      </c>
      <c r="F2173" s="1" t="str">
        <f>"数据科学与大数据技术"</f>
        <v>数据科学与大数据技术</v>
      </c>
      <c r="G2173" s="1" t="str">
        <f>"河南省南阳市内乡县夏馆镇夏馆村"</f>
        <v>河南省南阳市内乡县夏馆镇夏馆村</v>
      </c>
      <c r="H2173" s="1" t="str">
        <f t="shared" si="1069"/>
        <v>无</v>
      </c>
      <c r="I2173" s="1" t="str">
        <f>"202309-202506  重庆工商大学派斯学院软降工程学院数据科学与大数据技术专业就读，全日制
202009-202306 重庆财经职业学院大数据学院大数据技术与应用专业就读，全日制"</f>
        <v>202309-202506  重庆工商大学派斯学院软降工程学院数据科学与大数据技术专业就读，全日制
202009-202306 重庆财经职业学院大数据学院大数据技术与应用专业就读，全日制</v>
      </c>
    </row>
    <row r="2174" spans="1:9">
      <c r="A2174" s="1" t="str">
        <f>"411327200211030323"</f>
        <v>411327200211030323</v>
      </c>
      <c r="B2174" s="1" t="str">
        <f>"群众"</f>
        <v>群众</v>
      </c>
      <c r="C2174" s="1" t="str">
        <f t="shared" ref="C2174:C2179" si="1073">"专科"</f>
        <v>专科</v>
      </c>
      <c r="D2174" s="1" t="str">
        <f>"2024.07"</f>
        <v>2024.07</v>
      </c>
      <c r="E2174" s="1" t="str">
        <f>"济源职业技术学院"</f>
        <v>济源职业技术学院</v>
      </c>
      <c r="F2174" s="1" t="str">
        <f>"学前教育（师范）"</f>
        <v>学前教育（师范）</v>
      </c>
      <c r="G2174" s="1" t="str">
        <f>"河南省南阳市内乡县大桥乡大桥村小寨组"</f>
        <v>河南省南阳市内乡县大桥乡大桥村小寨组</v>
      </c>
      <c r="H2174" s="1" t="str">
        <f t="shared" si="1069"/>
        <v>无</v>
      </c>
      <c r="I2174" s="1" t="str">
        <f>"202109—202407 济源职业技术学院就读
202409—至今 郑州高新区朗智幼儿园 工作"</f>
        <v>202109—202407 济源职业技术学院就读
202409—至今 郑州高新区朗智幼儿园 工作</v>
      </c>
    </row>
    <row r="2175" spans="1:9">
      <c r="A2175" s="1" t="str">
        <f>"41132520010629114X"</f>
        <v>41132520010629114X</v>
      </c>
      <c r="B2175" s="1" t="str">
        <f>"中共党员"</f>
        <v>中共党员</v>
      </c>
      <c r="C2175" s="1" t="str">
        <f t="shared" ref="C2175:C2178" si="1074">"本科"</f>
        <v>本科</v>
      </c>
      <c r="D2175" s="1" t="str">
        <f>"20230701"</f>
        <v>20230701</v>
      </c>
      <c r="E2175" s="1" t="str">
        <f>"郑州工商学院"</f>
        <v>郑州工商学院</v>
      </c>
      <c r="F2175" s="1" t="str">
        <f>"国际经济与贸易"</f>
        <v>国际经济与贸易</v>
      </c>
      <c r="G2175" s="1" t="str">
        <f>"河南省南阳市卧龙区滨河路滨河鑫苑2栋803"</f>
        <v>河南省南阳市卧龙区滨河路滨河鑫苑2栋803</v>
      </c>
      <c r="H2175" s="1" t="str">
        <f t="shared" si="1069"/>
        <v>无</v>
      </c>
      <c r="I2175" s="1" t="str">
        <f>"202306-9-至今南阳待业
202109-202306郑州工商学院
201809-202106郑州西亚斯学院
201509-201806南阳市第五中学
201209-201506南阳市第十三中学
200609-201206内乡县第一小学"</f>
        <v>202306-9-至今南阳待业
202109-202306郑州工商学院
201809-202106郑州西亚斯学院
201509-201806南阳市第五中学
201209-201506南阳市第十三中学
200609-201206内乡县第一小学</v>
      </c>
    </row>
    <row r="2176" spans="1:9">
      <c r="A2176" s="1" t="str">
        <f>"411327200204203943"</f>
        <v>411327200204203943</v>
      </c>
      <c r="B2176" s="1" t="str">
        <f t="shared" ref="B2176:B2178" si="1075">"共青团员"</f>
        <v>共青团员</v>
      </c>
      <c r="C2176" s="1" t="str">
        <f t="shared" si="1073"/>
        <v>专科</v>
      </c>
      <c r="D2176" s="1" t="str">
        <f>"20230701"</f>
        <v>20230701</v>
      </c>
      <c r="E2176" s="1" t="str">
        <f>"漯河职业技术学院"</f>
        <v>漯河职业技术学院</v>
      </c>
      <c r="F2176" s="1" t="str">
        <f>"学前教育（师范）"</f>
        <v>学前教育（师范）</v>
      </c>
      <c r="G2176" s="1" t="str">
        <f>"河南省南阳市内乡县乍曲乡"</f>
        <v>河南省南阳市内乡县乍曲乡</v>
      </c>
      <c r="H2176" s="1" t="str">
        <f t="shared" si="1069"/>
        <v>无</v>
      </c>
      <c r="I2176" s="1" t="str">
        <f>"202109-202307  漯河职业技术学院   全日制大专"</f>
        <v>202109-202307  漯河职业技术学院   全日制大专</v>
      </c>
    </row>
    <row r="2177" spans="1:9">
      <c r="A2177" s="1" t="str">
        <f>"410324199903193718"</f>
        <v>410324199903193718</v>
      </c>
      <c r="B2177" s="1" t="str">
        <f t="shared" si="1075"/>
        <v>共青团员</v>
      </c>
      <c r="C2177" s="1" t="str">
        <f t="shared" si="1074"/>
        <v>本科</v>
      </c>
      <c r="D2177" s="1" t="str">
        <f>"20210701"</f>
        <v>20210701</v>
      </c>
      <c r="E2177" s="1" t="str">
        <f>"中原工学院"</f>
        <v>中原工学院</v>
      </c>
      <c r="F2177" s="1" t="str">
        <f>"会展经济与管理"</f>
        <v>会展经济与管理</v>
      </c>
      <c r="G2177" s="1" t="str">
        <f>"河南省洛阳市嵩县白河镇人民政府"</f>
        <v>河南省洛阳市嵩县白河镇人民政府</v>
      </c>
      <c r="H2177" s="1" t="str">
        <f t="shared" si="1069"/>
        <v>无</v>
      </c>
      <c r="I2177" s="1" t="str">
        <f>"201709-202107 中原工学院经济管理学院会展经济与管理专业就读，全日制本科；202107-202209待业；202210-202409嵩县白河镇人民政府三支一扶人员；202410-至今嵩县白河镇人民政府事业编制人员"</f>
        <v>201709-202107 中原工学院经济管理学院会展经济与管理专业就读，全日制本科；202107-202209待业；202210-202409嵩县白河镇人民政府三支一扶人员；202410-至今嵩县白河镇人民政府事业编制人员</v>
      </c>
    </row>
    <row r="2178" spans="1:9">
      <c r="A2178" s="1" t="str">
        <f>"411327200202103113"</f>
        <v>411327200202103113</v>
      </c>
      <c r="B2178" s="1" t="str">
        <f t="shared" si="1075"/>
        <v>共青团员</v>
      </c>
      <c r="C2178" s="1" t="str">
        <f t="shared" si="1074"/>
        <v>本科</v>
      </c>
      <c r="D2178" s="1" t="str">
        <f>"20240630"</f>
        <v>20240630</v>
      </c>
      <c r="E2178" s="1" t="str">
        <f>"湖北中医药大学"</f>
        <v>湖北中医药大学</v>
      </c>
      <c r="F2178" s="1" t="str">
        <f>"生物技术"</f>
        <v>生物技术</v>
      </c>
      <c r="G2178" s="1" t="str">
        <f>"河南省南阳市内乡县夏馆镇湍源村河西组175号"</f>
        <v>河南省南阳市内乡县夏馆镇湍源村河西组175号</v>
      </c>
      <c r="H2178" s="1" t="str">
        <f t="shared" si="1069"/>
        <v>无</v>
      </c>
      <c r="I2178" s="1" t="str">
        <f>"202009-202406 湖北中医药大学就读 生物技术专业 全日制学历"</f>
        <v>202009-202406 湖北中医药大学就读 生物技术专业 全日制学历</v>
      </c>
    </row>
    <row r="2179" spans="1:9">
      <c r="A2179" s="1" t="str">
        <f>"411328200412154660"</f>
        <v>411328200412154660</v>
      </c>
      <c r="B2179" s="1" t="str">
        <f t="shared" ref="B2179:B2181" si="1076">"群众"</f>
        <v>群众</v>
      </c>
      <c r="C2179" s="1" t="str">
        <f t="shared" si="1073"/>
        <v>专科</v>
      </c>
      <c r="D2179" s="1" t="str">
        <f>"20250630"</f>
        <v>20250630</v>
      </c>
      <c r="E2179" s="1" t="str">
        <f>"南阳农业职业学院"</f>
        <v>南阳农业职业学院</v>
      </c>
      <c r="F2179" s="1" t="str">
        <f>"大数据与会计"</f>
        <v>大数据与会计</v>
      </c>
      <c r="G2179" s="1" t="str">
        <f>"南阳市卧龙区风帆金色世家"</f>
        <v>南阳市卧龙区风帆金色世家</v>
      </c>
      <c r="H2179" s="1" t="str">
        <f>"电子商务师职业技能等级证书"</f>
        <v>电子商务师职业技能等级证书</v>
      </c>
      <c r="I2179" s="1" t="str">
        <f>"202209-202506南阳农业职业学院就读全日制专科大数据与会计"</f>
        <v>202209-202506南阳农业职业学院就读全日制专科大数据与会计</v>
      </c>
    </row>
    <row r="2180" spans="1:9">
      <c r="A2180" s="1" t="str">
        <f>"411303199212065118"</f>
        <v>411303199212065118</v>
      </c>
      <c r="B2180" s="1" t="str">
        <f t="shared" si="1076"/>
        <v>群众</v>
      </c>
      <c r="C2180" s="1" t="str">
        <f t="shared" ref="C2180:C2187" si="1077">"本科"</f>
        <v>本科</v>
      </c>
      <c r="D2180" s="1" t="str">
        <f>"20130701"</f>
        <v>20130701</v>
      </c>
      <c r="E2180" s="1" t="str">
        <f>"河南农业大学"</f>
        <v>河南农业大学</v>
      </c>
      <c r="F2180" s="1" t="str">
        <f>"机械设计制造及其自动化"</f>
        <v>机械设计制造及其自动化</v>
      </c>
      <c r="G2180" s="1" t="str">
        <f>"河南省南阳市长江路300号"</f>
        <v>河南省南阳市长江路300号</v>
      </c>
      <c r="H2180" s="1" t="str">
        <f t="shared" ref="H2180:H2182" si="1078">"无"</f>
        <v>无</v>
      </c>
      <c r="I2180" s="1" t="str">
        <f>"200909-201307河南农业大学机电工程学院机械设计制造及其自动化专业就读全日制学历；201307-201310在南阳待业；201310-201404北京河南大厦员工；201404-201612在南阳待业；201612至今南阳市公安局宛城区公安分局溧河派出所辅警。"</f>
        <v>200909-201307河南农业大学机电工程学院机械设计制造及其自动化专业就读全日制学历；201307-201310在南阳待业；201310-201404北京河南大厦员工；201404-201612在南阳待业；201612至今南阳市公安局宛城区公安分局溧河派出所辅警。</v>
      </c>
    </row>
    <row r="2181" spans="1:9">
      <c r="A2181" s="1" t="str">
        <f>"411327200203203749"</f>
        <v>411327200203203749</v>
      </c>
      <c r="B2181" s="1" t="str">
        <f t="shared" si="1076"/>
        <v>群众</v>
      </c>
      <c r="C2181" s="1" t="str">
        <f t="shared" si="1077"/>
        <v>本科</v>
      </c>
      <c r="D2181" s="1" t="str">
        <f>"20250630"</f>
        <v>20250630</v>
      </c>
      <c r="E2181" s="1" t="str">
        <f>"郑州升达经贸管理学院"</f>
        <v>郑州升达经贸管理学院</v>
      </c>
      <c r="F2181" s="1" t="str">
        <f>"会计学"</f>
        <v>会计学</v>
      </c>
      <c r="G2181" s="1" t="str">
        <f>"河南省南阳市内乡县桃溪镇桃源路"</f>
        <v>河南省南阳市内乡县桃溪镇桃源路</v>
      </c>
      <c r="H2181" s="1" t="str">
        <f t="shared" si="1078"/>
        <v>无</v>
      </c>
      <c r="I2181" s="1" t="str">
        <f>"202009—202306 郑州旅游职业学院 国际工商学院会计学就读 全日制
202309—202506 郑州升达经贸管理学院 会计学院会计学就读 全日制"</f>
        <v>202009—202306 郑州旅游职业学院 国际工商学院会计学就读 全日制
202309—202506 郑州升达经贸管理学院 会计学院会计学就读 全日制</v>
      </c>
    </row>
    <row r="2182" spans="1:9">
      <c r="A2182" s="1" t="str">
        <f>"411330200004020040"</f>
        <v>411330200004020040</v>
      </c>
      <c r="B2182" s="1" t="str">
        <f t="shared" ref="B2182:B2189" si="1079">"共青团员"</f>
        <v>共青团员</v>
      </c>
      <c r="C2182" s="1" t="str">
        <f t="shared" si="1077"/>
        <v>本科</v>
      </c>
      <c r="D2182" s="1" t="str">
        <f>"20220701"</f>
        <v>20220701</v>
      </c>
      <c r="E2182" s="1" t="str">
        <f>"郑州商学院"</f>
        <v>郑州商学院</v>
      </c>
      <c r="F2182" s="1" t="str">
        <f>"动画"</f>
        <v>动画</v>
      </c>
      <c r="G2182" s="1" t="str">
        <f>"河南省南阳市内乡县城关镇镇政府菜鸟驿站"</f>
        <v>河南省南阳市内乡县城关镇镇政府菜鸟驿站</v>
      </c>
      <c r="H2182" s="1" t="str">
        <f t="shared" si="1078"/>
        <v>无</v>
      </c>
      <c r="I2182" s="1" t="str">
        <f>"201809-202207郑州商学院就读
202209-202410郑州九牛电商集团就业
202410-202507在家待业"</f>
        <v>201809-202207郑州商学院就读
202209-202410郑州九牛电商集团就业
202410-202507在家待业</v>
      </c>
    </row>
    <row r="2183" spans="1:9">
      <c r="A2183" s="1" t="str">
        <f>"411329200112283555"</f>
        <v>411329200112283555</v>
      </c>
      <c r="B2183" s="1" t="str">
        <f>"中共党员"</f>
        <v>中共党员</v>
      </c>
      <c r="C2183" s="1" t="str">
        <f t="shared" si="1077"/>
        <v>本科</v>
      </c>
      <c r="D2183" s="1" t="str">
        <f>"20230607"</f>
        <v>20230607</v>
      </c>
      <c r="E2183" s="1" t="str">
        <f>"黄淮学院"</f>
        <v>黄淮学院</v>
      </c>
      <c r="F2183" s="1" t="str">
        <f>"动画"</f>
        <v>动画</v>
      </c>
      <c r="G2183" s="1" t="str">
        <f>"河南省南阳市卧龙区风帆小区b区25号楼704"</f>
        <v>河南省南阳市卧龙区风帆小区b区25号楼704</v>
      </c>
      <c r="H2183" s="1" t="str">
        <f>"高级动画设计师"</f>
        <v>高级动画设计师</v>
      </c>
      <c r="I2183" s="1" t="s">
        <v>243</v>
      </c>
    </row>
    <row r="2184" spans="1:9">
      <c r="A2184" s="1" t="str">
        <f>"410503199711095012"</f>
        <v>410503199711095012</v>
      </c>
      <c r="B2184" s="1" t="str">
        <f>"群众"</f>
        <v>群众</v>
      </c>
      <c r="C2184" s="1" t="str">
        <f t="shared" si="1077"/>
        <v>本科</v>
      </c>
      <c r="D2184" s="1" t="str">
        <f>"20210913"</f>
        <v>20210913</v>
      </c>
      <c r="E2184" s="1" t="str">
        <f>"印度迈索尔大学"</f>
        <v>印度迈索尔大学</v>
      </c>
      <c r="F2184" s="1" t="str">
        <f>"计算机类（信息技术）"</f>
        <v>计算机类（信息技术）</v>
      </c>
      <c r="G2184" s="1" t="str">
        <f>"安阳市文峰区森和阳光"</f>
        <v>安阳市文峰区森和阳光</v>
      </c>
      <c r="H2184" s="1" t="str">
        <f t="shared" ref="H2184:H2188" si="1080">"无"</f>
        <v>无</v>
      </c>
      <c r="I2184" s="1" t="str">
        <f>"2016-09--2019-07 黄淮学院 计算机应用技术	                        （大专）
2019-09--2021-09 印度迈索尔大学 计算机类（信息技术）	（本科）
2021-09--2022-08 北京禾城云天信息科技公司 研发部
~至今 （待业）"</f>
        <v>2016-09--2019-07 黄淮学院 计算机应用技术	                        （大专）
2019-09--2021-09 印度迈索尔大学 计算机类（信息技术）	（本科）
2021-09--2022-08 北京禾城云天信息科技公司 研发部
~至今 （待业）</v>
      </c>
    </row>
    <row r="2185" spans="1:9">
      <c r="A2185" s="1" t="str">
        <f>"411324200201270527"</f>
        <v>411324200201270527</v>
      </c>
      <c r="B2185" s="1" t="str">
        <f t="shared" si="1079"/>
        <v>共青团员</v>
      </c>
      <c r="C2185" s="1" t="str">
        <f t="shared" si="1077"/>
        <v>本科</v>
      </c>
      <c r="D2185" s="1" t="str">
        <f>"2023年6月"</f>
        <v>2023年6月</v>
      </c>
      <c r="E2185" s="1" t="str">
        <f>"新疆大学"</f>
        <v>新疆大学</v>
      </c>
      <c r="F2185" s="1" t="str">
        <f>"酒店管理"</f>
        <v>酒店管理</v>
      </c>
      <c r="G2185" s="1" t="str">
        <f>"镇平县城郊乡徐岗村"</f>
        <v>镇平县城郊乡徐岗村</v>
      </c>
      <c r="H2185" s="1" t="str">
        <f t="shared" si="1080"/>
        <v>无</v>
      </c>
      <c r="I2185" s="1" t="str">
        <f>"201909-202306 新疆大学就读
202307-202404 在阿克苏沙雅县待业
202405-2025-06宝石花物业有限公司哈密分公司任综合管理专员
202507-至今 在河南省镇平县待业"</f>
        <v>201909-202306 新疆大学就读
202307-202404 在阿克苏沙雅县待业
202405-2025-06宝石花物业有限公司哈密分公司任综合管理专员
202507-至今 在河南省镇平县待业</v>
      </c>
    </row>
    <row r="2186" spans="1:9">
      <c r="A2186" s="1" t="str">
        <f>"411327200011060034"</f>
        <v>411327200011060034</v>
      </c>
      <c r="B2186" s="1" t="str">
        <f t="shared" si="1079"/>
        <v>共青团员</v>
      </c>
      <c r="C2186" s="1" t="str">
        <f t="shared" si="1077"/>
        <v>本科</v>
      </c>
      <c r="D2186" s="1" t="str">
        <f>"20230701"</f>
        <v>20230701</v>
      </c>
      <c r="E2186" s="1" t="str">
        <f>"郑州科技学院"</f>
        <v>郑州科技学院</v>
      </c>
      <c r="F2186" s="1" t="str">
        <f>"食品科学与工程"</f>
        <v>食品科学与工程</v>
      </c>
      <c r="G2186" s="1" t="str">
        <f>"河南省南阳市内乡县湍东镇罗岗村新房子组"</f>
        <v>河南省南阳市内乡县湍东镇罗岗村新房子组</v>
      </c>
      <c r="H2186" s="1" t="str">
        <f t="shared" si="1080"/>
        <v>无</v>
      </c>
      <c r="I2186" s="1" t="str">
        <f>"201909—202307郑州科技学院就读   食品科学与工程专业  全日制本科
2023年07—至今 待业"</f>
        <v>201909—202307郑州科技学院就读   食品科学与工程专业  全日制本科
2023年07—至今 待业</v>
      </c>
    </row>
    <row r="2187" spans="1:9">
      <c r="A2187" s="1" t="str">
        <f>"411325200104254548"</f>
        <v>411325200104254548</v>
      </c>
      <c r="B2187" s="1" t="str">
        <f t="shared" si="1079"/>
        <v>共青团员</v>
      </c>
      <c r="C2187" s="1" t="str">
        <f t="shared" si="1077"/>
        <v>本科</v>
      </c>
      <c r="D2187" s="1" t="str">
        <f>"20230701"</f>
        <v>20230701</v>
      </c>
      <c r="E2187" s="1" t="str">
        <f>"河南师范大学"</f>
        <v>河南师范大学</v>
      </c>
      <c r="F2187" s="1" t="str">
        <f>"经济学"</f>
        <v>经济学</v>
      </c>
      <c r="G2187" s="1" t="str">
        <f>"河南省南阳市内乡县赵店乡大峪村唐家组"</f>
        <v>河南省南阳市内乡县赵店乡大峪村唐家组</v>
      </c>
      <c r="H2187" s="1" t="str">
        <f t="shared" si="1080"/>
        <v>无</v>
      </c>
      <c r="I2187" s="1" t="str">
        <f>"201909-202307 河南师范大学 商学院 经济学专业就读， 普通全日制
202308至今 待业 河南省南阳市内乡县赵店乡大峪村"</f>
        <v>201909-202307 河南师范大学 商学院 经济学专业就读， 普通全日制
202308至今 待业 河南省南阳市内乡县赵店乡大峪村</v>
      </c>
    </row>
    <row r="2188" spans="1:9">
      <c r="A2188" s="1" t="str">
        <f>"411327200001281124"</f>
        <v>411327200001281124</v>
      </c>
      <c r="B2188" s="1" t="str">
        <f t="shared" si="1079"/>
        <v>共青团员</v>
      </c>
      <c r="C2188" s="1" t="str">
        <f>"硕士研究生"</f>
        <v>硕士研究生</v>
      </c>
      <c r="D2188" s="1" t="str">
        <f>"20250630"</f>
        <v>20250630</v>
      </c>
      <c r="E2188" s="1" t="str">
        <f>"河南大学"</f>
        <v>河南大学</v>
      </c>
      <c r="F2188" s="1" t="str">
        <f>"生物学"</f>
        <v>生物学</v>
      </c>
      <c r="G2188" s="1" t="str">
        <f>"河南省南阳市内乡县赤眉镇陈湾村"</f>
        <v>河南省南阳市内乡县赤眉镇陈湾村</v>
      </c>
      <c r="H2188" s="1" t="str">
        <f t="shared" si="1080"/>
        <v>无</v>
      </c>
      <c r="I2188" s="1" t="str">
        <f>"201809-202206河南师范大学生命科学学院生物技术专业全日制学历
202209-202506河南大学棉花生物育种与综合利用全国重点实验室全日制学历"</f>
        <v>201809-202206河南师范大学生命科学学院生物技术专业全日制学历
202209-202506河南大学棉花生物育种与综合利用全国重点实验室全日制学历</v>
      </c>
    </row>
    <row r="2189" spans="1:9">
      <c r="A2189" s="1" t="str">
        <f>"411327200304304215"</f>
        <v>411327200304304215</v>
      </c>
      <c r="B2189" s="1" t="str">
        <f t="shared" si="1079"/>
        <v>共青团员</v>
      </c>
      <c r="C2189" s="1" t="str">
        <f t="shared" ref="C2189:C2191" si="1081">"本科"</f>
        <v>本科</v>
      </c>
      <c r="D2189" s="1" t="str">
        <f>"20250615"</f>
        <v>20250615</v>
      </c>
      <c r="E2189" s="1" t="str">
        <f>"河南城建学院"</f>
        <v>河南城建学院</v>
      </c>
      <c r="F2189" s="1" t="str">
        <f>"工程管理"</f>
        <v>工程管理</v>
      </c>
      <c r="G2189" s="1" t="str">
        <f>"河南省南阳市内乡县"</f>
        <v>河南省南阳市内乡县</v>
      </c>
      <c r="H2189" s="1" t="str">
        <f>"建筑信息模型技术员"</f>
        <v>建筑信息模型技术员</v>
      </c>
      <c r="I2189" s="1" t="str">
        <f>"202109-202506  河南城建学院 管理学院 工程管理专业就读,为全日制"</f>
        <v>202109-202506  河南城建学院 管理学院 工程管理专业就读,为全日制</v>
      </c>
    </row>
    <row r="2190" spans="1:9">
      <c r="A2190" s="1" t="str">
        <f>"411303200009186796"</f>
        <v>411303200009186796</v>
      </c>
      <c r="B2190" s="1" t="str">
        <f t="shared" ref="B2190:B2194" si="1082">"群众"</f>
        <v>群众</v>
      </c>
      <c r="C2190" s="1" t="str">
        <f t="shared" si="1081"/>
        <v>本科</v>
      </c>
      <c r="D2190" s="1" t="str">
        <f>"20240620"</f>
        <v>20240620</v>
      </c>
      <c r="E2190" s="1" t="str">
        <f>"河南工学院"</f>
        <v>河南工学院</v>
      </c>
      <c r="F2190" s="1" t="str">
        <f>"电气工程及其自动化"</f>
        <v>电气工程及其自动化</v>
      </c>
      <c r="G2190" s="1" t="str">
        <f>"河南省南阳市卧龙区青华镇席庄村赵庄"</f>
        <v>河南省南阳市卧龙区青华镇席庄村赵庄</v>
      </c>
      <c r="H2190" s="1" t="str">
        <f t="shared" ref="H2190:H2196" si="1083">"无"</f>
        <v>无</v>
      </c>
      <c r="I2190" s="1" t="str">
        <f>"201909-202406在河南工学院电气工程与自动化学院电气工程及其自动化专业就读，是全日制学历。"</f>
        <v>201909-202406在河南工学院电气工程与自动化学院电气工程及其自动化专业就读，是全日制学历。</v>
      </c>
    </row>
    <row r="2191" spans="1:9">
      <c r="A2191" s="1" t="str">
        <f>"411327200011050020"</f>
        <v>411327200011050020</v>
      </c>
      <c r="B2191" s="1" t="str">
        <f>"中共党员"</f>
        <v>中共党员</v>
      </c>
      <c r="C2191" s="1" t="str">
        <f t="shared" si="1081"/>
        <v>本科</v>
      </c>
      <c r="D2191" s="1" t="str">
        <f>"2023-06-09"</f>
        <v>2023-06-09</v>
      </c>
      <c r="E2191" s="1" t="str">
        <f>"许昌学院"</f>
        <v>许昌学院</v>
      </c>
      <c r="F2191" s="1" t="str">
        <f>"工商管理"</f>
        <v>工商管理</v>
      </c>
      <c r="G2191" s="1" t="str">
        <f>"河南省南阳市内乡县郦都国际二期6号楼1单元2203"</f>
        <v>河南省南阳市内乡县郦都国际二期6号楼1单元2203</v>
      </c>
      <c r="H2191" s="1" t="str">
        <f t="shared" si="1083"/>
        <v>无</v>
      </c>
      <c r="I2191" s="1" t="str">
        <f>"201809-202106 洛阳理工学院就读旅游管理专业
202109-202306 许昌学院就读工商管理专业"</f>
        <v>201809-202106 洛阳理工学院就读旅游管理专业
202109-202306 许昌学院就读工商管理专业</v>
      </c>
    </row>
    <row r="2192" spans="1:9">
      <c r="A2192" s="1" t="str">
        <f>"411325199804280418"</f>
        <v>411325199804280418</v>
      </c>
      <c r="B2192" s="1" t="str">
        <f>"共青团员"</f>
        <v>共青团员</v>
      </c>
      <c r="C2192" s="1" t="str">
        <f t="shared" ref="C2192:C2195" si="1084">"专科"</f>
        <v>专科</v>
      </c>
      <c r="D2192" s="1" t="str">
        <f>"20190701"</f>
        <v>20190701</v>
      </c>
      <c r="E2192" s="1" t="str">
        <f>"河南财经政法大学"</f>
        <v>河南财经政法大学</v>
      </c>
      <c r="F2192" s="1" t="str">
        <f>"计算机网络技术"</f>
        <v>计算机网络技术</v>
      </c>
      <c r="G2192" s="1" t="str">
        <f>"南阳市宛城区工农北路佳润城市之光2-1-1804"</f>
        <v>南阳市宛城区工农北路佳润城市之光2-1-1804</v>
      </c>
      <c r="H2192" s="1" t="str">
        <f t="shared" si="1083"/>
        <v>无</v>
      </c>
      <c r="I2192" s="1" t="str">
        <f>"201709-201907河南财经政法大学软件学院计算机网络技术专业就读
2019.07-2021.05 南阳待业
202003-202207 南阳理工学院计算机科学与技术非全日制本科（函授）
202105-202308南阳市行政审批服务中心数字政务科工作（公益岗）
202309-至今 南阳待业"</f>
        <v>201709-201907河南财经政法大学软件学院计算机网络技术专业就读
2019.07-2021.05 南阳待业
202003-202207 南阳理工学院计算机科学与技术非全日制本科（函授）
202105-202308南阳市行政审批服务中心数字政务科工作（公益岗）
202309-至今 南阳待业</v>
      </c>
    </row>
    <row r="2193" spans="1:9">
      <c r="A2193" s="1" t="str">
        <f>"411327199212160327"</f>
        <v>411327199212160327</v>
      </c>
      <c r="B2193" s="1" t="str">
        <f t="shared" si="1082"/>
        <v>群众</v>
      </c>
      <c r="C2193" s="1" t="str">
        <f t="shared" ref="C2193:C2205" si="1085">"本科"</f>
        <v>本科</v>
      </c>
      <c r="D2193" s="1" t="str">
        <f>"20160630"</f>
        <v>20160630</v>
      </c>
      <c r="E2193" s="1" t="str">
        <f>"河南财经政法大学"</f>
        <v>河南财经政法大学</v>
      </c>
      <c r="F2193" s="1" t="str">
        <f>"会计学(CGA方向)"</f>
        <v>会计学(CGA方向)</v>
      </c>
      <c r="G2193" s="1" t="str">
        <f>"河南省南阳市内乡县大桥乡堰庄村126号"</f>
        <v>河南省南阳市内乡县大桥乡堰庄村126号</v>
      </c>
      <c r="H2193" s="1" t="str">
        <f t="shared" si="1083"/>
        <v>无</v>
      </c>
      <c r="I2193" s="1" t="str">
        <f>"201209-201606 河南财经政法大学，会计学(CGA方向)就读，是全日制学历"</f>
        <v>201209-201606 河南财经政法大学，会计学(CGA方向)就读，是全日制学历</v>
      </c>
    </row>
    <row r="2194" spans="1:9">
      <c r="A2194" s="1" t="str">
        <f>"411325200007154545"</f>
        <v>411325200007154545</v>
      </c>
      <c r="B2194" s="1" t="str">
        <f t="shared" si="1082"/>
        <v>群众</v>
      </c>
      <c r="C2194" s="1" t="str">
        <f t="shared" si="1084"/>
        <v>专科</v>
      </c>
      <c r="D2194" s="1" t="str">
        <f>"2022年6月30日"</f>
        <v>2022年6月30日</v>
      </c>
      <c r="E2194" s="1" t="str">
        <f>"南阳农业职业学院"</f>
        <v>南阳农业职业学院</v>
      </c>
      <c r="F2194" s="1" t="str">
        <f>"学前教育"</f>
        <v>学前教育</v>
      </c>
      <c r="G2194" s="1" t="str">
        <f>"河南省南阳市卧龙区文化宫街中行家属院"</f>
        <v>河南省南阳市卧龙区文化宫街中行家属院</v>
      </c>
      <c r="H2194" s="1" t="str">
        <f t="shared" si="1083"/>
        <v>无</v>
      </c>
      <c r="I2194" s="1" t="str">
        <f>"2019年9月6日至2022年6月30日在南阳农业职业学院学习
2022年9月1日至今在南阳市第二实验幼儿园工作"</f>
        <v>2019年9月6日至2022年6月30日在南阳农业职业学院学习
2022年9月1日至今在南阳市第二实验幼儿园工作</v>
      </c>
    </row>
    <row r="2195" spans="1:9">
      <c r="A2195" s="1" t="str">
        <f>"410122199910169819"</f>
        <v>410122199910169819</v>
      </c>
      <c r="B2195" s="1" t="str">
        <f>"中共党员"</f>
        <v>中共党员</v>
      </c>
      <c r="C2195" s="1" t="str">
        <f t="shared" si="1084"/>
        <v>专科</v>
      </c>
      <c r="D2195" s="1" t="str">
        <f>"2022-07-01"</f>
        <v>2022-07-01</v>
      </c>
      <c r="E2195" s="1" t="str">
        <f>"三门峡职业技术学院"</f>
        <v>三门峡职业技术学院</v>
      </c>
      <c r="F2195" s="1" t="str">
        <f>"建筑室内设计"</f>
        <v>建筑室内设计</v>
      </c>
      <c r="G2195" s="1" t="str">
        <f>"河南省中牟县狼城岗镇青谷堆村621号"</f>
        <v>河南省中牟县狼城岗镇青谷堆村621号</v>
      </c>
      <c r="H2195" s="1" t="str">
        <f t="shared" si="1083"/>
        <v>无</v>
      </c>
      <c r="I2195" s="1" t="str">
        <f>"201909-202207 三门峡职业技术学院建筑工程学院建筑室内设计专业就读（全日制）；202107-202301 河南本源软装设计有限公司从事监理工作；202302-202307 河南世璞建筑装饰工程有限公司从事监理；202307-202408 在中牟县狼城岗镇待业；202408-202502 河南省三米装饰工程设计有限公司从事项目经理工作；202503-202507 在中牟县狼城岗镇待业。"</f>
        <v>201909-202207 三门峡职业技术学院建筑工程学院建筑室内设计专业就读（全日制）；202107-202301 河南本源软装设计有限公司从事监理工作；202302-202307 河南世璞建筑装饰工程有限公司从事监理；202307-202408 在中牟县狼城岗镇待业；202408-202502 河南省三米装饰工程设计有限公司从事项目经理工作；202503-202507 在中牟县狼城岗镇待业。</v>
      </c>
    </row>
    <row r="2196" spans="1:9">
      <c r="A2196" s="1" t="str">
        <f>"410725199707277226"</f>
        <v>410725199707277226</v>
      </c>
      <c r="B2196" s="1" t="str">
        <f>"共青团员"</f>
        <v>共青团员</v>
      </c>
      <c r="C2196" s="1" t="str">
        <f t="shared" si="1085"/>
        <v>本科</v>
      </c>
      <c r="D2196" s="1" t="str">
        <f>"20200619"</f>
        <v>20200619</v>
      </c>
      <c r="E2196" s="1" t="str">
        <f>"周口师范学院"</f>
        <v>周口师范学院</v>
      </c>
      <c r="F2196" s="1" t="str">
        <f>"音乐学"</f>
        <v>音乐学</v>
      </c>
      <c r="G2196" s="1" t="str">
        <f>"河南省新乡市"</f>
        <v>河南省新乡市</v>
      </c>
      <c r="H2196" s="1" t="str">
        <f t="shared" si="1083"/>
        <v>无</v>
      </c>
      <c r="I2196" s="1" t="str">
        <f>"201609-202006 周口师范学院音乐系的全日制音乐学专业 就读
202006-202506 在河南省内乡县 待业"</f>
        <v>201609-202006 周口师范学院音乐系的全日制音乐学专业 就读
202006-202506 在河南省内乡县 待业</v>
      </c>
    </row>
    <row r="2197" spans="1:9">
      <c r="A2197" s="1" t="str">
        <f>"411327199610163312"</f>
        <v>411327199610163312</v>
      </c>
      <c r="B2197" s="1" t="str">
        <f t="shared" ref="B2197:B2200" si="1086">"群众"</f>
        <v>群众</v>
      </c>
      <c r="C2197" s="1" t="str">
        <f t="shared" si="1085"/>
        <v>本科</v>
      </c>
      <c r="D2197" s="1" t="str">
        <f>"20200607"</f>
        <v>20200607</v>
      </c>
      <c r="E2197" s="1" t="str">
        <f>"新疆师范大学"</f>
        <v>新疆师范大学</v>
      </c>
      <c r="F2197" s="1" t="str">
        <f>"社会工作"</f>
        <v>社会工作</v>
      </c>
      <c r="G2197" s="1" t="str">
        <f>"河南省南阳市内乡县七里坪乡后坪村平安大道895号"</f>
        <v>河南省南阳市内乡县七里坪乡后坪村平安大道895号</v>
      </c>
      <c r="H2197" s="1" t="str">
        <f>"计算机一级证书"</f>
        <v>计算机一级证书</v>
      </c>
      <c r="I2197" s="1" t="str">
        <f>"201609-202006新疆师范大学，历史与社会学学院社会工作专业就读，全日制学历
202007-至今牧原食品股份有限公司担任员工
"</f>
        <v>201609-202006新疆师范大学，历史与社会学学院社会工作专业就读，全日制学历
202007-至今牧原食品股份有限公司担任员工
</v>
      </c>
    </row>
    <row r="2198" spans="1:9">
      <c r="A2198" s="1" t="str">
        <f>"410423200201200033"</f>
        <v>410423200201200033</v>
      </c>
      <c r="B2198" s="1" t="str">
        <f>"中共党员"</f>
        <v>中共党员</v>
      </c>
      <c r="C2198" s="1" t="str">
        <f t="shared" si="1085"/>
        <v>本科</v>
      </c>
      <c r="D2198" s="1" t="str">
        <f>"20250701"</f>
        <v>20250701</v>
      </c>
      <c r="E2198" s="1" t="str">
        <f>"南阳师范学院"</f>
        <v>南阳师范学院</v>
      </c>
      <c r="F2198" s="1" t="str">
        <f>"给排水科学与工程"</f>
        <v>给排水科学与工程</v>
      </c>
      <c r="G2198" s="1" t="str">
        <f>"河南省平顶山市鲁山县人民路东段"</f>
        <v>河南省平顶山市鲁山县人民路东段</v>
      </c>
      <c r="H2198" s="1" t="str">
        <f t="shared" ref="H2198:H2201" si="1087">"无"</f>
        <v>无</v>
      </c>
      <c r="I2198" s="1" t="str">
        <f>"202009-202307河南水利与环境职业学院 水利工程系水利工程专业 全日制专科
202309-202507南阳师范学院 土木建筑工程学院给排水科学与工程专业 全日制本科"</f>
        <v>202009-202307河南水利与环境职业学院 水利工程系水利工程专业 全日制专科
202309-202507南阳师范学院 土木建筑工程学院给排水科学与工程专业 全日制本科</v>
      </c>
    </row>
    <row r="2199" spans="1:9">
      <c r="A2199" s="1" t="str">
        <f>"371426199403140819"</f>
        <v>371426199403140819</v>
      </c>
      <c r="B2199" s="1" t="str">
        <f t="shared" si="1086"/>
        <v>群众</v>
      </c>
      <c r="C2199" s="1" t="str">
        <f t="shared" si="1085"/>
        <v>本科</v>
      </c>
      <c r="D2199" s="1" t="str">
        <f>"20180402"</f>
        <v>20180402</v>
      </c>
      <c r="E2199" s="1" t="str">
        <f>"德州学院"</f>
        <v>德州学院</v>
      </c>
      <c r="F2199" s="1" t="str">
        <f>"体育教育"</f>
        <v>体育教育</v>
      </c>
      <c r="G2199" s="1" t="str">
        <f>"山东省德州市德城区肖月教师小区"</f>
        <v>山东省德州市德城区肖月教师小区</v>
      </c>
      <c r="H2199" s="1" t="str">
        <f>"初级中学教师资格证（体育教育）"</f>
        <v>初级中学教师资格证（体育教育）</v>
      </c>
      <c r="I2199" s="1" t="str">
        <f>"201309-201804 德州学院体育教育专业就读
201804-202103 启九体育（足球教练）
202103-今 个体（食品销售）"</f>
        <v>201309-201804 德州学院体育教育专业就读
201804-202103 启九体育（足球教练）
202103-今 个体（食品销售）</v>
      </c>
    </row>
    <row r="2200" spans="1:9">
      <c r="A2200" s="1" t="str">
        <f>"411323200208060016"</f>
        <v>411323200208060016</v>
      </c>
      <c r="B2200" s="1" t="str">
        <f t="shared" si="1086"/>
        <v>群众</v>
      </c>
      <c r="C2200" s="1" t="str">
        <f t="shared" si="1085"/>
        <v>本科</v>
      </c>
      <c r="D2200" s="1" t="str">
        <f>"20240701"</f>
        <v>20240701</v>
      </c>
      <c r="E2200" s="1" t="str">
        <f>"许昌学院"</f>
        <v>许昌学院</v>
      </c>
      <c r="F2200" s="1" t="str">
        <f>"数据科学与大数据技术"</f>
        <v>数据科学与大数据技术</v>
      </c>
      <c r="G2200" s="1" t="str">
        <f>"河南省南阳市淅川县程营社区"</f>
        <v>河南省南阳市淅川县程营社区</v>
      </c>
      <c r="H2200" s="1" t="str">
        <f t="shared" si="1087"/>
        <v>无</v>
      </c>
      <c r="I2200" s="1" t="str">
        <f>"202009-202407 许昌学院信息工程学院数据科学与大数据技术专业就读 全日制学历"</f>
        <v>202009-202407 许昌学院信息工程学院数据科学与大数据技术专业就读 全日制学历</v>
      </c>
    </row>
    <row r="2201" spans="1:9">
      <c r="A2201" s="1" t="str">
        <f>"411327199706120018"</f>
        <v>411327199706120018</v>
      </c>
      <c r="B2201" s="1" t="str">
        <f>"中共党员"</f>
        <v>中共党员</v>
      </c>
      <c r="C2201" s="1" t="str">
        <f t="shared" si="1085"/>
        <v>本科</v>
      </c>
      <c r="D2201" s="1" t="str">
        <f>"20190621"</f>
        <v>20190621</v>
      </c>
      <c r="E2201" s="1" t="str">
        <f>"西南民族大学"</f>
        <v>西南民族大学</v>
      </c>
      <c r="F2201" s="1" t="str">
        <f>"信息与计算科学"</f>
        <v>信息与计算科学</v>
      </c>
      <c r="G2201" s="1" t="str">
        <f>"河南省内乡县城关镇广源路五巷"</f>
        <v>河南省内乡县城关镇广源路五巷</v>
      </c>
      <c r="H2201" s="1" t="str">
        <f t="shared" si="1087"/>
        <v>无</v>
      </c>
      <c r="I2201" s="1" t="str">
        <f>"20150901-20190612 西南民族大学 计算机科学与技术学院信息与计算科学专业就读
201906-202012 内乡待业
202101-202105 四川新闻网
202106-202311 内乡待业
202312-202409 93184部队
202410-202505 61946部队
202505-至今 内乡待业"</f>
        <v>20150901-20190612 西南民族大学 计算机科学与技术学院信息与计算科学专业就读
201906-202012 内乡待业
202101-202105 四川新闻网
202106-202311 内乡待业
202312-202409 93184部队
202410-202505 61946部队
202505-至今 内乡待业</v>
      </c>
    </row>
    <row r="2202" spans="1:9">
      <c r="A2202" s="1" t="str">
        <f>"411330200207152529"</f>
        <v>411330200207152529</v>
      </c>
      <c r="B2202" s="1" t="str">
        <f t="shared" ref="B2202:B2207" si="1088">"共青团员"</f>
        <v>共青团员</v>
      </c>
      <c r="C2202" s="1" t="str">
        <f t="shared" si="1085"/>
        <v>本科</v>
      </c>
      <c r="D2202" s="1" t="str">
        <f>"20250607"</f>
        <v>20250607</v>
      </c>
      <c r="E2202" s="1" t="str">
        <f>"新乡工程学院"</f>
        <v>新乡工程学院</v>
      </c>
      <c r="F2202" s="1" t="str">
        <f>"视觉传达设计"</f>
        <v>视觉传达设计</v>
      </c>
      <c r="G2202" s="1" t="str">
        <f>"河南省南阳市西峡县"</f>
        <v>河南省南阳市西峡县</v>
      </c>
      <c r="H2202" s="1" t="str">
        <f>"人工智能训练师证书"</f>
        <v>人工智能训练师证书</v>
      </c>
      <c r="I2202" s="1" t="str">
        <f>"202109-202506新乡工程学院艺术学院视觉传达设计专业 就读 是全日制"</f>
        <v>202109-202506新乡工程学院艺术学院视觉传达设计专业 就读 是全日制</v>
      </c>
    </row>
    <row r="2203" spans="1:9">
      <c r="A2203" s="1" t="str">
        <f>"41132719961024151X"</f>
        <v>41132719961024151X</v>
      </c>
      <c r="B2203" s="1" t="str">
        <f t="shared" ref="B2203:B2206" si="1089">"群众"</f>
        <v>群众</v>
      </c>
      <c r="C2203" s="1" t="str">
        <f t="shared" si="1085"/>
        <v>本科</v>
      </c>
      <c r="D2203" s="1" t="str">
        <f>"2018-06-20"</f>
        <v>2018-06-20</v>
      </c>
      <c r="E2203" s="1" t="str">
        <f>"中国矿业大学"</f>
        <v>中国矿业大学</v>
      </c>
      <c r="F2203" s="1" t="str">
        <f>"土地资源管理"</f>
        <v>土地资源管理</v>
      </c>
      <c r="G2203" s="1" t="str">
        <f>"河南省南阳市内乡县湍东镇东王营柏南"</f>
        <v>河南省南阳市内乡县湍东镇东王营柏南</v>
      </c>
      <c r="H2203" s="1" t="str">
        <f t="shared" ref="H2203:H2217" si="1090">"无"</f>
        <v>无</v>
      </c>
      <c r="I2203" s="1" t="str">
        <f>"201409-201806 中国矿业大学 就读
201806-201810  鑫控集团  管培生
201811-201903  谱尼测试   采样员
201904-202202  徐州方圆房地产土地评估咨询有限公司  评估师助理
2022-2-202401   内乡牧原综合体  灭菌除臭管理岗
202402-202407   内乡待业
202407--202507  融创鑫和   仓库管理"</f>
        <v>201409-201806 中国矿业大学 就读
201806-201810  鑫控集团  管培生
201811-201903  谱尼测试   采样员
201904-202202  徐州方圆房地产土地评估咨询有限公司  评估师助理
2022-2-202401   内乡牧原综合体  灭菌除臭管理岗
202402-202407   内乡待业
202407--202507  融创鑫和   仓库管理</v>
      </c>
    </row>
    <row r="2204" spans="1:9">
      <c r="A2204" s="1" t="str">
        <f>"411327199309240024"</f>
        <v>411327199309240024</v>
      </c>
      <c r="B2204" s="1" t="str">
        <f t="shared" si="1088"/>
        <v>共青团员</v>
      </c>
      <c r="C2204" s="1" t="str">
        <f t="shared" si="1085"/>
        <v>本科</v>
      </c>
      <c r="D2204" s="1" t="str">
        <f>"20150630"</f>
        <v>20150630</v>
      </c>
      <c r="E2204" s="1" t="str">
        <f>"郑州升达经贸管理学院"</f>
        <v>郑州升达经贸管理学院</v>
      </c>
      <c r="F2204" s="1" t="str">
        <f>"会计学（涉外会计方向）"</f>
        <v>会计学（涉外会计方向）</v>
      </c>
      <c r="G2204" s="1" t="str">
        <f>"河南省南阳市内乡县湍东镇摩根小区"</f>
        <v>河南省南阳市内乡县湍东镇摩根小区</v>
      </c>
      <c r="H2204" s="1" t="str">
        <f>"会计从业资格证，大学英语六级，普通话一级乙等，计算机二级"</f>
        <v>会计从业资格证，大学英语六级，普通话一级乙等，计算机二级</v>
      </c>
      <c r="I2204" s="1" t="str">
        <f>"大学就读于郑州升达经贸管理学院，从
201109-201506，会计专业，涉外会计方向，全日制本科学历，没有间断；大学期间获得会计从业资格证书，英语六级，计算机二级，普通话一级乙等；毕业后在南阳美吉姆早教中心任早教老师，教师主管，从业9年时间，擅于沟通，有耐心责任心。"</f>
        <v>大学就读于郑州升达经贸管理学院，从
201109-201506，会计专业，涉外会计方向，全日制本科学历，没有间断；大学期间获得会计从业资格证书，英语六级，计算机二级，普通话一级乙等；毕业后在南阳美吉姆早教中心任早教老师，教师主管，从业9年时间，擅于沟通，有耐心责任心。</v>
      </c>
    </row>
    <row r="2205" spans="1:9">
      <c r="A2205" s="1" t="str">
        <f>"411327200102090618"</f>
        <v>411327200102090618</v>
      </c>
      <c r="B2205" s="1" t="str">
        <f t="shared" si="1089"/>
        <v>群众</v>
      </c>
      <c r="C2205" s="1" t="str">
        <f t="shared" si="1085"/>
        <v>本科</v>
      </c>
      <c r="D2205" s="1" t="str">
        <f>"20230701"</f>
        <v>20230701</v>
      </c>
      <c r="E2205" s="1" t="str">
        <f>"信阳农林学院"</f>
        <v>信阳农林学院</v>
      </c>
      <c r="F2205" s="1" t="str">
        <f>"动物医学（宠物医学）"</f>
        <v>动物医学（宠物医学）</v>
      </c>
      <c r="G2205" s="1" t="str">
        <f>"河南省南阳市镇平县高丘镇"</f>
        <v>河南省南阳市镇平县高丘镇</v>
      </c>
      <c r="H2205" s="1" t="str">
        <f t="shared" si="1090"/>
        <v>无</v>
      </c>
      <c r="I2205" s="1" t="str">
        <f>"201909-202307 信阳农林学院动物科技学院动物医学（宠物医学）专业 就读"</f>
        <v>201909-202307 信阳农林学院动物科技学院动物医学（宠物医学）专业 就读</v>
      </c>
    </row>
    <row r="2206" spans="1:9">
      <c r="A2206" s="1" t="str">
        <f>"411327200301300032"</f>
        <v>411327200301300032</v>
      </c>
      <c r="B2206" s="1" t="str">
        <f t="shared" si="1089"/>
        <v>群众</v>
      </c>
      <c r="C2206" s="1" t="str">
        <f>"专科"</f>
        <v>专科</v>
      </c>
      <c r="D2206" s="1" t="str">
        <f>"20250701"</f>
        <v>20250701</v>
      </c>
      <c r="E2206" s="1" t="str">
        <f>"黄河水利职业技术学院"</f>
        <v>黄河水利职业技术学院</v>
      </c>
      <c r="F2206" s="1" t="str">
        <f>"智慧水利技术"</f>
        <v>智慧水利技术</v>
      </c>
      <c r="G2206" s="1" t="str">
        <f>"河南省南阳市内乡县湍东镇五里堡转盘南华轶洗车院里"</f>
        <v>河南省南阳市内乡县湍东镇五里堡转盘南华轶洗车院里</v>
      </c>
      <c r="H2206" s="1" t="str">
        <f t="shared" si="1090"/>
        <v>无</v>
      </c>
      <c r="I2206" s="1" t="str">
        <f>"202209—202506黄河水利职业技术学院 水利工程学院智慧水利技术就读，是全日制学历"</f>
        <v>202209—202506黄河水利职业技术学院 水利工程学院智慧水利技术就读，是全日制学历</v>
      </c>
    </row>
    <row r="2207" spans="1:9">
      <c r="A2207" s="1" t="str">
        <f>"41132720010414152X"</f>
        <v>41132720010414152X</v>
      </c>
      <c r="B2207" s="1" t="str">
        <f t="shared" si="1088"/>
        <v>共青团员</v>
      </c>
      <c r="C2207" s="1" t="str">
        <f t="shared" ref="C2207:C2210" si="1091">"本科"</f>
        <v>本科</v>
      </c>
      <c r="D2207" s="1" t="str">
        <f>"2024-07-01"</f>
        <v>2024-07-01</v>
      </c>
      <c r="E2207" s="1" t="str">
        <f>"黄河科技学院"</f>
        <v>黄河科技学院</v>
      </c>
      <c r="F2207" s="1" t="str">
        <f>"医学影像技术"</f>
        <v>医学影像技术</v>
      </c>
      <c r="G2207" s="1" t="str">
        <f>"河南省南阳市内乡县湍东镇五里堡村徐家105"</f>
        <v>河南省南阳市内乡县湍东镇五里堡村徐家105</v>
      </c>
      <c r="H2207" s="1" t="str">
        <f t="shared" si="1090"/>
        <v>无</v>
      </c>
      <c r="I2207" s="1" t="str">
        <f>"201909-202206河南医学高等专科学校
202209-202406黄河科技学院"</f>
        <v>201909-202206河南医学高等专科学校
202209-202406黄河科技学院</v>
      </c>
    </row>
    <row r="2208" spans="1:9">
      <c r="A2208" s="1" t="str">
        <f>"411330199601042525"</f>
        <v>411330199601042525</v>
      </c>
      <c r="B2208" s="1" t="str">
        <f>"中共党员"</f>
        <v>中共党员</v>
      </c>
      <c r="C2208" s="1" t="str">
        <f>"硕士研究生"</f>
        <v>硕士研究生</v>
      </c>
      <c r="D2208" s="1" t="str">
        <f>"20220621"</f>
        <v>20220621</v>
      </c>
      <c r="E2208" s="1" t="str">
        <f>"宁波大学"</f>
        <v>宁波大学</v>
      </c>
      <c r="F2208" s="1" t="str">
        <f>"马克思主义理论"</f>
        <v>马克思主义理论</v>
      </c>
      <c r="G2208" s="1" t="str">
        <f>"河南省南阳市西峡县盛达首府"</f>
        <v>河南省南阳市西峡县盛达首府</v>
      </c>
      <c r="H2208" s="1" t="str">
        <f t="shared" si="1090"/>
        <v>无</v>
      </c>
      <c r="I2208" s="1" t="str">
        <f>"201509-201906 南阳师范学院经济与管理学院工商管理专业就读，全日制学历。
201908-202206 宁波大学马克思主义学院马克思主义理论专业就读，全日制学历。
202206-202303 在河南省西峡县丁河镇待业；202303-202306北京民生智库科技信息咨询有限公司就业；202307-至今在河南省西峡县丁河镇待业"</f>
        <v>201509-201906 南阳师范学院经济与管理学院工商管理专业就读，全日制学历。
201908-202206 宁波大学马克思主义学院马克思主义理论专业就读，全日制学历。
202206-202303 在河南省西峡县丁河镇待业；202303-202306北京民生智库科技信息咨询有限公司就业；202307-至今在河南省西峡县丁河镇待业</v>
      </c>
    </row>
    <row r="2209" spans="1:9">
      <c r="A2209" s="1" t="str">
        <f>"411327199811211528"</f>
        <v>411327199811211528</v>
      </c>
      <c r="B2209" s="1" t="str">
        <f>"群众"</f>
        <v>群众</v>
      </c>
      <c r="C2209" s="1" t="str">
        <f t="shared" si="1091"/>
        <v>本科</v>
      </c>
      <c r="D2209" s="1" t="str">
        <f>"20200618"</f>
        <v>20200618</v>
      </c>
      <c r="E2209" s="1" t="str">
        <f>"长春大学"</f>
        <v>长春大学</v>
      </c>
      <c r="F2209" s="1" t="str">
        <f>"金融学"</f>
        <v>金融学</v>
      </c>
      <c r="G2209" s="1" t="str">
        <f>"河南省南阳市内乡县城关镇民政局对面罗岗游园一单元五楼西户"</f>
        <v>河南省南阳市内乡县城关镇民政局对面罗岗游园一单元五楼西户</v>
      </c>
      <c r="H2209" s="1" t="str">
        <f t="shared" si="1090"/>
        <v>无</v>
      </c>
      <c r="I2209" s="1" t="str">
        <f>"201609-202006在长春大学金融学专业就读；
202006-202409在内乡县郦都小学就业任职小学数学老师；
202409-至今在内乡县待业；"</f>
        <v>201609-202006在长春大学金融学专业就读；
202006-202409在内乡县郦都小学就业任职小学数学老师；
202409-至今在内乡县待业；</v>
      </c>
    </row>
    <row r="2210" spans="1:9">
      <c r="A2210" s="1" t="str">
        <f>"411224200201204823"</f>
        <v>411224200201204823</v>
      </c>
      <c r="B2210" s="1" t="str">
        <f t="shared" ref="B2210:B2214" si="1092">"共青团员"</f>
        <v>共青团员</v>
      </c>
      <c r="C2210" s="1" t="str">
        <f t="shared" si="1091"/>
        <v>本科</v>
      </c>
      <c r="D2210" s="1" t="str">
        <f>"20190630"</f>
        <v>20190630</v>
      </c>
      <c r="E2210" s="1" t="str">
        <f>"郑州西亚斯学院"</f>
        <v>郑州西亚斯学院</v>
      </c>
      <c r="F2210" s="1" t="str">
        <f>"工商管理专业"</f>
        <v>工商管理专业</v>
      </c>
      <c r="G2210" s="1" t="str">
        <f>"三门峡市卢氏县"</f>
        <v>三门峡市卢氏县</v>
      </c>
      <c r="H2210" s="1" t="str">
        <f t="shared" si="1090"/>
        <v>无</v>
      </c>
      <c r="I2210" s="1" t="str">
        <f>"201909-202306在郑州西亚斯学院商学院工商管理专业就读，是全日制本科"</f>
        <v>201909-202306在郑州西亚斯学院商学院工商管理专业就读，是全日制本科</v>
      </c>
    </row>
    <row r="2211" spans="1:9">
      <c r="A2211" s="1" t="str">
        <f>"411322200305255839"</f>
        <v>411322200305255839</v>
      </c>
      <c r="B2211" s="1" t="str">
        <f>"中共党员"</f>
        <v>中共党员</v>
      </c>
      <c r="C2211" s="1" t="str">
        <f>"专科"</f>
        <v>专科</v>
      </c>
      <c r="D2211" s="1" t="str">
        <f>"2026年7月1日"</f>
        <v>2026年7月1日</v>
      </c>
      <c r="E2211" s="1" t="str">
        <f>"平顶山工业职业技术学院"</f>
        <v>平顶山工业职业技术学院</v>
      </c>
      <c r="F2211" s="1" t="str">
        <f>"计算机应用技术"</f>
        <v>计算机应用技术</v>
      </c>
      <c r="G2211" s="1" t="str">
        <f>"河南省南阳市方城县独树镇马岗村大辛庄52号"</f>
        <v>河南省南阳市方城县独树镇马岗村大辛庄52号</v>
      </c>
      <c r="H2211" s="1" t="str">
        <f t="shared" si="1090"/>
        <v>无</v>
      </c>
      <c r="I2211" s="1" t="str">
        <f>"2025年7月1日在平顶山工业职业技术学院就读非全日制学历"</f>
        <v>2025年7月1日在平顶山工业职业技术学院就读非全日制学历</v>
      </c>
    </row>
    <row r="2212" spans="1:9">
      <c r="A2212" s="1" t="str">
        <f>"411327200010192027"</f>
        <v>411327200010192027</v>
      </c>
      <c r="B2212" s="1" t="str">
        <f t="shared" si="1092"/>
        <v>共青团员</v>
      </c>
      <c r="C2212" s="1" t="str">
        <f t="shared" ref="C2212:C2217" si="1093">"本科"</f>
        <v>本科</v>
      </c>
      <c r="D2212" s="1" t="str">
        <f>"20220622"</f>
        <v>20220622</v>
      </c>
      <c r="E2212" s="1" t="str">
        <f>"郑州大学西亚斯国际学院"</f>
        <v>郑州大学西亚斯国际学院</v>
      </c>
      <c r="F2212" s="1" t="str">
        <f>"金融学"</f>
        <v>金融学</v>
      </c>
      <c r="G2212" s="1" t="str">
        <f>"河南省南阳市内乡县城关镇永和清华园"</f>
        <v>河南省南阳市内乡县城关镇永和清华园</v>
      </c>
      <c r="H2212" s="1" t="str">
        <f t="shared" si="1090"/>
        <v>无</v>
      </c>
      <c r="I2212" s="1" t="str">
        <f>"201809-202206  在郑州大学西亚斯国际学院 商学院 金融学专业就读 全日制学历
202207-202303在家待业
202304-202308 在想念食品股份有限公司就职
202309-至今  在家待业"</f>
        <v>201809-202206  在郑州大学西亚斯国际学院 商学院 金融学专业就读 全日制学历
202207-202303在家待业
202304-202308 在想念食品股份有限公司就职
202309-至今  在家待业</v>
      </c>
    </row>
    <row r="2213" spans="1:9">
      <c r="A2213" s="1" t="str">
        <f>"411327200008220615"</f>
        <v>411327200008220615</v>
      </c>
      <c r="B2213" s="1" t="str">
        <f t="shared" ref="B2213:B2219" si="1094">"群众"</f>
        <v>群众</v>
      </c>
      <c r="C2213" s="1" t="str">
        <f t="shared" si="1093"/>
        <v>本科</v>
      </c>
      <c r="D2213" s="1" t="str">
        <f>"20230701"</f>
        <v>20230701</v>
      </c>
      <c r="E2213" s="1" t="str">
        <f>"周口师范学院"</f>
        <v>周口师范学院</v>
      </c>
      <c r="F2213" s="1" t="str">
        <f>"数据科学与大数据技术"</f>
        <v>数据科学与大数据技术</v>
      </c>
      <c r="G2213" s="1" t="str">
        <f>"河南省南阳市内乡县马山口镇车站街5号"</f>
        <v>河南省南阳市内乡县马山口镇车站街5号</v>
      </c>
      <c r="H2213" s="1" t="str">
        <f t="shared" si="1090"/>
        <v>无</v>
      </c>
      <c r="I2213" s="1" t="str">
        <f>"201909-202306 周口师范学院网络工程学院数据科学与大数据技术专业就读 全日制本科学历
202307-202506 在家待业
202506至今在内乡县人民法院工作"</f>
        <v>201909-202306 周口师范学院网络工程学院数据科学与大数据技术专业就读 全日制本科学历
202307-202506 在家待业
202506至今在内乡县人民法院工作</v>
      </c>
    </row>
    <row r="2214" spans="1:9">
      <c r="A2214" s="1" t="str">
        <f>"411323200201216911"</f>
        <v>411323200201216911</v>
      </c>
      <c r="B2214" s="1" t="str">
        <f t="shared" si="1092"/>
        <v>共青团员</v>
      </c>
      <c r="C2214" s="1" t="str">
        <f>"专科"</f>
        <v>专科</v>
      </c>
      <c r="D2214" s="1" t="str">
        <f>"20240701"</f>
        <v>20240701</v>
      </c>
      <c r="E2214" s="1" t="str">
        <f>"陕西邮电职业技术学院"</f>
        <v>陕西邮电职业技术学院</v>
      </c>
      <c r="F2214" s="1" t="str">
        <f>"电子信息工程技术"</f>
        <v>电子信息工程技术</v>
      </c>
      <c r="G2214" s="1" t="str">
        <f>"河南省南阳市淅川县"</f>
        <v>河南省南阳市淅川县</v>
      </c>
      <c r="H2214" s="1" t="str">
        <f t="shared" si="1090"/>
        <v>无</v>
      </c>
      <c r="I2214" s="1" t="str">
        <f>"202109-202407陕西邮电职业技术学院通信工程学院电子信息工程技术专业就读"</f>
        <v>202109-202407陕西邮电职业技术学院通信工程学院电子信息工程技术专业就读</v>
      </c>
    </row>
    <row r="2215" spans="1:9">
      <c r="A2215" s="1" t="str">
        <f>"410324200103190311"</f>
        <v>410324200103190311</v>
      </c>
      <c r="B2215" s="1" t="str">
        <f>"中共党员"</f>
        <v>中共党员</v>
      </c>
      <c r="C2215" s="1" t="str">
        <f t="shared" si="1093"/>
        <v>本科</v>
      </c>
      <c r="D2215" s="1" t="str">
        <f>"20230530"</f>
        <v>20230530</v>
      </c>
      <c r="E2215" s="1" t="str">
        <f>"山西师范大学"</f>
        <v>山西师范大学</v>
      </c>
      <c r="F2215" s="1" t="str">
        <f>"计算机科学与技术"</f>
        <v>计算机科学与技术</v>
      </c>
      <c r="G2215" s="1" t="str">
        <f>"河南省洛阳市栾川县朝阳小区"</f>
        <v>河南省洛阳市栾川县朝阳小区</v>
      </c>
      <c r="H2215" s="1" t="str">
        <f t="shared" si="1090"/>
        <v>无</v>
      </c>
      <c r="I2215" s="1" t="str">
        <f>"201909-202305 山西师范大学 数学与计算机科学学院 计算机科学与技术专业 就读  全日制学历"</f>
        <v>201909-202305 山西师范大学 数学与计算机科学学院 计算机科学与技术专业 就读  全日制学历</v>
      </c>
    </row>
    <row r="2216" spans="1:9">
      <c r="A2216" s="1" t="str">
        <f>"411327200203060637"</f>
        <v>411327200203060637</v>
      </c>
      <c r="B2216" s="1" t="str">
        <f t="shared" si="1094"/>
        <v>群众</v>
      </c>
      <c r="C2216" s="1" t="str">
        <f t="shared" si="1093"/>
        <v>本科</v>
      </c>
      <c r="D2216" s="1" t="str">
        <f>"20250701"</f>
        <v>20250701</v>
      </c>
      <c r="E2216" s="1" t="str">
        <f>"郑州师范学院"</f>
        <v>郑州师范学院</v>
      </c>
      <c r="F2216" s="1" t="str">
        <f>"教育学"</f>
        <v>教育学</v>
      </c>
      <c r="G2216" s="1" t="str">
        <f>"河南省南阳市内乡县马山口镇大寨村"</f>
        <v>河南省南阳市内乡县马山口镇大寨村</v>
      </c>
      <c r="H2216" s="1" t="str">
        <f t="shared" si="1090"/>
        <v>无</v>
      </c>
      <c r="I2216" s="1" t="str">
        <f>"202109-202506 郑州师范学院就读，教育科学学院教育学专业，是全日制学历"</f>
        <v>202109-202506 郑州师范学院就读，教育科学学院教育学专业，是全日制学历</v>
      </c>
    </row>
    <row r="2217" spans="1:9">
      <c r="A2217" s="1" t="str">
        <f>"411527200103046011"</f>
        <v>411527200103046011</v>
      </c>
      <c r="B2217" s="1" t="str">
        <f t="shared" si="1094"/>
        <v>群众</v>
      </c>
      <c r="C2217" s="1" t="str">
        <f t="shared" si="1093"/>
        <v>本科</v>
      </c>
      <c r="D2217" s="1" t="str">
        <f>"20250617"</f>
        <v>20250617</v>
      </c>
      <c r="E2217" s="1" t="str">
        <f>"南阳理工学院"</f>
        <v>南阳理工学院</v>
      </c>
      <c r="F2217" s="1" t="str">
        <f>"数学与应用数学（经济数学方向）"</f>
        <v>数学与应用数学（经济数学方向）</v>
      </c>
      <c r="G2217" s="1" t="str">
        <f>"河南省信阳市淮滨县马集镇"</f>
        <v>河南省信阳市淮滨县马集镇</v>
      </c>
      <c r="H2217" s="1" t="str">
        <f t="shared" si="1090"/>
        <v>无</v>
      </c>
      <c r="I2217" s="1" t="str">
        <f>"202109-202506南阳理工学院数理学院数学与应用数学专业就读
201709-202106河南省淮滨高级中学就读
"</f>
        <v>202109-202506南阳理工学院数理学院数学与应用数学专业就读
201709-202106河南省淮滨高级中学就读
</v>
      </c>
    </row>
    <row r="2218" spans="1:9">
      <c r="A2218" s="1" t="str">
        <f>"411328199405017785"</f>
        <v>411328199405017785</v>
      </c>
      <c r="B2218" s="1" t="str">
        <f t="shared" si="1094"/>
        <v>群众</v>
      </c>
      <c r="C2218" s="1" t="str">
        <f>"专科"</f>
        <v>专科</v>
      </c>
      <c r="D2218" s="1" t="str">
        <f>"2019年7年1日"</f>
        <v>2019年7年1日</v>
      </c>
      <c r="E2218" s="1" t="str">
        <f>"南阳师范学院"</f>
        <v>南阳师范学院</v>
      </c>
      <c r="F2218" s="1" t="str">
        <f>"学前教育"</f>
        <v>学前教育</v>
      </c>
      <c r="G2218" s="1" t="str">
        <f>"新野县书院路60号"</f>
        <v>新野县书院路60号</v>
      </c>
      <c r="H2218" s="1" t="str">
        <f>"教师资格证"</f>
        <v>教师资格证</v>
      </c>
      <c r="I2218" s="1" t="str">
        <f>"2016.9.1---2019.7.1南阳师范学院 学前教育 非全日制
2018.09--2020.7   南阳枣林学校 英语老师
2020.09--2025.1  南阳华龙学校  英语老师
2025.1至今新野县待业"</f>
        <v>2016.9.1---2019.7.1南阳师范学院 学前教育 非全日制
2018.09--2020.7   南阳枣林学校 英语老师
2020.09--2025.1  南阳华龙学校  英语老师
2025.1至今新野县待业</v>
      </c>
    </row>
    <row r="2219" spans="1:9">
      <c r="A2219" s="1" t="str">
        <f>"411327200012092548"</f>
        <v>411327200012092548</v>
      </c>
      <c r="B2219" s="1" t="str">
        <f t="shared" si="1094"/>
        <v>群众</v>
      </c>
      <c r="C2219" s="1" t="str">
        <f t="shared" ref="C2219:C2232" si="1095">"本科"</f>
        <v>本科</v>
      </c>
      <c r="D2219" s="1" t="str">
        <f>"20230607"</f>
        <v>20230607</v>
      </c>
      <c r="E2219" s="1" t="str">
        <f>"郑州航空工业管理学院"</f>
        <v>郑州航空工业管理学院</v>
      </c>
      <c r="F2219" s="1" t="str">
        <f>"机械设计制造及其自动化"</f>
        <v>机械设计制造及其自动化</v>
      </c>
      <c r="G2219" s="1" t="str">
        <f>"河南省南阳市内乡县王店镇"</f>
        <v>河南省南阳市内乡县王店镇</v>
      </c>
      <c r="H2219" s="1" t="str">
        <f>"CAD证书/C1驾驶证"</f>
        <v>CAD证书/C1驾驶证</v>
      </c>
      <c r="I2219" s="1" t="str">
        <f>"201909-202306在郑州航空航空工业管理学院就读；
202306-202507在牧原食品有限公司就职"</f>
        <v>201909-202306在郑州航空航空工业管理学院就读；
202306-202507在牧原食品有限公司就职</v>
      </c>
    </row>
    <row r="2220" spans="1:9">
      <c r="A2220" s="1" t="str">
        <f>"411326200310086131"</f>
        <v>411326200310086131</v>
      </c>
      <c r="B2220" s="1" t="str">
        <f t="shared" ref="B2220:B2223" si="1096">"共青团员"</f>
        <v>共青团员</v>
      </c>
      <c r="C2220" s="1" t="str">
        <f t="shared" si="1095"/>
        <v>本科</v>
      </c>
      <c r="D2220" s="1" t="str">
        <f>"20250621"</f>
        <v>20250621</v>
      </c>
      <c r="E2220" s="1" t="str">
        <f>"郑州升达经贸管理学院"</f>
        <v>郑州升达经贸管理学院</v>
      </c>
      <c r="F2220" s="1" t="str">
        <f>"社会体育指导与管理"</f>
        <v>社会体育指导与管理</v>
      </c>
      <c r="G2220" s="1" t="str">
        <f>"内乡县"</f>
        <v>内乡县</v>
      </c>
      <c r="H2220" s="1" t="str">
        <f>"社会体育指导员证书  国家职业健身教练初级证书  普通话二乙证书"</f>
        <v>社会体育指导员证书  国家职业健身教练初级证书  普通话二乙证书</v>
      </c>
      <c r="I2220" s="1" t="str">
        <f>"202109－202506 在郑州升达经贸管理学院体育学院社会体育指导与管理本科二班就读全日制"</f>
        <v>202109－202506 在郑州升达经贸管理学院体育学院社会体育指导与管理本科二班就读全日制</v>
      </c>
    </row>
    <row r="2221" spans="1:9">
      <c r="A2221" s="1" t="str">
        <f>"411327200005102525"</f>
        <v>411327200005102525</v>
      </c>
      <c r="B2221" s="1" t="str">
        <f t="shared" si="1096"/>
        <v>共青团员</v>
      </c>
      <c r="C2221" s="1" t="str">
        <f>"专科"</f>
        <v>专科</v>
      </c>
      <c r="D2221" s="1" t="str">
        <f>"20210701"</f>
        <v>20210701</v>
      </c>
      <c r="E2221" s="1" t="str">
        <f>"河南省工业职业技术学院"</f>
        <v>河南省工业职业技术学院</v>
      </c>
      <c r="F2221" s="1" t="str">
        <f>"会计"</f>
        <v>会计</v>
      </c>
      <c r="G2221" s="1" t="str">
        <f>"河南省内乡县鼎荣华府"</f>
        <v>河南省内乡县鼎荣华府</v>
      </c>
      <c r="H2221" s="1" t="str">
        <f t="shared" ref="H2221:H2223" si="1097">"无"</f>
        <v>无</v>
      </c>
      <c r="I2221" s="1" t="str">
        <f>"201809-202107河南工业职业技术学院会计全日制
202107-202301在家待业
202301-至今在内乡县商务局公益岗位就业"</f>
        <v>201809-202107河南工业职业技术学院会计全日制
202107-202301在家待业
202301-至今在内乡县商务局公益岗位就业</v>
      </c>
    </row>
    <row r="2222" spans="1:9">
      <c r="A2222" s="1" t="str">
        <f>"411527199807160044"</f>
        <v>411527199807160044</v>
      </c>
      <c r="B2222" s="1" t="str">
        <f t="shared" ref="B2222:B2227" si="1098">"群众"</f>
        <v>群众</v>
      </c>
      <c r="C2222" s="1" t="str">
        <f t="shared" si="1095"/>
        <v>本科</v>
      </c>
      <c r="D2222" s="1" t="str">
        <f>"20190701"</f>
        <v>20190701</v>
      </c>
      <c r="E2222" s="1" t="str">
        <f>"河南城建学院"</f>
        <v>河南城建学院</v>
      </c>
      <c r="F2222" s="1" t="str">
        <f>"金融数学"</f>
        <v>金融数学</v>
      </c>
      <c r="G2222" s="1" t="str">
        <f>"信阳市淮滨县福地华府"</f>
        <v>信阳市淮滨县福地华府</v>
      </c>
      <c r="H2222" s="1" t="str">
        <f t="shared" si="1097"/>
        <v>无</v>
      </c>
      <c r="I2222" s="1" t="str">
        <f>"201509-201907 河南城建学校金融数学专业就读，全日制学历
201907-202507待业"</f>
        <v>201509-201907 河南城建学校金融数学专业就读，全日制学历
201907-202507待业</v>
      </c>
    </row>
    <row r="2223" spans="1:9">
      <c r="A2223" s="1" t="str">
        <f>"411327200007181124"</f>
        <v>411327200007181124</v>
      </c>
      <c r="B2223" s="1" t="str">
        <f t="shared" si="1096"/>
        <v>共青团员</v>
      </c>
      <c r="C2223" s="1" t="str">
        <f t="shared" si="1095"/>
        <v>本科</v>
      </c>
      <c r="D2223" s="1" t="str">
        <f>"20190607"</f>
        <v>20190607</v>
      </c>
      <c r="E2223" s="1" t="str">
        <f>"商丘师范学院"</f>
        <v>商丘师范学院</v>
      </c>
      <c r="F2223" s="1" t="str">
        <f>"新能源科学与工程"</f>
        <v>新能源科学与工程</v>
      </c>
      <c r="G2223" s="1" t="str">
        <f>"河南省南阳市宛城区枣林街道"</f>
        <v>河南省南阳市宛城区枣林街道</v>
      </c>
      <c r="H2223" s="1" t="str">
        <f t="shared" si="1097"/>
        <v>无</v>
      </c>
      <c r="I2223" s="1" t="str">
        <f>"201909-202306 商丘师范学院 就读"</f>
        <v>201909-202306 商丘师范学院 就读</v>
      </c>
    </row>
    <row r="2224" spans="1:9">
      <c r="A2224" s="1" t="str">
        <f>"411327199703243549"</f>
        <v>411327199703243549</v>
      </c>
      <c r="B2224" s="1" t="str">
        <f t="shared" si="1098"/>
        <v>群众</v>
      </c>
      <c r="C2224" s="1" t="str">
        <f t="shared" si="1095"/>
        <v>本科</v>
      </c>
      <c r="D2224" s="1" t="str">
        <f>"20200701"</f>
        <v>20200701</v>
      </c>
      <c r="E2224" s="1" t="str">
        <f>"安阳工学院"</f>
        <v>安阳工学院</v>
      </c>
      <c r="F2224" s="1" t="str">
        <f>"工商管理"</f>
        <v>工商管理</v>
      </c>
      <c r="G2224" s="1" t="str">
        <f>"河南省南阳市内乡县湍东镇菊潭毓秀园"</f>
        <v>河南省南阳市内乡县湍东镇菊潭毓秀园</v>
      </c>
      <c r="H2224" s="1" t="str">
        <f>"初级会计证"</f>
        <v>初级会计证</v>
      </c>
      <c r="I2224" s="1" t="str">
        <f>"201609-202007  安阳工学院就读
202007-202009   内乡待业
202009-202207   内乡郦都学校初中部
202209-202507   灌张镇初级中学"</f>
        <v>201609-202007  安阳工学院就读
202007-202009   内乡待业
202009-202207   内乡郦都学校初中部
202209-202507   灌张镇初级中学</v>
      </c>
    </row>
    <row r="2225" spans="1:9">
      <c r="A2225" s="1" t="str">
        <f>"411324200210252259"</f>
        <v>411324200210252259</v>
      </c>
      <c r="B2225" s="1" t="str">
        <f t="shared" ref="B2225:B2229" si="1099">"共青团员"</f>
        <v>共青团员</v>
      </c>
      <c r="C2225" s="1" t="str">
        <f t="shared" si="1095"/>
        <v>本科</v>
      </c>
      <c r="D2225" s="1" t="str">
        <f>"2024-06-05"</f>
        <v>2024-06-05</v>
      </c>
      <c r="E2225" s="1" t="str">
        <f>"安阳学院"</f>
        <v>安阳学院</v>
      </c>
      <c r="F2225" s="1" t="str">
        <f>"健康服务与管理"</f>
        <v>健康服务与管理</v>
      </c>
      <c r="G2225" s="1" t="str">
        <f>"河南省南阳市镇平县王岗乡东李庄"</f>
        <v>河南省南阳市镇平县王岗乡东李庄</v>
      </c>
      <c r="H2225" s="1" t="str">
        <f>"健康管理师三级"</f>
        <v>健康管理师三级</v>
      </c>
      <c r="I2225" s="1" t="str">
        <f>"201909-202207 濮阳医学高等专科学校健康管理专业就读 全日制
202209-202406 安阳学院经济与管理学院健康服务与管理专业就读 全日制"</f>
        <v>201909-202207 濮阳医学高等专科学校健康管理专业就读 全日制
202209-202406 安阳学院经济与管理学院健康服务与管理专业就读 全日制</v>
      </c>
    </row>
    <row r="2226" spans="1:9">
      <c r="A2226" s="1" t="str">
        <f>"411327200309264216"</f>
        <v>411327200309264216</v>
      </c>
      <c r="B2226" s="1" t="str">
        <f t="shared" si="1098"/>
        <v>群众</v>
      </c>
      <c r="C2226" s="1" t="str">
        <f t="shared" si="1095"/>
        <v>本科</v>
      </c>
      <c r="D2226" s="1" t="str">
        <f>"20250630"</f>
        <v>20250630</v>
      </c>
      <c r="E2226" s="1" t="str">
        <f>"新乡学院"</f>
        <v>新乡学院</v>
      </c>
      <c r="F2226" s="1" t="str">
        <f>"交通工程"</f>
        <v>交通工程</v>
      </c>
      <c r="G2226" s="1" t="str">
        <f>"河南省南阳市内乡县余关镇"</f>
        <v>河南省南阳市内乡县余关镇</v>
      </c>
      <c r="H2226" s="1" t="str">
        <f>"工程测量员三级"</f>
        <v>工程测量员三级</v>
      </c>
      <c r="I2226" s="1" t="str">
        <f>"202109-202506新乡学院土木工程与建设学院交通工程专业就读，是全日制学历"</f>
        <v>202109-202506新乡学院土木工程与建设学院交通工程专业就读，是全日制学历</v>
      </c>
    </row>
    <row r="2227" spans="1:9">
      <c r="A2227" s="1" t="str">
        <f>"411330200001180022"</f>
        <v>411330200001180022</v>
      </c>
      <c r="B2227" s="1" t="str">
        <f t="shared" si="1098"/>
        <v>群众</v>
      </c>
      <c r="C2227" s="1" t="str">
        <f t="shared" si="1095"/>
        <v>本科</v>
      </c>
      <c r="D2227" s="1" t="str">
        <f>"20230701"</f>
        <v>20230701</v>
      </c>
      <c r="E2227" s="1" t="str">
        <f>"河南理工大学"</f>
        <v>河南理工大学</v>
      </c>
      <c r="F2227" s="1" t="str">
        <f>"数学与应用数学"</f>
        <v>数学与应用数学</v>
      </c>
      <c r="G2227" s="1" t="str">
        <f>"河南省南阳市西峡县丹水镇"</f>
        <v>河南省南阳市西峡县丹水镇</v>
      </c>
      <c r="H2227" s="1" t="str">
        <f>"无"</f>
        <v>无</v>
      </c>
      <c r="I2227" s="1" t="str">
        <f>"201909-202307在河南理工大学 数信学院 数学与应用数学专业就读，是全日制学历。
202308-至今在河南通宇冶材集团有限公司就职。"</f>
        <v>201909-202307在河南理工大学 数信学院 数学与应用数学专业就读，是全日制学历。
202308-至今在河南通宇冶材集团有限公司就职。</v>
      </c>
    </row>
    <row r="2228" spans="1:9">
      <c r="A2228" s="1" t="str">
        <f>"411328199911070669"</f>
        <v>411328199911070669</v>
      </c>
      <c r="B2228" s="1" t="str">
        <f t="shared" si="1099"/>
        <v>共青团员</v>
      </c>
      <c r="C2228" s="1" t="str">
        <f t="shared" si="1095"/>
        <v>本科</v>
      </c>
      <c r="D2228" s="1" t="str">
        <f>"20230606"</f>
        <v>20230606</v>
      </c>
      <c r="E2228" s="1" t="str">
        <f>"河南大学民生学院"</f>
        <v>河南大学民生学院</v>
      </c>
      <c r="F2228" s="1" t="str">
        <f>"环境设计"</f>
        <v>环境设计</v>
      </c>
      <c r="G2228" s="1" t="str">
        <f>"河南省南阳市新野县汉城区金福街对面"</f>
        <v>河南省南阳市新野县汉城区金福街对面</v>
      </c>
      <c r="H2228" s="1" t="str">
        <f>"室内装饰设计师三级"</f>
        <v>室内装饰设计师三级</v>
      </c>
      <c r="I2228" s="1" t="str">
        <f>"201909-202306在河南大学民生学院艺术学院环境设计专业就读 全日制本科"</f>
        <v>201909-202306在河南大学民生学院艺术学院环境设计专业就读 全日制本科</v>
      </c>
    </row>
    <row r="2229" spans="1:9">
      <c r="A2229" s="1" t="str">
        <f>"410324200101051422"</f>
        <v>410324200101051422</v>
      </c>
      <c r="B2229" s="1" t="str">
        <f t="shared" si="1099"/>
        <v>共青团员</v>
      </c>
      <c r="C2229" s="1" t="str">
        <f t="shared" si="1095"/>
        <v>本科</v>
      </c>
      <c r="D2229" s="1" t="str">
        <f>"20220701"</f>
        <v>20220701</v>
      </c>
      <c r="E2229" s="1" t="str">
        <f>"安阳师范学院"</f>
        <v>安阳师范学院</v>
      </c>
      <c r="F2229" s="1" t="str">
        <f>"汉语言文学"</f>
        <v>汉语言文学</v>
      </c>
      <c r="G2229" s="1" t="str">
        <f>"河南省洛阳市栾川县画眉水岸"</f>
        <v>河南省洛阳市栾川县画眉水岸</v>
      </c>
      <c r="H2229" s="1" t="str">
        <f>"教师资格证书（高中语文）"</f>
        <v>教师资格证书（高中语文）</v>
      </c>
      <c r="I2229" s="1" t="str">
        <f>"201809-202207 安阳师范学院文学院汉语言文学专业就读，全日制；
202207-202404 河南省栾川县待业；
202404-202412 栾川县人民法院任职书记员；
202412-至今 河南省栾川县待业。"</f>
        <v>201809-202207 安阳师范学院文学院汉语言文学专业就读，全日制；
202207-202404 河南省栾川县待业；
202404-202412 栾川县人民法院任职书记员；
202412-至今 河南省栾川县待业。</v>
      </c>
    </row>
    <row r="2230" spans="1:9">
      <c r="A2230" s="1" t="str">
        <f>"411327199904081144"</f>
        <v>411327199904081144</v>
      </c>
      <c r="B2230" s="1" t="str">
        <f>"中共党员"</f>
        <v>中共党员</v>
      </c>
      <c r="C2230" s="1" t="str">
        <f t="shared" si="1095"/>
        <v>本科</v>
      </c>
      <c r="D2230" s="1" t="str">
        <f>"20220607"</f>
        <v>20220607</v>
      </c>
      <c r="E2230" s="1" t="str">
        <f>"郑州轻工业大学"</f>
        <v>郑州轻工业大学</v>
      </c>
      <c r="F2230" s="1" t="str">
        <f>"英语"</f>
        <v>英语</v>
      </c>
      <c r="G2230" s="1" t="str">
        <f>"河南省南阳市内乡县"</f>
        <v>河南省南阳市内乡县</v>
      </c>
      <c r="H2230" s="1" t="str">
        <f>"专业英语八级"</f>
        <v>专业英语八级</v>
      </c>
      <c r="I2230" s="1" t="str">
        <f>"201709-202006河南财政金融学院 全日制
202009-202206郑州轻工业大学"</f>
        <v>201709-202006河南财政金融学院 全日制
202009-202206郑州轻工业大学</v>
      </c>
    </row>
    <row r="2231" spans="1:9">
      <c r="A2231" s="1" t="str">
        <f>"411327200207160627"</f>
        <v>411327200207160627</v>
      </c>
      <c r="B2231" s="1" t="str">
        <f t="shared" ref="B2231:B2234" si="1100">"群众"</f>
        <v>群众</v>
      </c>
      <c r="C2231" s="1" t="str">
        <f t="shared" si="1095"/>
        <v>本科</v>
      </c>
      <c r="D2231" s="1" t="str">
        <f>"2025.7.1"</f>
        <v>2025.7.1</v>
      </c>
      <c r="E2231" s="1" t="str">
        <f>"黑龙江财经学院"</f>
        <v>黑龙江财经学院</v>
      </c>
      <c r="F2231" s="1" t="str">
        <f>"会计学"</f>
        <v>会计学</v>
      </c>
      <c r="G2231" s="1" t="str">
        <f>"河南省内乡县南园村"</f>
        <v>河南省内乡县南园村</v>
      </c>
      <c r="H2231" s="1" t="str">
        <f>"会计初级证书"</f>
        <v>会计初级证书</v>
      </c>
      <c r="I2231" s="1" t="str">
        <f>"202109-202507在黑龙江财经学院会计学专业就读，全日制本科学历。"</f>
        <v>202109-202507在黑龙江财经学院会计学专业就读，全日制本科学历。</v>
      </c>
    </row>
    <row r="2232" spans="1:9">
      <c r="A2232" s="1" t="str">
        <f>"412726199203172496"</f>
        <v>412726199203172496</v>
      </c>
      <c r="B2232" s="1" t="str">
        <f>"中共党员"</f>
        <v>中共党员</v>
      </c>
      <c r="C2232" s="1" t="str">
        <f t="shared" si="1095"/>
        <v>本科</v>
      </c>
      <c r="D2232" s="1" t="str">
        <f>"20170628"</f>
        <v>20170628</v>
      </c>
      <c r="E2232" s="1" t="str">
        <f>"黑龙江科技大学"</f>
        <v>黑龙江科技大学</v>
      </c>
      <c r="F2232" s="1" t="str">
        <f>"电子信息工程"</f>
        <v>电子信息工程</v>
      </c>
      <c r="G2232" s="1" t="str">
        <f>"北京市昌平区天通苑东三区63号楼701"</f>
        <v>北京市昌平区天通苑东三区63号楼701</v>
      </c>
      <c r="H2232" s="1" t="str">
        <f>"法律职业资格证书"</f>
        <v>法律职业资格证书</v>
      </c>
      <c r="I2232" s="1" t="str">
        <f>"201309-201706 黑龙江科技大学 全日制 电子信息工程学院 电子信息工程就读
201707-201711 北京鼎极摄影 新媒体运营
201712-201909 北京华图教育公司
201910-202006 文都教育
202008-202106 橙啦教育
202106-202406 众合教育
202407-202410 高途教育
202411-202503 启航教育
202503-至今 北京待业备考"</f>
        <v>201309-201706 黑龙江科技大学 全日制 电子信息工程学院 电子信息工程就读
201707-201711 北京鼎极摄影 新媒体运营
201712-201909 北京华图教育公司
201910-202006 文都教育
202008-202106 橙啦教育
202106-202406 众合教育
202407-202410 高途教育
202411-202503 启航教育
202503-至今 北京待业备考</v>
      </c>
    </row>
    <row r="2233" spans="1:9">
      <c r="A2233" s="1" t="str">
        <f>"410603199709200528"</f>
        <v>410603199709200528</v>
      </c>
      <c r="B2233" s="1" t="str">
        <f t="shared" si="1100"/>
        <v>群众</v>
      </c>
      <c r="C2233" s="1" t="str">
        <f t="shared" ref="C2233:C2237" si="1101">"硕士研究生"</f>
        <v>硕士研究生</v>
      </c>
      <c r="D2233" s="1" t="str">
        <f>"20230630"</f>
        <v>20230630</v>
      </c>
      <c r="E2233" s="1" t="str">
        <f>"赣南师范大学"</f>
        <v>赣南师范大学</v>
      </c>
      <c r="F2233" s="1" t="str">
        <f>"社会学"</f>
        <v>社会学</v>
      </c>
      <c r="G2233" s="1" t="str">
        <f>"河南省鹤壁市淇滨区牟山一区2-31楼2单元"</f>
        <v>河南省鹤壁市淇滨区牟山一区2-31楼2单元</v>
      </c>
      <c r="H2233" s="1" t="str">
        <f t="shared" ref="H2233:H2239" si="1102">"无"</f>
        <v>无</v>
      </c>
      <c r="I2233" s="1" t="str">
        <f>"201609-202006河南师范大学社会事业学院社会学本科，全日制
202009-202306赣南师范大学历史文化与旅游学院社会学硕士，全日制
202307—202310杭州昊海企业管理咨询有限公司标准工程师
202311一今 待业"</f>
        <v>201609-202006河南师范大学社会事业学院社会学本科，全日制
202009-202306赣南师范大学历史文化与旅游学院社会学硕士，全日制
202307—202310杭州昊海企业管理咨询有限公司标准工程师
202311一今 待业</v>
      </c>
    </row>
    <row r="2234" spans="1:9">
      <c r="A2234" s="1" t="str">
        <f>"412727199601196537"</f>
        <v>412727199601196537</v>
      </c>
      <c r="B2234" s="1" t="str">
        <f t="shared" si="1100"/>
        <v>群众</v>
      </c>
      <c r="C2234" s="1" t="str">
        <f>"专科"</f>
        <v>专科</v>
      </c>
      <c r="D2234" s="1" t="str">
        <f>"20230701"</f>
        <v>20230701</v>
      </c>
      <c r="E2234" s="1" t="str">
        <f>"南阳职业学院"</f>
        <v>南阳职业学院</v>
      </c>
      <c r="F2234" s="1" t="str">
        <f>"计算机应用技术"</f>
        <v>计算机应用技术</v>
      </c>
      <c r="G2234" s="1" t="str">
        <f>"河南省南阳市卧龙区风帆金色世家"</f>
        <v>河南省南阳市卧龙区风帆金色世家</v>
      </c>
      <c r="H2234" s="1" t="str">
        <f t="shared" si="1102"/>
        <v>无</v>
      </c>
      <c r="I2234" s="1" t="str">
        <f>"202103-202307 在南阳职业技术学院计算机应用技术在读  非全日制"</f>
        <v>202103-202307 在南阳职业技术学院计算机应用技术在读  非全日制</v>
      </c>
    </row>
    <row r="2235" spans="1:9">
      <c r="A2235" s="1" t="str">
        <f>"410423199911059577"</f>
        <v>410423199911059577</v>
      </c>
      <c r="B2235" s="1" t="str">
        <f t="shared" ref="B2235:B2240" si="1103">"共青团员"</f>
        <v>共青团员</v>
      </c>
      <c r="C2235" s="1" t="str">
        <f t="shared" si="1101"/>
        <v>硕士研究生</v>
      </c>
      <c r="D2235" s="1" t="str">
        <f>"20250620"</f>
        <v>20250620</v>
      </c>
      <c r="E2235" s="1" t="str">
        <f>"重庆三峡学院"</f>
        <v>重庆三峡学院</v>
      </c>
      <c r="F2235" s="1" t="str">
        <f>"农村发展"</f>
        <v>农村发展</v>
      </c>
      <c r="G2235" s="1" t="str">
        <f>"河南省鲁山县赵村镇寨子沟村蒋庄组1号"</f>
        <v>河南省鲁山县赵村镇寨子沟村蒋庄组1号</v>
      </c>
      <c r="H2235" s="1" t="str">
        <f t="shared" si="1102"/>
        <v>无</v>
      </c>
      <c r="I2235" s="1" t="str">
        <f>"201809-202206安阳工学院文化传媒与航空服务学院广播电视编导专业就读，是全日制学历
202209-202506重庆三峡学院财经学院农村发展专业就读，是全日制学历"</f>
        <v>201809-202206安阳工学院文化传媒与航空服务学院广播电视编导专业就读，是全日制学历
202209-202506重庆三峡学院财经学院农村发展专业就读，是全日制学历</v>
      </c>
    </row>
    <row r="2236" spans="1:9">
      <c r="A2236" s="1" t="str">
        <f>"41152220010726003X"</f>
        <v>41152220010726003X</v>
      </c>
      <c r="B2236" s="1" t="str">
        <f t="shared" si="1103"/>
        <v>共青团员</v>
      </c>
      <c r="C2236" s="1" t="str">
        <f t="shared" ref="C2236:C2240" si="1104">"本科"</f>
        <v>本科</v>
      </c>
      <c r="D2236" s="1" t="str">
        <f>"20240618"</f>
        <v>20240618</v>
      </c>
      <c r="E2236" s="1" t="str">
        <f>"新乡医学院"</f>
        <v>新乡医学院</v>
      </c>
      <c r="F2236" s="1" t="str">
        <f>"应用心理学"</f>
        <v>应用心理学</v>
      </c>
      <c r="G2236" s="1" t="str">
        <f>"河南省信阳市光山县东方家园"</f>
        <v>河南省信阳市光山县东方家园</v>
      </c>
      <c r="H2236" s="1" t="str">
        <f t="shared" si="1102"/>
        <v>无</v>
      </c>
      <c r="I2236" s="1" t="str">
        <f>"202009-202406 新乡医学院 心理学院 应用心理学 就读 全日制本科"</f>
        <v>202009-202406 新乡医学院 心理学院 应用心理学 就读 全日制本科</v>
      </c>
    </row>
    <row r="2237" spans="1:9">
      <c r="A2237" s="1" t="str">
        <f>"411326199909192824"</f>
        <v>411326199909192824</v>
      </c>
      <c r="B2237" s="1" t="str">
        <f>"中共党员"</f>
        <v>中共党员</v>
      </c>
      <c r="C2237" s="1" t="str">
        <f t="shared" si="1101"/>
        <v>硕士研究生</v>
      </c>
      <c r="D2237" s="1" t="str">
        <f>"20240620"</f>
        <v>20240620</v>
      </c>
      <c r="E2237" s="1" t="str">
        <f>"南京师范大学"</f>
        <v>南京师范大学</v>
      </c>
      <c r="F2237" s="1" t="str">
        <f>"哲学"</f>
        <v>哲学</v>
      </c>
      <c r="G2237" s="1" t="str">
        <f>"河南省南阳市南召县皇路店镇天福苑小区"</f>
        <v>河南省南阳市南召县皇路店镇天福苑小区</v>
      </c>
      <c r="H2237" s="1" t="str">
        <f t="shared" si="1102"/>
        <v>无</v>
      </c>
      <c r="I2237" s="1" t="str">
        <f>"201709-202107 海南师范大学马克思主义学院思想政治教育专业 全日制学历；
202109-202406 南京师范大学公共管理学院哲学专业 全日制学历；
202407-在家备考。
"</f>
        <v>201709-202107 海南师范大学马克思主义学院思想政治教育专业 全日制学历；
202109-202406 南京师范大学公共管理学院哲学专业 全日制学历；
202407-在家备考。
</v>
      </c>
    </row>
    <row r="2238" spans="1:9">
      <c r="A2238" s="1" t="str">
        <f>"411327200312010671"</f>
        <v>411327200312010671</v>
      </c>
      <c r="B2238" s="1" t="str">
        <f t="shared" ref="B2238:B2249" si="1105">"群众"</f>
        <v>群众</v>
      </c>
      <c r="C2238" s="1" t="str">
        <f t="shared" si="1104"/>
        <v>本科</v>
      </c>
      <c r="D2238" s="1" t="str">
        <f>"20250607"</f>
        <v>20250607</v>
      </c>
      <c r="E2238" s="1" t="str">
        <f>"郑州轻工业大学"</f>
        <v>郑州轻工业大学</v>
      </c>
      <c r="F2238" s="1" t="str">
        <f>"机械设计制造及其自动化"</f>
        <v>机械设计制造及其自动化</v>
      </c>
      <c r="G2238" s="1" t="str">
        <f>"河南省南阳市内乡县马山口镇樊岗村堰南路东27号"</f>
        <v>河南省南阳市内乡县马山口镇樊岗村堰南路东27号</v>
      </c>
      <c r="H2238" s="1" t="str">
        <f t="shared" si="1102"/>
        <v>无</v>
      </c>
      <c r="I2238" s="1" t="str">
        <f>"202109-202506 郑州轻工业大学就读"</f>
        <v>202109-202506 郑州轻工业大学就读</v>
      </c>
    </row>
    <row r="2239" spans="1:9">
      <c r="A2239" s="1" t="str">
        <f>"411327199610150087"</f>
        <v>411327199610150087</v>
      </c>
      <c r="B2239" s="1" t="str">
        <f t="shared" si="1105"/>
        <v>群众</v>
      </c>
      <c r="C2239" s="1" t="str">
        <f t="shared" ref="C2239:C2244" si="1106">"专科"</f>
        <v>专科</v>
      </c>
      <c r="D2239" s="1" t="str">
        <f>"20180701"</f>
        <v>20180701</v>
      </c>
      <c r="E2239" s="1" t="str">
        <f>"河南工业职业技术学院"</f>
        <v>河南工业职业技术学院</v>
      </c>
      <c r="F2239" s="1" t="str">
        <f>"市场营销"</f>
        <v>市场营销</v>
      </c>
      <c r="G2239" s="1" t="str">
        <f>"河南省南阳市内乡县"</f>
        <v>河南省南阳市内乡县</v>
      </c>
      <c r="H2239" s="1" t="str">
        <f t="shared" si="1102"/>
        <v>无</v>
      </c>
      <c r="I2239" s="1" t="str">
        <f>"201509-201807在河南工业职业技术学院市场营销专业就读，是全日制学历。"</f>
        <v>201509-201807在河南工业职业技术学院市场营销专业就读，是全日制学历。</v>
      </c>
    </row>
    <row r="2240" spans="1:9">
      <c r="A2240" s="1" t="str">
        <f>"41132719990202252X"</f>
        <v>41132719990202252X</v>
      </c>
      <c r="B2240" s="1" t="str">
        <f t="shared" si="1103"/>
        <v>共青团员</v>
      </c>
      <c r="C2240" s="1" t="str">
        <f t="shared" si="1104"/>
        <v>本科</v>
      </c>
      <c r="D2240" s="1" t="str">
        <f>"20210701"</f>
        <v>20210701</v>
      </c>
      <c r="E2240" s="1" t="str">
        <f>"郑州科技学院"</f>
        <v>郑州科技学院</v>
      </c>
      <c r="F2240" s="1" t="str">
        <f>"食品科学与工程"</f>
        <v>食品科学与工程</v>
      </c>
      <c r="G2240" s="1" t="str">
        <f>"河南省南阳市内乡县王店镇河东村82号"</f>
        <v>河南省南阳市内乡县王店镇河东村82号</v>
      </c>
      <c r="H2240" s="1" t="str">
        <f>"高级营养师"</f>
        <v>高级营养师</v>
      </c>
      <c r="I2240" s="1" t="str">
        <f>"201709-202107郑州科技学院 食品科学与工程学院 食品科学与工程 就读  全日制学历"</f>
        <v>201709-202107郑州科技学院 食品科学与工程学院 食品科学与工程 就读  全日制学历</v>
      </c>
    </row>
    <row r="2241" spans="1:9">
      <c r="A2241" s="1" t="str">
        <f>"411325199102252359"</f>
        <v>411325199102252359</v>
      </c>
      <c r="B2241" s="1" t="str">
        <f>"中共党员"</f>
        <v>中共党员</v>
      </c>
      <c r="C2241" s="1" t="str">
        <f t="shared" si="1106"/>
        <v>专科</v>
      </c>
      <c r="D2241" s="1" t="str">
        <f>"202307"</f>
        <v>202307</v>
      </c>
      <c r="E2241" s="1" t="str">
        <f>"河南工业职业技术学院"</f>
        <v>河南工业职业技术学院</v>
      </c>
      <c r="F2241" s="1" t="str">
        <f>"计算机应用技术"</f>
        <v>计算机应用技术</v>
      </c>
      <c r="G2241" s="1" t="str">
        <f>"河南省唐河县桐寨铺镇张庄村小杨庄48号"</f>
        <v>河南省唐河县桐寨铺镇张庄村小杨庄48号</v>
      </c>
      <c r="H2241" s="1" t="str">
        <f>"计算机程序设计员高级工"</f>
        <v>计算机程序设计员高级工</v>
      </c>
      <c r="I2241" s="1" t="str">
        <f>"202007-202307河南工业职业技术学院电子信息工程学院计算机应用技术专业学生   是全日制学历
202308-至今 唐河县待业"</f>
        <v>202007-202307河南工业职业技术学院电子信息工程学院计算机应用技术专业学生   是全日制学历
202308-至今 唐河县待业</v>
      </c>
    </row>
    <row r="2242" spans="1:9">
      <c r="A2242" s="1" t="str">
        <f>"411327200003242532"</f>
        <v>411327200003242532</v>
      </c>
      <c r="B2242" s="1" t="str">
        <f>"共青团员"</f>
        <v>共青团员</v>
      </c>
      <c r="C2242" s="1" t="str">
        <f t="shared" ref="C2242:C2249" si="1107">"本科"</f>
        <v>本科</v>
      </c>
      <c r="D2242" s="1" t="str">
        <f>"20230701"</f>
        <v>20230701</v>
      </c>
      <c r="E2242" s="1" t="str">
        <f>"山东财经大学东方学院"</f>
        <v>山东财经大学东方学院</v>
      </c>
      <c r="F2242" s="1" t="str">
        <f>"英语"</f>
        <v>英语</v>
      </c>
      <c r="G2242" s="1" t="str">
        <f>"河南省南阳市内乡县王店镇岗樊村东坡248号"</f>
        <v>河南省南阳市内乡县王店镇岗樊村东坡248号</v>
      </c>
      <c r="H2242" s="1" t="str">
        <f t="shared" ref="H2242:H2245" si="1108">"无"</f>
        <v>无</v>
      </c>
      <c r="I2242" s="1" t="str">
        <f>"201909-202306在山东财经大学东方学院国际商学院英语专业就读，全日制学历"</f>
        <v>201909-202306在山东财经大学东方学院国际商学院英语专业就读，全日制学历</v>
      </c>
    </row>
    <row r="2243" spans="1:9">
      <c r="A2243" s="1" t="str">
        <f>"37028119940611001X"</f>
        <v>37028119940611001X</v>
      </c>
      <c r="B2243" s="1" t="str">
        <f t="shared" si="1105"/>
        <v>群众</v>
      </c>
      <c r="C2243" s="1" t="str">
        <f t="shared" si="1106"/>
        <v>专科</v>
      </c>
      <c r="D2243" s="1" t="str">
        <f>"2017-06-26"</f>
        <v>2017-06-26</v>
      </c>
      <c r="E2243" s="1" t="str">
        <f>"枣庄学院"</f>
        <v>枣庄学院</v>
      </c>
      <c r="F2243" s="1" t="str">
        <f>"会计电算化"</f>
        <v>会计电算化</v>
      </c>
      <c r="G2243" s="1" t="str">
        <f>"山东省青岛市胶州市"</f>
        <v>山东省青岛市胶州市</v>
      </c>
      <c r="H2243" s="1" t="str">
        <f t="shared" si="1108"/>
        <v>无</v>
      </c>
      <c r="I2243" s="1" t="str">
        <f>"
2014年9月-2017年6月	枣庄学院（全日制专科）   经济管理学院	会计电算化专业  
2020年3月-2022年6月	中国海洋大学 （成人本科）  管理学院	工商管理专业    
2017年6月-至今   待业"</f>
        <v>
2014年9月-2017年6月	枣庄学院（全日制专科）   经济管理学院	会计电算化专业  
2020年3月-2022年6月	中国海洋大学 （成人本科）  管理学院	工商管理专业    
2017年6月-至今   待业</v>
      </c>
    </row>
    <row r="2244" spans="1:9">
      <c r="A2244" s="1" t="str">
        <f>"410521199003202510"</f>
        <v>410521199003202510</v>
      </c>
      <c r="B2244" s="1" t="str">
        <f t="shared" si="1105"/>
        <v>群众</v>
      </c>
      <c r="C2244" s="1" t="str">
        <f t="shared" si="1106"/>
        <v>专科</v>
      </c>
      <c r="D2244" s="1" t="str">
        <f>"20130630"</f>
        <v>20130630</v>
      </c>
      <c r="E2244" s="1" t="str">
        <f>"武汉铁路职业技术学院"</f>
        <v>武汉铁路职业技术学院</v>
      </c>
      <c r="F2244" s="1" t="str">
        <f>"铁道交通运营管理"</f>
        <v>铁道交通运营管理</v>
      </c>
      <c r="G2244" s="1" t="str">
        <f>"河南省林州市桂林镇桂林村"</f>
        <v>河南省林州市桂林镇桂林村</v>
      </c>
      <c r="H2244" s="1" t="str">
        <f t="shared" si="1108"/>
        <v>无</v>
      </c>
      <c r="I2244" s="1" t="s">
        <v>244</v>
      </c>
    </row>
    <row r="2245" spans="1:9">
      <c r="A2245" s="1" t="str">
        <f>"41132419931009191X"</f>
        <v>41132419931009191X</v>
      </c>
      <c r="B2245" s="1" t="str">
        <f t="shared" si="1105"/>
        <v>群众</v>
      </c>
      <c r="C2245" s="1" t="str">
        <f t="shared" si="1107"/>
        <v>本科</v>
      </c>
      <c r="D2245" s="1" t="str">
        <f>"20170701"</f>
        <v>20170701</v>
      </c>
      <c r="E2245" s="1" t="str">
        <f>"河南农业大学"</f>
        <v>河南农业大学</v>
      </c>
      <c r="F2245" s="1" t="str">
        <f>"英语"</f>
        <v>英语</v>
      </c>
      <c r="G2245" s="1" t="str">
        <f>"河南省镇平县"</f>
        <v>河南省镇平县</v>
      </c>
      <c r="H2245" s="1" t="str">
        <f t="shared" si="1108"/>
        <v>无</v>
      </c>
      <c r="I2245" s="1" t="str">
        <f>"201309-201707河南农业大学外国语学院英语专业就读全日制本科201707-201807河南省镇平县待业
201808-201907 江苏省南京市鼓楼区新航道英语培训学校托福助教201908-202007 河南省镇平县待业
202008-202207河南省镇平实验学校小学数学教师
202208-202307 河南省镇平县待业
202308-至今河南省镇平县政务大数据中心办公室职员(公益岗)"</f>
        <v>201309-201707河南农业大学外国语学院英语专业就读全日制本科201707-201807河南省镇平县待业
201808-201907 江苏省南京市鼓楼区新航道英语培训学校托福助教201908-202007 河南省镇平县待业
202008-202207河南省镇平实验学校小学数学教师
202208-202307 河南省镇平县待业
202308-至今河南省镇平县政务大数据中心办公室职员(公益岗)</v>
      </c>
    </row>
    <row r="2246" spans="1:9">
      <c r="A2246" s="1" t="str">
        <f>"411327199101300016"</f>
        <v>411327199101300016</v>
      </c>
      <c r="B2246" s="1" t="str">
        <f t="shared" si="1105"/>
        <v>群众</v>
      </c>
      <c r="C2246" s="1" t="str">
        <f>"专科"</f>
        <v>专科</v>
      </c>
      <c r="D2246" s="1" t="str">
        <f>"20120612"</f>
        <v>20120612</v>
      </c>
      <c r="E2246" s="1" t="str">
        <f>"洛阳理工"</f>
        <v>洛阳理工</v>
      </c>
      <c r="F2246" s="1" t="str">
        <f>"市场营销"</f>
        <v>市场营销</v>
      </c>
      <c r="G2246" s="1" t="str">
        <f>"河南省南阳市内乡县城关镇花园村479号"</f>
        <v>河南省南阳市内乡县城关镇花园村479号</v>
      </c>
      <c r="H2246" s="1" t="str">
        <f>"国家高级市场营销员"</f>
        <v>国家高级市场营销员</v>
      </c>
      <c r="I2246" s="1" t="str">
        <f>"200909-201206  洛阳理工学院市场营销就读全日制"</f>
        <v>200909-201206  洛阳理工学院市场营销就读全日制</v>
      </c>
    </row>
    <row r="2247" spans="1:9">
      <c r="A2247" s="1" t="str">
        <f>"412822200205168410"</f>
        <v>412822200205168410</v>
      </c>
      <c r="B2247" s="1" t="str">
        <f t="shared" si="1105"/>
        <v>群众</v>
      </c>
      <c r="C2247" s="1" t="str">
        <f t="shared" si="1107"/>
        <v>本科</v>
      </c>
      <c r="D2247" s="1" t="str">
        <f>"20240701"</f>
        <v>20240701</v>
      </c>
      <c r="E2247" s="1" t="str">
        <f>"许昌学院"</f>
        <v>许昌学院</v>
      </c>
      <c r="F2247" s="1" t="str">
        <f>"环境设计"</f>
        <v>环境设计</v>
      </c>
      <c r="G2247" s="1" t="str">
        <f>"河南省郑州市二七区人和路街道海悦华庭"</f>
        <v>河南省郑州市二七区人和路街道海悦华庭</v>
      </c>
      <c r="H2247" s="1" t="str">
        <f t="shared" ref="H2247:H2255" si="1109">"无"</f>
        <v>无</v>
      </c>
      <c r="I2247" s="1" t="str">
        <f>"202009-202407许昌学院美术与设计学院环境设计专业就读，全日制本科学历"</f>
        <v>202009-202407许昌学院美术与设计学院环境设计专业就读，全日制本科学历</v>
      </c>
    </row>
    <row r="2248" spans="1:9">
      <c r="A2248" s="1" t="str">
        <f>"411425199209256910"</f>
        <v>411425199209256910</v>
      </c>
      <c r="B2248" s="1" t="str">
        <f t="shared" si="1105"/>
        <v>群众</v>
      </c>
      <c r="C2248" s="1" t="str">
        <f t="shared" si="1107"/>
        <v>本科</v>
      </c>
      <c r="D2248" s="1" t="str">
        <f>"20230701"</f>
        <v>20230701</v>
      </c>
      <c r="E2248" s="1" t="str">
        <f>"河南工学院"</f>
        <v>河南工学院</v>
      </c>
      <c r="F2248" s="1" t="str">
        <f>"电子信息工程"</f>
        <v>电子信息工程</v>
      </c>
      <c r="G2248" s="1" t="str">
        <f>"河南省商丘市睢阳区神火大道归德路交叉口铭锦天下"</f>
        <v>河南省商丘市睢阳区神火大道归德路交叉口铭锦天下</v>
      </c>
      <c r="H2248" s="1" t="str">
        <f t="shared" si="1109"/>
        <v>无</v>
      </c>
      <c r="I2248" s="1" t="str">
        <f>"201908-202307 河南工学院电子信息工程学院电子信息工程专业就读全日制
202307至今在河南省虞城县待业"</f>
        <v>201908-202307 河南工学院电子信息工程学院电子信息工程专业就读全日制
202307至今在河南省虞城县待业</v>
      </c>
    </row>
    <row r="2249" spans="1:9">
      <c r="A2249" s="1" t="str">
        <f>"411327199809090317"</f>
        <v>411327199809090317</v>
      </c>
      <c r="B2249" s="1" t="str">
        <f t="shared" si="1105"/>
        <v>群众</v>
      </c>
      <c r="C2249" s="1" t="str">
        <f t="shared" si="1107"/>
        <v>本科</v>
      </c>
      <c r="D2249" s="1" t="str">
        <f>"20220701"</f>
        <v>20220701</v>
      </c>
      <c r="E2249" s="1" t="str">
        <f>"郑州科技学院"</f>
        <v>郑州科技学院</v>
      </c>
      <c r="F2249" s="1" t="str">
        <f>"土木工程"</f>
        <v>土木工程</v>
      </c>
      <c r="G2249" s="1" t="str">
        <f>"河南省南阳市内乡县大桥乡"</f>
        <v>河南省南阳市内乡县大桥乡</v>
      </c>
      <c r="H2249" s="1" t="str">
        <f t="shared" si="1109"/>
        <v>无</v>
      </c>
      <c r="I2249" s="1" t="str">
        <f>"201709—202007 郑州信息科技职业学院 建筑工程学院 建筑工程技术 是全日制
202009—202207 郑州科技学院 土木建筑工程学院 土木工程 是全日制"</f>
        <v>201709—202007 郑州信息科技职业学院 建筑工程学院 建筑工程技术 是全日制
202009—202207 郑州科技学院 土木建筑工程学院 土木工程 是全日制</v>
      </c>
    </row>
    <row r="2250" spans="1:9">
      <c r="A2250" s="1" t="str">
        <f>"411381199907176526"</f>
        <v>411381199907176526</v>
      </c>
      <c r="B2250" s="1" t="str">
        <f>"中共党员"</f>
        <v>中共党员</v>
      </c>
      <c r="C2250" s="1" t="str">
        <f>"硕士研究生"</f>
        <v>硕士研究生</v>
      </c>
      <c r="D2250" s="1" t="str">
        <f>"20230701"</f>
        <v>20230701</v>
      </c>
      <c r="E2250" s="1" t="str">
        <f>"广西师范大学"</f>
        <v>广西师范大学</v>
      </c>
      <c r="F2250" s="1" t="str">
        <f>"民族教育"</f>
        <v>民族教育</v>
      </c>
      <c r="G2250" s="1" t="str">
        <f>"河南省南阳市邓州市"</f>
        <v>河南省南阳市邓州市</v>
      </c>
      <c r="H2250" s="1" t="str">
        <f t="shared" si="1109"/>
        <v>无</v>
      </c>
      <c r="I2250" s="1" t="str">
        <f>"20160901-20200701 郑州商学院 工商管理旅游产业服务方向
20200901-20230701 广西师范大学 民族教育
20230701-20250725 待业"</f>
        <v>20160901-20200701 郑州商学院 工商管理旅游产业服务方向
20200901-20230701 广西师范大学 民族教育
20230701-20250725 待业</v>
      </c>
    </row>
    <row r="2251" spans="1:9">
      <c r="A2251" s="1" t="str">
        <f>"411327199506082918"</f>
        <v>411327199506082918</v>
      </c>
      <c r="B2251" s="1" t="str">
        <f t="shared" ref="B2251:B2258" si="1110">"群众"</f>
        <v>群众</v>
      </c>
      <c r="C2251" s="1" t="str">
        <f t="shared" ref="C2251:C2261" si="1111">"本科"</f>
        <v>本科</v>
      </c>
      <c r="D2251" s="1" t="str">
        <f>"20220701"</f>
        <v>20220701</v>
      </c>
      <c r="E2251" s="1" t="str">
        <f>"河南科技大学"</f>
        <v>河南科技大学</v>
      </c>
      <c r="F2251" s="1" t="str">
        <f>"软件工程"</f>
        <v>软件工程</v>
      </c>
      <c r="G2251" s="1" t="str">
        <f>"河南省内乡县金城花园"</f>
        <v>河南省内乡县金城花园</v>
      </c>
      <c r="H2251" s="1" t="str">
        <f t="shared" si="1109"/>
        <v>无</v>
      </c>
      <c r="I2251" s="1" t="str">
        <f>"201809-202207河南科技大学软件工程专业就读，是全日制学历。"</f>
        <v>201809-202207河南科技大学软件工程专业就读，是全日制学历。</v>
      </c>
    </row>
    <row r="2252" spans="1:9">
      <c r="A2252" s="1" t="str">
        <f>"411327200106110014"</f>
        <v>411327200106110014</v>
      </c>
      <c r="B2252" s="1" t="str">
        <f t="shared" si="1110"/>
        <v>群众</v>
      </c>
      <c r="C2252" s="1" t="str">
        <f>"专科"</f>
        <v>专科</v>
      </c>
      <c r="D2252" s="1" t="str">
        <f>"2022年7月1日"</f>
        <v>2022年7月1日</v>
      </c>
      <c r="E2252" s="1" t="str">
        <f>"三门峡职业技术学院"</f>
        <v>三门峡职业技术学院</v>
      </c>
      <c r="F2252" s="1" t="str">
        <f>"建筑工程技术"</f>
        <v>建筑工程技术</v>
      </c>
      <c r="G2252" s="1" t="str">
        <f>"内乡县城关镇地毯厂家属院十字路口"</f>
        <v>内乡县城关镇地毯厂家属院十字路口</v>
      </c>
      <c r="H2252" s="1" t="str">
        <f t="shared" si="1109"/>
        <v>无</v>
      </c>
      <c r="I2252" s="1" t="str">
        <f>"2019年9月---2022年7月毕业于三门峡职业技术学院
2022年7月---2023年2月就业于内乡县百川建筑有限公司
2023年3月---2025年3月部队服役"</f>
        <v>2019年9月---2022年7月毕业于三门峡职业技术学院
2022年7月---2023年2月就业于内乡县百川建筑有限公司
2023年3月---2025年3月部队服役</v>
      </c>
    </row>
    <row r="2253" spans="1:9">
      <c r="A2253" s="1" t="str">
        <f>"411324200204254821"</f>
        <v>411324200204254821</v>
      </c>
      <c r="B2253" s="1" t="str">
        <f>"中共党员"</f>
        <v>中共党员</v>
      </c>
      <c r="C2253" s="1" t="str">
        <f t="shared" si="1111"/>
        <v>本科</v>
      </c>
      <c r="D2253" s="1" t="str">
        <f>"20240701"</f>
        <v>20240701</v>
      </c>
      <c r="E2253" s="1" t="str">
        <f>"郑州经贸学院"</f>
        <v>郑州经贸学院</v>
      </c>
      <c r="F2253" s="1" t="str">
        <f>"数据科学与大数据技术"</f>
        <v>数据科学与大数据技术</v>
      </c>
      <c r="G2253" s="1" t="str">
        <f>"河南省南阳市镇平县侯集镇辛庄寨村118号"</f>
        <v>河南省南阳市镇平县侯集镇辛庄寨村118号</v>
      </c>
      <c r="H2253" s="1" t="str">
        <f t="shared" si="1109"/>
        <v>无</v>
      </c>
      <c r="I2253" s="1" t="str">
        <f>"2020年9月至2024年7月郑州经贸学院大数据与人工智能学院数据科学与大数据技术专业就读 全日制本科 学生
2024年7月-至今 待业"</f>
        <v>2020年9月至2024年7月郑州经贸学院大数据与人工智能学院数据科学与大数据技术专业就读 全日制本科 学生
2024年7月-至今 待业</v>
      </c>
    </row>
    <row r="2254" spans="1:9">
      <c r="A2254" s="1" t="str">
        <f>"411303199712061543"</f>
        <v>411303199712061543</v>
      </c>
      <c r="B2254" s="1" t="str">
        <f t="shared" ref="B2254:B2260" si="1112">"共青团员"</f>
        <v>共青团员</v>
      </c>
      <c r="C2254" s="1" t="str">
        <f>"硕士研究生"</f>
        <v>硕士研究生</v>
      </c>
      <c r="D2254" s="1" t="str">
        <f>"20221220"</f>
        <v>20221220</v>
      </c>
      <c r="E2254" s="1" t="str">
        <f>"华中农业大学"</f>
        <v>华中农业大学</v>
      </c>
      <c r="F2254" s="1" t="str">
        <f>"食品加工与安全"</f>
        <v>食品加工与安全</v>
      </c>
      <c r="G2254" s="1" t="str">
        <f>"河南省南阳市卧龙区北京路崔庄村东组"</f>
        <v>河南省南阳市卧龙区北京路崔庄村东组</v>
      </c>
      <c r="H2254" s="1" t="str">
        <f t="shared" si="1109"/>
        <v>无</v>
      </c>
      <c r="I2254" s="1" t="str">
        <f>"201609—202006   南阳师范学院就读   农业工程学院   农学专业
202009—202212   华中农业大学          食品科技学院    食品加工与安全专业
202303—202402   镇平想念食品有限公司   研发部   研发专员
202403—202502   在河南省南阳市卧龙区待业
202503—至今        天盤弈碁书院   文职人员"</f>
        <v>201609—202006   南阳师范学院就读   农业工程学院   农学专业
202009—202212   华中农业大学          食品科技学院    食品加工与安全专业
202303—202402   镇平想念食品有限公司   研发部   研发专员
202403—202502   在河南省南阳市卧龙区待业
202503—至今        天盤弈碁书院   文职人员</v>
      </c>
    </row>
    <row r="2255" spans="1:9">
      <c r="A2255" s="1" t="str">
        <f>"411324199812273449"</f>
        <v>411324199812273449</v>
      </c>
      <c r="B2255" s="1" t="str">
        <f t="shared" si="1112"/>
        <v>共青团员</v>
      </c>
      <c r="C2255" s="1" t="str">
        <f t="shared" si="1111"/>
        <v>本科</v>
      </c>
      <c r="D2255" s="1" t="str">
        <f>"2021.7"</f>
        <v>2021.7</v>
      </c>
      <c r="E2255" s="1" t="str">
        <f>"新乡学院"</f>
        <v>新乡学院</v>
      </c>
      <c r="F2255" s="1" t="str">
        <f>"食品科学与工程"</f>
        <v>食品科学与工程</v>
      </c>
      <c r="G2255" s="1" t="str">
        <f>"河南省南阳市贾宋镇寺后张2组"</f>
        <v>河南省南阳市贾宋镇寺后张2组</v>
      </c>
      <c r="H2255" s="1" t="str">
        <f t="shared" si="1109"/>
        <v>无</v>
      </c>
      <c r="I2255" s="1" t="str">
        <f>"201709-202106  新乡学院食品工程院系食品科学与工程专业，全日制
20216-202304李锦记食品有限公司
202304-至今在家待岗"</f>
        <v>201709-202106  新乡学院食品工程院系食品科学与工程专业，全日制
20216-202304李锦记食品有限公司
202304-至今在家待岗</v>
      </c>
    </row>
    <row r="2256" spans="1:9">
      <c r="A2256" s="1" t="str">
        <f>"411327199705260043"</f>
        <v>411327199705260043</v>
      </c>
      <c r="B2256" s="1" t="str">
        <f t="shared" si="1110"/>
        <v>群众</v>
      </c>
      <c r="C2256" s="1" t="str">
        <f t="shared" si="1111"/>
        <v>本科</v>
      </c>
      <c r="D2256" s="1" t="str">
        <f>"20190701"</f>
        <v>20190701</v>
      </c>
      <c r="E2256" s="1" t="str">
        <f>"许昌学院"</f>
        <v>许昌学院</v>
      </c>
      <c r="F2256" s="1" t="str">
        <f>"应用心理学"</f>
        <v>应用心理学</v>
      </c>
      <c r="G2256" s="1" t="str">
        <f>"河南省南阳市内乡县城关镇"</f>
        <v>河南省南阳市内乡县城关镇</v>
      </c>
      <c r="H2256" s="1" t="str">
        <f>"国家心理咨询师三级"</f>
        <v>国家心理咨询师三级</v>
      </c>
      <c r="I2256" s="1" t="str">
        <f>"201509-201907许昌学院 教育科学学院 应用心理学 全日制 就读
201907-202004 河南山香教育咨询有限公司
202004-202007 内乡县待业
202007-202303 内乡菊潭高级中学
202303-202309 内乡县待业
202309至今 内乡灌涨高级中学
"</f>
        <v>201509-201907许昌学院 教育科学学院 应用心理学 全日制 就读
201907-202004 河南山香教育咨询有限公司
202004-202007 内乡县待业
202007-202303 内乡菊潭高级中学
202303-202309 内乡县待业
202309至今 内乡灌涨高级中学
</v>
      </c>
    </row>
    <row r="2257" spans="1:9">
      <c r="A2257" s="1" t="str">
        <f>"411327200210233524"</f>
        <v>411327200210233524</v>
      </c>
      <c r="B2257" s="1" t="str">
        <f t="shared" si="1110"/>
        <v>群众</v>
      </c>
      <c r="C2257" s="1" t="str">
        <f t="shared" si="1111"/>
        <v>本科</v>
      </c>
      <c r="D2257" s="1" t="str">
        <f>"20240607"</f>
        <v>20240607</v>
      </c>
      <c r="E2257" s="1" t="str">
        <f>"河北传媒学院"</f>
        <v>河北传媒学院</v>
      </c>
      <c r="F2257" s="1" t="str">
        <f>"音乐表演"</f>
        <v>音乐表演</v>
      </c>
      <c r="G2257" s="1" t="str">
        <f>"河南省南阳市内乡县天春苑2号楼一单元2301"</f>
        <v>河南省南阳市内乡县天春苑2号楼一单元2301</v>
      </c>
      <c r="H2257" s="1" t="str">
        <f t="shared" ref="H2257:H2268" si="1113">"无"</f>
        <v>无</v>
      </c>
      <c r="I2257" s="1" t="str">
        <f>"2020.09—2024.06在河北传媒学院音乐学院音乐表演专业就读，全日制学历，2024.06至今待业"</f>
        <v>2020.09—2024.06在河北传媒学院音乐学院音乐表演专业就读，全日制学历，2024.06至今待业</v>
      </c>
    </row>
    <row r="2258" spans="1:9">
      <c r="A2258" s="1" t="str">
        <f>"411330200211150518"</f>
        <v>411330200211150518</v>
      </c>
      <c r="B2258" s="1" t="str">
        <f t="shared" si="1110"/>
        <v>群众</v>
      </c>
      <c r="C2258" s="1" t="str">
        <f t="shared" si="1111"/>
        <v>本科</v>
      </c>
      <c r="D2258" s="1" t="str">
        <f>"2025-06-20"</f>
        <v>2025-06-20</v>
      </c>
      <c r="E2258" s="1" t="str">
        <f>"河南财政金融学院"</f>
        <v>河南财政金融学院</v>
      </c>
      <c r="F2258" s="1" t="str">
        <f>"保险学"</f>
        <v>保险学</v>
      </c>
      <c r="G2258" s="1" t="str">
        <f>"河南省南阳市西峡县田关镇"</f>
        <v>河南省南阳市西峡县田关镇</v>
      </c>
      <c r="H2258" s="1" t="str">
        <f t="shared" si="1113"/>
        <v>无</v>
      </c>
      <c r="I2258" s="1" t="str">
        <f>"202109-202506河南财政金融学院保险学专业就读学历为全日制本科"</f>
        <v>202109-202506河南财政金融学院保险学专业就读学历为全日制本科</v>
      </c>
    </row>
    <row r="2259" spans="1:9">
      <c r="A2259" s="1" t="str">
        <f>"411324199804090036"</f>
        <v>411324199804090036</v>
      </c>
      <c r="B2259" s="1" t="str">
        <f t="shared" si="1112"/>
        <v>共青团员</v>
      </c>
      <c r="C2259" s="1" t="str">
        <f t="shared" si="1111"/>
        <v>本科</v>
      </c>
      <c r="D2259" s="1" t="str">
        <f>"20210619"</f>
        <v>20210619</v>
      </c>
      <c r="E2259" s="1" t="str">
        <f>"绥化学院"</f>
        <v>绥化学院</v>
      </c>
      <c r="F2259" s="1" t="str">
        <f>"环境设计"</f>
        <v>环境设计</v>
      </c>
      <c r="G2259" s="1" t="str">
        <f>"河南省南阳市镇平县南环路环球国际对面"</f>
        <v>河南省南阳市镇平县南环路环球国际对面</v>
      </c>
      <c r="H2259" s="1" t="str">
        <f t="shared" si="1113"/>
        <v>无</v>
      </c>
      <c r="I2259" s="1" t="str">
        <f>"2017 09-2021 06 绥化学院 艺术设计学院环境设计专业 全日制本科学历
2021 07-至今在河南省镇平县待业"</f>
        <v>2017 09-2021 06 绥化学院 艺术设计学院环境设计专业 全日制本科学历
2021 07-至今在河南省镇平县待业</v>
      </c>
    </row>
    <row r="2260" spans="1:9">
      <c r="A2260" s="1" t="str">
        <f>"411381200310256123"</f>
        <v>411381200310256123</v>
      </c>
      <c r="B2260" s="1" t="str">
        <f t="shared" si="1112"/>
        <v>共青团员</v>
      </c>
      <c r="C2260" s="1" t="str">
        <f t="shared" si="1111"/>
        <v>本科</v>
      </c>
      <c r="D2260" s="1" t="str">
        <f>"20250623"</f>
        <v>20250623</v>
      </c>
      <c r="E2260" s="1" t="str">
        <f>"北京印刷学院"</f>
        <v>北京印刷学院</v>
      </c>
      <c r="F2260" s="1" t="str">
        <f>"计算机科学与技术"</f>
        <v>计算机科学与技术</v>
      </c>
      <c r="G2260" s="1" t="str">
        <f>"河南省南阳市邓州市花洲览秀五号楼二单元302"</f>
        <v>河南省南阳市邓州市花洲览秀五号楼二单元302</v>
      </c>
      <c r="H2260" s="1" t="str">
        <f t="shared" si="1113"/>
        <v>无</v>
      </c>
      <c r="I2260" s="1" t="str">
        <f>"202109-202506 北京印刷学院信息工程学院计算机科学与技术 就读 为全日制学历"</f>
        <v>202109-202506 北京印刷学院信息工程学院计算机科学与技术 就读 为全日制学历</v>
      </c>
    </row>
    <row r="2261" spans="1:9">
      <c r="A2261" s="1" t="str">
        <f>"411327199805103117"</f>
        <v>411327199805103117</v>
      </c>
      <c r="B2261" s="1" t="str">
        <f t="shared" ref="B2261:B2263" si="1114">"中共党员"</f>
        <v>中共党员</v>
      </c>
      <c r="C2261" s="1" t="str">
        <f t="shared" si="1111"/>
        <v>本科</v>
      </c>
      <c r="D2261" s="1" t="str">
        <f>"2021-07-01"</f>
        <v>2021-07-01</v>
      </c>
      <c r="E2261" s="1" t="str">
        <f>"郑州师范学院"</f>
        <v>郑州师范学院</v>
      </c>
      <c r="F2261" s="1" t="str">
        <f>"视觉传达设计"</f>
        <v>视觉传达设计</v>
      </c>
      <c r="G2261" s="1" t="str">
        <f>"河南省南阳市内乡县夏馆镇小湍河村口上组80号"</f>
        <v>河南省南阳市内乡县夏馆镇小湍河村口上组80号</v>
      </c>
      <c r="H2261" s="1" t="str">
        <f t="shared" si="1113"/>
        <v>无</v>
      </c>
      <c r="I2261" s="1" t="str">
        <f>"201409-201706  内乡高中就读
201709-202107 郑州师范学院 就读"</f>
        <v>201409-201706  内乡高中就读
201709-202107 郑州师范学院 就读</v>
      </c>
    </row>
    <row r="2262" spans="1:9">
      <c r="A2262" s="1" t="str">
        <f>"411327200109050010"</f>
        <v>411327200109050010</v>
      </c>
      <c r="B2262" s="1" t="str">
        <f t="shared" si="1114"/>
        <v>中共党员</v>
      </c>
      <c r="C2262" s="1" t="str">
        <f>"专科"</f>
        <v>专科</v>
      </c>
      <c r="D2262" s="1" t="str">
        <f>"2021120"</f>
        <v>2021120</v>
      </c>
      <c r="E2262" s="1" t="str">
        <f>"国家开放大学"</f>
        <v>国家开放大学</v>
      </c>
      <c r="F2262" s="1" t="str">
        <f>"法律事务"</f>
        <v>法律事务</v>
      </c>
      <c r="G2262" s="1" t="str">
        <f>"河南南阳"</f>
        <v>河南南阳</v>
      </c>
      <c r="H2262" s="1" t="str">
        <f t="shared" si="1113"/>
        <v>无</v>
      </c>
      <c r="I2262" s="1" t="str">
        <f>"201809-202101国家开放大学法律事务（非全日制）
201909-202409在江西泰和空军94719部队二十六师泰和场站空军战士职务招待员
202409至今国家开放大学行政管理（非全日制）"</f>
        <v>201809-202101国家开放大学法律事务（非全日制）
201909-202409在江西泰和空军94719部队二十六师泰和场站空军战士职务招待员
202409至今国家开放大学行政管理（非全日制）</v>
      </c>
    </row>
    <row r="2263" spans="1:9">
      <c r="A2263" s="1" t="str">
        <f>"411323200301035034"</f>
        <v>411323200301035034</v>
      </c>
      <c r="B2263" s="1" t="str">
        <f t="shared" si="1114"/>
        <v>中共党员</v>
      </c>
      <c r="C2263" s="1" t="str">
        <f t="shared" ref="C2263:C2268" si="1115">"本科"</f>
        <v>本科</v>
      </c>
      <c r="D2263" s="1" t="str">
        <f>"20240630"</f>
        <v>20240630</v>
      </c>
      <c r="E2263" s="1" t="str">
        <f>"河南财经政法大学"</f>
        <v>河南财经政法大学</v>
      </c>
      <c r="F2263" s="1" t="str">
        <f>"金融数学"</f>
        <v>金融数学</v>
      </c>
      <c r="G2263" s="1" t="str">
        <f>"河南省南阳市淅川县"</f>
        <v>河南省南阳市淅川县</v>
      </c>
      <c r="H2263" s="1" t="str">
        <f t="shared" si="1113"/>
        <v>无</v>
      </c>
      <c r="I2263" s="1" t="str">
        <f>"202010-202406 河南财经政法大学 数学与信息科学学院 金融数学专业 就读 为全日制"</f>
        <v>202010-202406 河南财经政法大学 数学与信息科学学院 金融数学专业 就读 为全日制</v>
      </c>
    </row>
    <row r="2264" spans="1:9">
      <c r="A2264" s="1" t="str">
        <f>"411327199907012099"</f>
        <v>411327199907012099</v>
      </c>
      <c r="B2264" s="1" t="str">
        <f>"群众"</f>
        <v>群众</v>
      </c>
      <c r="C2264" s="1" t="str">
        <f>"专科"</f>
        <v>专科</v>
      </c>
      <c r="D2264" s="1" t="str">
        <f>"20190701"</f>
        <v>20190701</v>
      </c>
      <c r="E2264" s="1" t="str">
        <f>"河南工业职业技术学院"</f>
        <v>河南工业职业技术学院</v>
      </c>
      <c r="F2264" s="1" t="str">
        <f>"数控技术"</f>
        <v>数控技术</v>
      </c>
      <c r="G2264" s="1" t="str">
        <f>"河南省南阳市内乡县学府公馆"</f>
        <v>河南省南阳市内乡县学府公馆</v>
      </c>
      <c r="H2264" s="1" t="str">
        <f t="shared" si="1113"/>
        <v>无</v>
      </c>
      <c r="I2264" s="1" t="str">
        <f>"20140901-20190701河南工业职业技术学院数控技术就读全日制
20190901-20200501余关镇人民政府
20200802-20230403牧原公司
20230429-今南水北调内乡县管理所
"</f>
        <v>20140901-20190701河南工业职业技术学院数控技术就读全日制
20190901-20200501余关镇人民政府
20200802-20230403牧原公司
20230429-今南水北调内乡县管理所
</v>
      </c>
    </row>
    <row r="2265" spans="1:9">
      <c r="A2265" s="1" t="str">
        <f>"411325200101282543"</f>
        <v>411325200101282543</v>
      </c>
      <c r="B2265" s="1" t="str">
        <f t="shared" ref="B2265:B2269" si="1116">"共青团员"</f>
        <v>共青团员</v>
      </c>
      <c r="C2265" s="1" t="str">
        <f t="shared" si="1115"/>
        <v>本科</v>
      </c>
      <c r="D2265" s="1" t="str">
        <f>"20250701"</f>
        <v>20250701</v>
      </c>
      <c r="E2265" s="1" t="str">
        <f>"武汉科技大学"</f>
        <v>武汉科技大学</v>
      </c>
      <c r="F2265" s="1" t="str">
        <f>"护理学"</f>
        <v>护理学</v>
      </c>
      <c r="G2265" s="1" t="str">
        <f>"河南省南阳市内乡县中央御景"</f>
        <v>河南省南阳市内乡县中央御景</v>
      </c>
      <c r="H2265" s="1" t="str">
        <f t="shared" si="1113"/>
        <v>无</v>
      </c>
      <c r="I2265" s="1" t="str">
        <f>"2023.0515-2025.0701 在武汉科技大学护理系就读，函数本科。"</f>
        <v>2023.0515-2025.0701 在武汉科技大学护理系就读，函数本科。</v>
      </c>
    </row>
    <row r="2266" ht="135" spans="1:9">
      <c r="A2266" s="1" t="str">
        <f>"411522199212026936"</f>
        <v>411522199212026936</v>
      </c>
      <c r="B2266" s="1" t="str">
        <f>"中共党员"</f>
        <v>中共党员</v>
      </c>
      <c r="C2266" s="1" t="str">
        <f t="shared" si="1115"/>
        <v>本科</v>
      </c>
      <c r="D2266" s="1" t="str">
        <f>"20190701"</f>
        <v>20190701</v>
      </c>
      <c r="E2266" s="1" t="str">
        <f>"南阳师范学院"</f>
        <v>南阳师范学院</v>
      </c>
      <c r="F2266" s="1" t="str">
        <f>"法学"</f>
        <v>法学</v>
      </c>
      <c r="G2266" s="1" t="str">
        <f>"河南省信阳市光山县云山大道"</f>
        <v>河南省信阳市光山县云山大道</v>
      </c>
      <c r="H2266" s="1" t="str">
        <f t="shared" si="1113"/>
        <v>无</v>
      </c>
      <c r="I2266" s="3" t="s">
        <v>245</v>
      </c>
    </row>
    <row r="2267" spans="1:9">
      <c r="A2267" s="1" t="str">
        <f>"652924199402100084"</f>
        <v>652924199402100084</v>
      </c>
      <c r="B2267" s="1" t="str">
        <f t="shared" si="1116"/>
        <v>共青团员</v>
      </c>
      <c r="C2267" s="1" t="str">
        <f t="shared" si="1115"/>
        <v>本科</v>
      </c>
      <c r="D2267" s="1" t="str">
        <f>"2017-07-01"</f>
        <v>2017-07-01</v>
      </c>
      <c r="E2267" s="1" t="str">
        <f>"长江大学"</f>
        <v>长江大学</v>
      </c>
      <c r="F2267" s="1" t="str">
        <f>"公共事业管理"</f>
        <v>公共事业管理</v>
      </c>
      <c r="G2267" s="1" t="str">
        <f>"河南省南阳市内乡县城关镇"</f>
        <v>河南省南阳市内乡县城关镇</v>
      </c>
      <c r="H2267" s="1" t="str">
        <f t="shared" si="1113"/>
        <v>无</v>
      </c>
      <c r="I2267" s="1" t="str">
        <f>"201309--201707 长江大学就读 管理学院 公共事业管理
201708--201809 牧原集团  招标专员
201810--201912 诚丰集团 行政专员
202005--202104 郦都小学 教师
202104--202507 融媒体中心 编辑"</f>
        <v>201309--201707 长江大学就读 管理学院 公共事业管理
201708--201809 牧原集团  招标专员
201810--201912 诚丰集团 行政专员
202005--202104 郦都小学 教师
202104--202507 融媒体中心 编辑</v>
      </c>
    </row>
    <row r="2268" spans="1:9">
      <c r="A2268" s="1" t="str">
        <f>"411327199809020626"</f>
        <v>411327199809020626</v>
      </c>
      <c r="B2268" s="1" t="str">
        <f t="shared" ref="B2268:B2271" si="1117">"群众"</f>
        <v>群众</v>
      </c>
      <c r="C2268" s="1" t="str">
        <f t="shared" si="1115"/>
        <v>本科</v>
      </c>
      <c r="D2268" s="1" t="str">
        <f>"2020-07-01"</f>
        <v>2020-07-01</v>
      </c>
      <c r="E2268" s="1" t="str">
        <f>"郑州航空工业学院"</f>
        <v>郑州航空工业学院</v>
      </c>
      <c r="F2268" s="1" t="str">
        <f>"产品设计（中外合作办学）"</f>
        <v>产品设计（中外合作办学）</v>
      </c>
      <c r="G2268" s="1" t="str">
        <f>"河南省内乡县六棵松三期"</f>
        <v>河南省内乡县六棵松三期</v>
      </c>
      <c r="H2268" s="1" t="str">
        <f t="shared" si="1113"/>
        <v>无</v>
      </c>
      <c r="I2268" s="1" t="str">
        <f>"201609-202007 郑州航空工业管理学院  就读
202007-202103 作业帮 数学辅导老师
202103-202101 河南树帜企业有限公司 班主任
202101-202307 待业
202307-202412 内乡县人民法院 书记员
202412-至今      待业"</f>
        <v>201609-202007 郑州航空工业管理学院  就读
202007-202103 作业帮 数学辅导老师
202103-202101 河南树帜企业有限公司 班主任
202101-202307 待业
202307-202412 内乡县人民法院 书记员
202412-至今      待业</v>
      </c>
    </row>
    <row r="2269" spans="1:9">
      <c r="A2269" s="1" t="str">
        <f>"411321200007170515"</f>
        <v>411321200007170515</v>
      </c>
      <c r="B2269" s="1" t="str">
        <f t="shared" si="1116"/>
        <v>共青团员</v>
      </c>
      <c r="C2269" s="1" t="str">
        <f t="shared" ref="C2269:C2273" si="1118">"专科"</f>
        <v>专科</v>
      </c>
      <c r="D2269" s="1" t="str">
        <f>"20230701"</f>
        <v>20230701</v>
      </c>
      <c r="E2269" s="1" t="str">
        <f>"黄河交通学院"</f>
        <v>黄河交通学院</v>
      </c>
      <c r="F2269" s="1" t="str">
        <f>"计算机网络技术"</f>
        <v>计算机网络技术</v>
      </c>
      <c r="G2269" s="1" t="str">
        <f>"河南省南阳市桐柏县"</f>
        <v>河南省南阳市桐柏县</v>
      </c>
      <c r="H2269" s="1" t="str">
        <f>"道路客运汽车驾驶员四级"</f>
        <v>道路客运汽车驾驶员四级</v>
      </c>
      <c r="I2269" s="1" t="str">
        <f>"2021年3月-2023年7月在黄河交通学院就读专业计算机网络技术专业，否全日制学历。
2021年至今在桐柏县淮北街道办事处工作网格员"</f>
        <v>2021年3月-2023年7月在黄河交通学院就读专业计算机网络技术专业，否全日制学历。
2021年至今在桐柏县淮北街道办事处工作网格员</v>
      </c>
    </row>
    <row r="2270" spans="1:9">
      <c r="A2270" s="1" t="str">
        <f>"411327200208150017"</f>
        <v>411327200208150017</v>
      </c>
      <c r="B2270" s="1" t="str">
        <f t="shared" si="1117"/>
        <v>群众</v>
      </c>
      <c r="C2270" s="1" t="str">
        <f t="shared" ref="C2270:C2276" si="1119">"本科"</f>
        <v>本科</v>
      </c>
      <c r="D2270" s="1" t="str">
        <f>"20240701"</f>
        <v>20240701</v>
      </c>
      <c r="E2270" s="1" t="str">
        <f>"南阳师范学院"</f>
        <v>南阳师范学院</v>
      </c>
      <c r="F2270" s="1" t="str">
        <f>"软件工程"</f>
        <v>软件工程</v>
      </c>
      <c r="G2270" s="1" t="str">
        <f>"内乡县"</f>
        <v>内乡县</v>
      </c>
      <c r="H2270" s="1" t="str">
        <f t="shared" ref="H2270:H2282" si="1120">"无"</f>
        <v>无</v>
      </c>
      <c r="I2270" s="1" t="str">
        <f>"202009-202407 南阳师范学院计算机科学与技术学院软件工程专业就读"</f>
        <v>202009-202407 南阳师范学院计算机科学与技术学院软件工程专业就读</v>
      </c>
    </row>
    <row r="2271" spans="1:9">
      <c r="A2271" s="1" t="str">
        <f>"411303200202170059"</f>
        <v>411303200202170059</v>
      </c>
      <c r="B2271" s="1" t="str">
        <f t="shared" si="1117"/>
        <v>群众</v>
      </c>
      <c r="C2271" s="1" t="str">
        <f t="shared" si="1118"/>
        <v>专科</v>
      </c>
      <c r="D2271" s="1" t="str">
        <f>"2024-07-01"</f>
        <v>2024-07-01</v>
      </c>
      <c r="E2271" s="1" t="str">
        <f>"郑州电力高等专科学校"</f>
        <v>郑州电力高等专科学校</v>
      </c>
      <c r="F2271" s="1" t="str">
        <f>"工业过程自动化技术"</f>
        <v>工业过程自动化技术</v>
      </c>
      <c r="G2271" s="1" t="str">
        <f>"河南省南阳市卧龙区 中州路254号"</f>
        <v>河南省南阳市卧龙区 中州路254号</v>
      </c>
      <c r="H2271" s="1" t="str">
        <f t="shared" si="1120"/>
        <v>无</v>
      </c>
      <c r="I2271" s="1" t="str">
        <f>"202109-202407 郑州电力高等专科学校 能源与动力工程学院 工业过程自动化技术就读 全日制
202407-202501贵州盘江能源电投
202501-至今今石佛寺燕山石化加油站"</f>
        <v>202109-202407 郑州电力高等专科学校 能源与动力工程学院 工业过程自动化技术就读 全日制
202407-202501贵州盘江能源电投
202501-至今今石佛寺燕山石化加油站</v>
      </c>
    </row>
    <row r="2272" spans="1:9">
      <c r="A2272" s="1" t="str">
        <f>"411221200208152019"</f>
        <v>411221200208152019</v>
      </c>
      <c r="B2272" s="1" t="str">
        <f>"共青团员"</f>
        <v>共青团员</v>
      </c>
      <c r="C2272" s="1" t="str">
        <f t="shared" si="1119"/>
        <v>本科</v>
      </c>
      <c r="D2272" s="1" t="str">
        <f>"20240620"</f>
        <v>20240620</v>
      </c>
      <c r="E2272" s="1" t="str">
        <f>"河南财政金融学院"</f>
        <v>河南财政金融学院</v>
      </c>
      <c r="F2272" s="1" t="str">
        <f>"酒店管理"</f>
        <v>酒店管理</v>
      </c>
      <c r="G2272" s="1" t="str">
        <f>"河南省三门峡市渑池县仁村乡"</f>
        <v>河南省三门峡市渑池县仁村乡</v>
      </c>
      <c r="H2272" s="1" t="str">
        <f t="shared" si="1120"/>
        <v>无</v>
      </c>
      <c r="I2272" s="1" t="str">
        <f>"202009-202406河南财政金融学院旅游管理学院酒店管理专业就读，全日制学历，获学士学位
202406-202409在北京金色凉山餐饮服务有限公司任职餐饮服务员
202409-202503在河南省三门峡市渑池县仁村乡待业
202503-至今在郑州美豪诺富特酒店任职餐饮部服务员"</f>
        <v>202009-202406河南财政金融学院旅游管理学院酒店管理专业就读，全日制学历，获学士学位
202406-202409在北京金色凉山餐饮服务有限公司任职餐饮服务员
202409-202503在河南省三门峡市渑池县仁村乡待业
202503-至今在郑州美豪诺富特酒店任职餐饮部服务员</v>
      </c>
    </row>
    <row r="2273" spans="1:9">
      <c r="A2273" s="1" t="str">
        <f>"411327200111111118"</f>
        <v>411327200111111118</v>
      </c>
      <c r="B2273" s="1" t="str">
        <f>"共青团员"</f>
        <v>共青团员</v>
      </c>
      <c r="C2273" s="1" t="str">
        <f t="shared" si="1118"/>
        <v>专科</v>
      </c>
      <c r="D2273" s="1" t="str">
        <f>"20230701"</f>
        <v>20230701</v>
      </c>
      <c r="E2273" s="1" t="str">
        <f>"郑州电子信息职业技术学院"</f>
        <v>郑州电子信息职业技术学院</v>
      </c>
      <c r="F2273" s="1" t="str">
        <f>" 视觉传播设计与制作"</f>
        <v> 视觉传播设计与制作</v>
      </c>
      <c r="G2273" s="1" t="str">
        <f>"河南省南阳市内乡县馨园小区12号楼101"</f>
        <v>河南省南阳市内乡县馨园小区12号楼101</v>
      </c>
      <c r="H2273" s="1" t="str">
        <f t="shared" si="1120"/>
        <v>无</v>
      </c>
      <c r="I2273" s="1" t="str">
        <f>"202009-202207 郑州电子信息职业技术学院 艺术设计系  20视觉传播设计与制作03班  全日制专科
202207-202409 武警湖南总队  
202409-至今  待业"</f>
        <v>202009-202207 郑州电子信息职业技术学院 艺术设计系  20视觉传播设计与制作03班  全日制专科
202207-202409 武警湖南总队  
202409-至今  待业</v>
      </c>
    </row>
    <row r="2274" spans="1:9">
      <c r="A2274" s="1" t="str">
        <f>"411324199810180062"</f>
        <v>411324199810180062</v>
      </c>
      <c r="B2274" s="1" t="str">
        <f t="shared" ref="B2274:B2278" si="1121">"群众"</f>
        <v>群众</v>
      </c>
      <c r="C2274" s="1" t="str">
        <f t="shared" si="1119"/>
        <v>本科</v>
      </c>
      <c r="D2274" s="1" t="str">
        <f>"2021年7月1日"</f>
        <v>2021年7月1日</v>
      </c>
      <c r="E2274" s="1" t="str">
        <f>"黄淮学院"</f>
        <v>黄淮学院</v>
      </c>
      <c r="F2274" s="1" t="str">
        <f>"劳动与社会保障"</f>
        <v>劳动与社会保障</v>
      </c>
      <c r="G2274" s="1" t="str">
        <f>"河南省南阳市镇平县雪枫街道南环路徐桥村牛家庄三组"</f>
        <v>河南省南阳市镇平县雪枫街道南环路徐桥村牛家庄三组</v>
      </c>
      <c r="H2274" s="1" t="str">
        <f t="shared" si="1120"/>
        <v>无</v>
      </c>
      <c r="I2274" s="1" t="str">
        <f>"201709-202107黄淮学院经济与管理学院劳动与社会保障就读全日制本科"</f>
        <v>201709-202107黄淮学院经济与管理学院劳动与社会保障就读全日制本科</v>
      </c>
    </row>
    <row r="2275" spans="1:9">
      <c r="A2275" s="1" t="str">
        <f>"413026200010206619"</f>
        <v>413026200010206619</v>
      </c>
      <c r="B2275" s="1" t="str">
        <f t="shared" si="1121"/>
        <v>群众</v>
      </c>
      <c r="C2275" s="1" t="str">
        <f t="shared" si="1119"/>
        <v>本科</v>
      </c>
      <c r="D2275" s="1" t="str">
        <f>"20210701"</f>
        <v>20210701</v>
      </c>
      <c r="E2275" s="1" t="str">
        <f>"郑州工程技术学院"</f>
        <v>郑州工程技术学院</v>
      </c>
      <c r="F2275" s="1" t="str">
        <f>"机械电子工程"</f>
        <v>机械电子工程</v>
      </c>
      <c r="G2275" s="1" t="str">
        <f>"河南省固始县番城办事处湖畔春天二期F10-901"</f>
        <v>河南省固始县番城办事处湖畔春天二期F10-901</v>
      </c>
      <c r="H2275" s="1" t="str">
        <f t="shared" si="1120"/>
        <v>无</v>
      </c>
      <c r="I2275" s="1" t="str">
        <f>"201709-202107  郑州工程技术学院机械电子工程专业就读，全日制本科
202107-202507于信阳市固始县与郑州市两地从事过多种兼职工作"</f>
        <v>201709-202107  郑州工程技术学院机械电子工程专业就读，全日制本科
202107-202507于信阳市固始县与郑州市两地从事过多种兼职工作</v>
      </c>
    </row>
    <row r="2276" spans="1:9">
      <c r="A2276" s="1" t="str">
        <f>"411327199802240319"</f>
        <v>411327199802240319</v>
      </c>
      <c r="B2276" s="1" t="str">
        <f t="shared" si="1121"/>
        <v>群众</v>
      </c>
      <c r="C2276" s="1" t="str">
        <f t="shared" si="1119"/>
        <v>本科</v>
      </c>
      <c r="D2276" s="1" t="str">
        <f>"20200607"</f>
        <v>20200607</v>
      </c>
      <c r="E2276" s="1" t="str">
        <f>"盐城师范学院"</f>
        <v>盐城师范学院</v>
      </c>
      <c r="F2276" s="1" t="str">
        <f>"信息与计算科学(嵌入式培养)"</f>
        <v>信息与计算科学(嵌入式培养)</v>
      </c>
      <c r="G2276" s="1" t="str">
        <f>"河南省内乡县大桥乡桥北开发区139号"</f>
        <v>河南省内乡县大桥乡桥北开发区139号</v>
      </c>
      <c r="H2276" s="1" t="str">
        <f t="shared" si="1120"/>
        <v>无</v>
      </c>
      <c r="I2276" s="1" t="str">
        <f>"201609-202006 盐城师范学院，数学与统计学院，信息与计算科学(嵌入式培养)就读，全日志学历。"</f>
        <v>201609-202006 盐城师范学院，数学与统计学院，信息与计算科学(嵌入式培养)就读，全日志学历。</v>
      </c>
    </row>
    <row r="2277" spans="1:9">
      <c r="A2277" s="1" t="str">
        <f>"411381200106200018"</f>
        <v>411381200106200018</v>
      </c>
      <c r="B2277" s="1" t="str">
        <f t="shared" si="1121"/>
        <v>群众</v>
      </c>
      <c r="C2277" s="1" t="str">
        <f t="shared" ref="C2277:C2281" si="1122">"专科"</f>
        <v>专科</v>
      </c>
      <c r="D2277" s="1" t="str">
        <f>"20240701"</f>
        <v>20240701</v>
      </c>
      <c r="E2277" s="1" t="str">
        <f>"河南机电职业学院"</f>
        <v>河南机电职业学院</v>
      </c>
      <c r="F2277" s="1" t="str">
        <f>"机电一体化技术"</f>
        <v>机电一体化技术</v>
      </c>
      <c r="G2277" s="1" t="str">
        <f>"河南省邓州市"</f>
        <v>河南省邓州市</v>
      </c>
      <c r="H2277" s="1" t="str">
        <f t="shared" si="1120"/>
        <v>无</v>
      </c>
      <c r="I2277" s="1" t="str">
        <f>"202109-202407 河南机电职业学院 机电工程学院 机电一体化专业就读 是全日制"</f>
        <v>202109-202407 河南机电职业学院 机电工程学院 机电一体化专业就读 是全日制</v>
      </c>
    </row>
    <row r="2278" spans="1:9">
      <c r="A2278" s="1" t="str">
        <f>"411327199111054912"</f>
        <v>411327199111054912</v>
      </c>
      <c r="B2278" s="1" t="str">
        <f t="shared" si="1121"/>
        <v>群众</v>
      </c>
      <c r="C2278" s="1" t="str">
        <f t="shared" si="1122"/>
        <v>专科</v>
      </c>
      <c r="D2278" s="1" t="str">
        <f>"20140701"</f>
        <v>20140701</v>
      </c>
      <c r="E2278" s="1" t="str">
        <f>"河南机电高等专科学校"</f>
        <v>河南机电高等专科学校</v>
      </c>
      <c r="F2278" s="1" t="str">
        <f>"计算机信息管理"</f>
        <v>计算机信息管理</v>
      </c>
      <c r="G2278" s="1" t="str">
        <f>"河南省内乡县建业森林半岛"</f>
        <v>河南省内乡县建业森林半岛</v>
      </c>
      <c r="H2278" s="1" t="str">
        <f t="shared" si="1120"/>
        <v>无</v>
      </c>
      <c r="I2278" s="1" t="str">
        <f>"201109-201407 河南机电高等专科学校 就读
201408-201602 北京中视蓝图公司 程序开发工作
201603-至今 牧原食品股份 程序开发工作"</f>
        <v>201109-201407 河南机电高等专科学校 就读
201408-201602 北京中视蓝图公司 程序开发工作
201603-至今 牧原食品股份 程序开发工作</v>
      </c>
    </row>
    <row r="2279" spans="1:9">
      <c r="A2279" s="1" t="str">
        <f>"411327200209291524"</f>
        <v>411327200209291524</v>
      </c>
      <c r="B2279" s="1" t="str">
        <f t="shared" ref="B2279:B2283" si="1123">"共青团员"</f>
        <v>共青团员</v>
      </c>
      <c r="C2279" s="1" t="str">
        <f t="shared" ref="C2279:C2283" si="1124">"本科"</f>
        <v>本科</v>
      </c>
      <c r="D2279" s="1" t="str">
        <f>"20250601"</f>
        <v>20250601</v>
      </c>
      <c r="E2279" s="1" t="str">
        <f>"信阳农林学院"</f>
        <v>信阳农林学院</v>
      </c>
      <c r="F2279" s="1" t="str">
        <f>"茶学"</f>
        <v>茶学</v>
      </c>
      <c r="G2279" s="1" t="str">
        <f>"河南省内乡县湍东镇北符营"</f>
        <v>河南省内乡县湍东镇北符营</v>
      </c>
      <c r="H2279" s="1" t="str">
        <f t="shared" si="1120"/>
        <v>无</v>
      </c>
      <c r="I2279" s="1" t="str">
        <f>"2020.9-2023.6  就读于河南农业职业学院
2023.9-2025.6  就读于信阳农林学院"</f>
        <v>2020.9-2023.6  就读于河南农业职业学院
2023.9-2025.6  就读于信阳农林学院</v>
      </c>
    </row>
    <row r="2280" spans="1:9">
      <c r="A2280" s="1" t="str">
        <f>"411327200111240032"</f>
        <v>411327200111240032</v>
      </c>
      <c r="B2280" s="1" t="str">
        <f t="shared" si="1123"/>
        <v>共青团员</v>
      </c>
      <c r="C2280" s="1" t="str">
        <f t="shared" si="1122"/>
        <v>专科</v>
      </c>
      <c r="D2280" s="1" t="str">
        <f>"20240701"</f>
        <v>20240701</v>
      </c>
      <c r="E2280" s="1" t="str">
        <f>"南阳科技职业学院"</f>
        <v>南阳科技职业学院</v>
      </c>
      <c r="F2280" s="1" t="str">
        <f>"新能源汽车检测与维修技术"</f>
        <v>新能源汽车检测与维修技术</v>
      </c>
      <c r="G2280" s="1" t="str">
        <f>"河南省南阳市内乡县"</f>
        <v>河南省南阳市内乡县</v>
      </c>
      <c r="H2280" s="1" t="str">
        <f t="shared" si="1120"/>
        <v>无</v>
      </c>
      <c r="I2280" s="1" t="str">
        <f>"20220120-20240701南阳技术职业学院就读于新能源汽车检测与维修技术全日制专科学历 "</f>
        <v>20220120-20240701南阳技术职业学院就读于新能源汽车检测与维修技术全日制专科学历 </v>
      </c>
    </row>
    <row r="2281" spans="1:9">
      <c r="A2281" s="1" t="str">
        <f>"411323199507210023"</f>
        <v>411323199507210023</v>
      </c>
      <c r="B2281" s="1" t="str">
        <f t="shared" ref="B2281:B2285" si="1125">"群众"</f>
        <v>群众</v>
      </c>
      <c r="C2281" s="1" t="str">
        <f t="shared" si="1122"/>
        <v>专科</v>
      </c>
      <c r="D2281" s="1" t="str">
        <f>"2016年7月"</f>
        <v>2016年7月</v>
      </c>
      <c r="E2281" s="1" t="str">
        <f>"南阳师范学校"</f>
        <v>南阳师范学校</v>
      </c>
      <c r="F2281" s="1" t="str">
        <f>"初等教育"</f>
        <v>初等教育</v>
      </c>
      <c r="G2281" s="1" t="str">
        <f>"淅川县金河正商城"</f>
        <v>淅川县金河正商城</v>
      </c>
      <c r="H2281" s="1" t="str">
        <f t="shared" si="1120"/>
        <v>无</v>
      </c>
      <c r="I2281" s="1" t="str">
        <f>"2012年至2016年在南阳师范学校上学
2017年在淅川福森志远学校教学"</f>
        <v>2012年至2016年在南阳师范学校上学
2017年在淅川福森志远学校教学</v>
      </c>
    </row>
    <row r="2282" spans="1:9">
      <c r="A2282" s="1" t="str">
        <f>"411303200003071816"</f>
        <v>411303200003071816</v>
      </c>
      <c r="B2282" s="1" t="str">
        <f t="shared" si="1123"/>
        <v>共青团员</v>
      </c>
      <c r="C2282" s="1" t="str">
        <f t="shared" si="1124"/>
        <v>本科</v>
      </c>
      <c r="D2282" s="1" t="str">
        <f>"20230701"</f>
        <v>20230701</v>
      </c>
      <c r="E2282" s="1" t="str">
        <f>"洛阳理工学院"</f>
        <v>洛阳理工学院</v>
      </c>
      <c r="F2282" s="1" t="str">
        <f>"软件工程"</f>
        <v>软件工程</v>
      </c>
      <c r="G2282" s="1" t="str">
        <f>"南阳市宛城区独山大道南段张庄"</f>
        <v>南阳市宛城区独山大道南段张庄</v>
      </c>
      <c r="H2282" s="1" t="str">
        <f t="shared" si="1120"/>
        <v>无</v>
      </c>
      <c r="I2282" s="1" t="str">
        <f>"201809-202106 郑州信息科技职业学院 信息工程学院 移动应用开发专业 全日制学历
202109-202306 洛阳理工学院 计算机与信息工程学院 软件工程专业 全日制学历
202306至今 待业"</f>
        <v>201809-202106 郑州信息科技职业学院 信息工程学院 移动应用开发专业 全日制学历
202109-202306 洛阳理工学院 计算机与信息工程学院 软件工程专业 全日制学历
202306至今 待业</v>
      </c>
    </row>
    <row r="2283" spans="1:9">
      <c r="A2283" s="1" t="str">
        <f>"411327200103190610"</f>
        <v>411327200103190610</v>
      </c>
      <c r="B2283" s="1" t="str">
        <f t="shared" si="1123"/>
        <v>共青团员</v>
      </c>
      <c r="C2283" s="1" t="str">
        <f t="shared" si="1124"/>
        <v>本科</v>
      </c>
      <c r="D2283" s="1" t="str">
        <f>"20250610"</f>
        <v>20250610</v>
      </c>
      <c r="E2283" s="1" t="str">
        <f>"郑州工商学院"</f>
        <v>郑州工商学院</v>
      </c>
      <c r="F2283" s="1" t="str">
        <f>"英语"</f>
        <v>英语</v>
      </c>
      <c r="G2283" s="1" t="str">
        <f>"河南省南阳市内乡县"</f>
        <v>河南省南阳市内乡县</v>
      </c>
      <c r="H2283" s="1" t="str">
        <f>"CET4,电子商务师证"</f>
        <v>CET4,电子商务师证</v>
      </c>
      <c r="I2283" s="1" t="str">
        <f>"202009-202306 在河南工学院外国语学院应用英语专业就读 全日制
202309-202506 在郑州工商学院文法学院英语专业就读 全日制"</f>
        <v>202009-202306 在河南工学院外国语学院应用英语专业就读 全日制
202309-202506 在郑州工商学院文法学院英语专业就读 全日制</v>
      </c>
    </row>
    <row r="2284" spans="1:9">
      <c r="A2284" s="1" t="str">
        <f>"411381200510167643"</f>
        <v>411381200510167643</v>
      </c>
      <c r="B2284" s="1" t="str">
        <f t="shared" si="1125"/>
        <v>群众</v>
      </c>
      <c r="C2284" s="1" t="str">
        <f>"专科"</f>
        <v>专科</v>
      </c>
      <c r="D2284" s="1" t="str">
        <f>"20240701"</f>
        <v>20240701</v>
      </c>
      <c r="E2284" s="1" t="str">
        <f>"驻马店幼儿师范高等专科学校"</f>
        <v>驻马店幼儿师范高等专科学校</v>
      </c>
      <c r="F2284" s="1" t="str">
        <f>"小学教育"</f>
        <v>小学教育</v>
      </c>
      <c r="G2284" s="1" t="str">
        <f>"河南省邓州市花洲街道半岛帝城"</f>
        <v>河南省邓州市花洲街道半岛帝城</v>
      </c>
      <c r="H2284" s="1" t="str">
        <f t="shared" ref="H2284:H2287" si="1126">"无"</f>
        <v>无</v>
      </c>
      <c r="I2284" s="1" t="str">
        <f>"202109-202407驻马店幼儿师范高等专科学校小学教育专业就读，是全日制学历；202407-202507在教育机构教授小学初中的语数英三科。"</f>
        <v>202109-202407驻马店幼儿师范高等专科学校小学教育专业就读，是全日制学历；202407-202507在教育机构教授小学初中的语数英三科。</v>
      </c>
    </row>
    <row r="2285" spans="1:9">
      <c r="A2285" s="1" t="str">
        <f>"411303200002175517"</f>
        <v>411303200002175517</v>
      </c>
      <c r="B2285" s="1" t="str">
        <f t="shared" si="1125"/>
        <v>群众</v>
      </c>
      <c r="C2285" s="1" t="str">
        <f t="shared" ref="C2285:C2287" si="1127">"本科"</f>
        <v>本科</v>
      </c>
      <c r="D2285" s="1" t="str">
        <f>"20230701"</f>
        <v>20230701</v>
      </c>
      <c r="E2285" s="1" t="str">
        <f>"南阳师范学院"</f>
        <v>南阳师范学院</v>
      </c>
      <c r="F2285" s="1" t="str">
        <f>"工商管理"</f>
        <v>工商管理</v>
      </c>
      <c r="G2285" s="1" t="str">
        <f>"河南省南阳市卧龙区汉画街"</f>
        <v>河南省南阳市卧龙区汉画街</v>
      </c>
      <c r="H2285" s="1" t="str">
        <f t="shared" si="1126"/>
        <v>无</v>
      </c>
      <c r="I2285" s="1" t="str">
        <f>"201809-202107 就读于河南工程学院 经济管理学院 电子商务 全日制专科
202109-202307 就读于南阳师范学院 经济管理学院 工商管理 全日制本科"</f>
        <v>201809-202107 就读于河南工程学院 经济管理学院 电子商务 全日制专科
202109-202307 就读于南阳师范学院 经济管理学院 工商管理 全日制本科</v>
      </c>
    </row>
    <row r="2286" spans="1:9">
      <c r="A2286" s="1" t="str">
        <f>"411303200001066837"</f>
        <v>411303200001066837</v>
      </c>
      <c r="B2286" s="1" t="str">
        <f t="shared" ref="B2286:B2289" si="1128">"共青团员"</f>
        <v>共青团员</v>
      </c>
      <c r="C2286" s="1" t="str">
        <f t="shared" si="1127"/>
        <v>本科</v>
      </c>
      <c r="D2286" s="1" t="str">
        <f>"20250607"</f>
        <v>20250607</v>
      </c>
      <c r="E2286" s="1" t="str">
        <f>"南阳师范学院"</f>
        <v>南阳师范学院</v>
      </c>
      <c r="F2286" s="1" t="str">
        <f>"土木工程"</f>
        <v>土木工程</v>
      </c>
      <c r="G2286" s="1" t="str">
        <f>"河南省南阳市宛城区伏牛路万育苑小区"</f>
        <v>河南省南阳市宛城区伏牛路万育苑小区</v>
      </c>
      <c r="H2286" s="1" t="str">
        <f t="shared" si="1126"/>
        <v>无</v>
      </c>
      <c r="I2286" s="1" t="str">
        <f>"201709-202006 黄河水利职业技术学院 就读
202103-202303 武警西安支队 服役
202309-202506 南阳师范学院 就读"</f>
        <v>201709-202006 黄河水利职业技术学院 就读
202103-202303 武警西安支队 服役
202309-202506 南阳师范学院 就读</v>
      </c>
    </row>
    <row r="2287" spans="1:9">
      <c r="A2287" s="1" t="str">
        <f>"411324199806180027"</f>
        <v>411324199806180027</v>
      </c>
      <c r="B2287" s="1" t="str">
        <f t="shared" si="1128"/>
        <v>共青团员</v>
      </c>
      <c r="C2287" s="1" t="str">
        <f t="shared" si="1127"/>
        <v>本科</v>
      </c>
      <c r="D2287" s="1" t="str">
        <f>"20210701"</f>
        <v>20210701</v>
      </c>
      <c r="E2287" s="1" t="str">
        <f>"黄河交通学院"</f>
        <v>黄河交通学院</v>
      </c>
      <c r="F2287" s="1" t="str">
        <f>"工程管理"</f>
        <v>工程管理</v>
      </c>
      <c r="G2287" s="1" t="str">
        <f>"河南省南阳市镇平县融奥星城小区"</f>
        <v>河南省南阳市镇平县融奥星城小区</v>
      </c>
      <c r="H2287" s="1" t="str">
        <f t="shared" si="1126"/>
        <v>无</v>
      </c>
      <c r="I2287" s="1" t="str">
        <f>"20160901-20190701 河南交通职业技术学院-建筑工程系-工程造价专业（全日制专科）
20190901-20210701 黄河交通学院-交通工程系-工程管理专业（全日制本科）
202107-202211 中铁隧道股份有限公司-武汉轨道交通12号线两站项目-商务部
202211-202409在家待业
202409-至今 镇平县农商银行-信贷部（劳务派遣）"</f>
        <v>20160901-20190701 河南交通职业技术学院-建筑工程系-工程造价专业（全日制专科）
20190901-20210701 黄河交通学院-交通工程系-工程管理专业（全日制本科）
202107-202211 中铁隧道股份有限公司-武汉轨道交通12号线两站项目-商务部
202211-202409在家待业
202409-至今 镇平县农商银行-信贷部（劳务派遣）</v>
      </c>
    </row>
    <row r="2288" spans="1:9">
      <c r="A2288" s="1" t="str">
        <f>"411327200012070314"</f>
        <v>411327200012070314</v>
      </c>
      <c r="B2288" s="1" t="str">
        <f t="shared" ref="B2288:B2295" si="1129">"群众"</f>
        <v>群众</v>
      </c>
      <c r="C2288" s="1" t="str">
        <f t="shared" ref="C2288:C2292" si="1130">"专科"</f>
        <v>专科</v>
      </c>
      <c r="D2288" s="1" t="str">
        <f>"20230701"</f>
        <v>20230701</v>
      </c>
      <c r="E2288" s="1" t="str">
        <f>"河南水利与环境职业学院"</f>
        <v>河南水利与环境职业学院</v>
      </c>
      <c r="F2288" s="1" t="str">
        <f>"工程测量技术"</f>
        <v>工程测量技术</v>
      </c>
      <c r="G2288" s="1" t="str">
        <f>"河南省南阳市内乡县大桥乡南王村营东265号"</f>
        <v>河南省南阳市内乡县大桥乡南王村营东265号</v>
      </c>
      <c r="H2288" s="1" t="str">
        <f>"工程测量员-三级"</f>
        <v>工程测量员-三级</v>
      </c>
      <c r="I2288" s="1" t="str">
        <f>"本人田耀栋于202010-202307在河南水利与环境职业学院，土木工程系工程测量技术专业就读，学历为全日制专科，202307毕业以后位于上海市城市建设设计研究总院（集团）有限公司勘察院工作至今，2307-2505在此期间主要参与贵阳轨道交通2号线以及S1号线的运营监测项目，贵阳轨道交通3号线竣工测量项目，在此工作期间担任现场施工负责人职务，2506-至今在上海主要参与歌尔上海工业项目无人机内业建模成图，张江科学城水环境项目"</f>
        <v>本人田耀栋于202010-202307在河南水利与环境职业学院，土木工程系工程测量技术专业就读，学历为全日制专科，202307毕业以后位于上海市城市建设设计研究总院（集团）有限公司勘察院工作至今，2307-2505在此期间主要参与贵阳轨道交通2号线以及S1号线的运营监测项目，贵阳轨道交通3号线竣工测量项目，在此工作期间担任现场施工负责人职务，2506-至今在上海主要参与歌尔上海工业项目无人机内业建模成图，张江科学城水环境项目</v>
      </c>
    </row>
    <row r="2289" spans="1:9">
      <c r="A2289" s="1" t="str">
        <f>"411327200306054512"</f>
        <v>411327200306054512</v>
      </c>
      <c r="B2289" s="1" t="str">
        <f t="shared" si="1128"/>
        <v>共青团员</v>
      </c>
      <c r="C2289" s="1" t="str">
        <f t="shared" ref="C2289:C2296" si="1131">"本科"</f>
        <v>本科</v>
      </c>
      <c r="D2289" s="1" t="str">
        <f>"2025-07-01"</f>
        <v>2025-07-01</v>
      </c>
      <c r="E2289" s="1" t="str">
        <f>"黄河科技学院"</f>
        <v>黄河科技学院</v>
      </c>
      <c r="F2289" s="1" t="str">
        <f>"电气工程及其自动化"</f>
        <v>电气工程及其自动化</v>
      </c>
      <c r="G2289" s="1" t="str">
        <f>"河南省南阳市内乡县赵店乡黄营村"</f>
        <v>河南省南阳市内乡县赵店乡黄营村</v>
      </c>
      <c r="H2289" s="1" t="str">
        <f t="shared" ref="H2289:H2293" si="1132">"无"</f>
        <v>无</v>
      </c>
      <c r="I2289" s="1" t="str">
        <f>"202109-202506 黄河科技学院 电气工程及其自动化专业就读 是全日制学历 "</f>
        <v>202109-202506 黄河科技学院 电气工程及其自动化专业就读 是全日制学历 </v>
      </c>
    </row>
    <row r="2290" spans="1:9">
      <c r="A2290" s="1" t="str">
        <f>"411303200006031828"</f>
        <v>411303200006031828</v>
      </c>
      <c r="B2290" s="1" t="str">
        <f>"中共党员"</f>
        <v>中共党员</v>
      </c>
      <c r="C2290" s="1" t="str">
        <f t="shared" si="1131"/>
        <v>本科</v>
      </c>
      <c r="D2290" s="1" t="str">
        <f>"20220701"</f>
        <v>20220701</v>
      </c>
      <c r="E2290" s="1" t="str">
        <f>"河南师范大学"</f>
        <v>河南师范大学</v>
      </c>
      <c r="F2290" s="1" t="str">
        <f>"法学"</f>
        <v>法学</v>
      </c>
      <c r="G2290" s="1" t="str">
        <f>"河南省南阳市卧龙区武侯街道姜沟社区刘相公庄"</f>
        <v>河南省南阳市卧龙区武侯街道姜沟社区刘相公庄</v>
      </c>
      <c r="H2290" s="1" t="str">
        <f t="shared" si="1132"/>
        <v>无</v>
      </c>
      <c r="I2290" s="1" t="str">
        <f>"201809-202206河南师范大学法学院法学专业就读，全日制学历
202297-202302河南省南阳市卧龙区待业
202303-202404南阳市大统集团金玛特商贸有限公司法务
202405-至今 河南省南阳市卧龙区待业"</f>
        <v>201809-202206河南师范大学法学院法学专业就读，全日制学历
202297-202302河南省南阳市卧龙区待业
202303-202404南阳市大统集团金玛特商贸有限公司法务
202405-至今 河南省南阳市卧龙区待业</v>
      </c>
    </row>
    <row r="2291" spans="1:9">
      <c r="A2291" s="1" t="str">
        <f>"36233120021220391X"</f>
        <v>36233120021220391X</v>
      </c>
      <c r="B2291" s="1" t="str">
        <f t="shared" si="1129"/>
        <v>群众</v>
      </c>
      <c r="C2291" s="1" t="str">
        <f t="shared" si="1130"/>
        <v>专科</v>
      </c>
      <c r="D2291" s="1" t="str">
        <f>"2023-07-01"</f>
        <v>2023-07-01</v>
      </c>
      <c r="E2291" s="1" t="str">
        <f>"江西司法警官职业学院"</f>
        <v>江西司法警官职业学院</v>
      </c>
      <c r="F2291" s="1" t="str">
        <f>"治安管理"</f>
        <v>治安管理</v>
      </c>
      <c r="G2291" s="1" t="str">
        <f>"江西省上饶市万年县陈营镇咀坞头村"</f>
        <v>江西省上饶市万年县陈营镇咀坞头村</v>
      </c>
      <c r="H2291" s="1" t="str">
        <f t="shared" si="1132"/>
        <v>无</v>
      </c>
      <c r="I2291" s="1" t="str">
        <f>"202010-202307   江西司法警官职业学院 治安管理专业就读 全日制
202307-至今  待业"</f>
        <v>202010-202307   江西司法警官职业学院 治安管理专业就读 全日制
202307-至今  待业</v>
      </c>
    </row>
    <row r="2292" spans="1:9">
      <c r="A2292" s="1" t="str">
        <f>"411324200509272449"</f>
        <v>411324200509272449</v>
      </c>
      <c r="B2292" s="1" t="str">
        <f>"共青团员"</f>
        <v>共青团员</v>
      </c>
      <c r="C2292" s="1" t="str">
        <f t="shared" si="1130"/>
        <v>专科</v>
      </c>
      <c r="D2292" s="1" t="str">
        <f t="shared" ref="D2292:D2296" si="1133">"20250701"</f>
        <v>20250701</v>
      </c>
      <c r="E2292" s="1" t="str">
        <f>"驻马店幼儿师范高等专科学校"</f>
        <v>驻马店幼儿师范高等专科学校</v>
      </c>
      <c r="F2292" s="1" t="str">
        <f>"小学教育专业"</f>
        <v>小学教育专业</v>
      </c>
      <c r="G2292" s="1" t="str">
        <f>"河南省南阳市镇平县高丘镇徐营村范营18号"</f>
        <v>河南省南阳市镇平县高丘镇徐营村范营18号</v>
      </c>
      <c r="H2292" s="1" t="str">
        <f t="shared" si="1132"/>
        <v>无</v>
      </c>
      <c r="I2292" s="1" t="str">
        <f>"202209-202506  于驻马店幼儿师范高等专科学校 基础教育学院 小学教育专业就读，全日制学历"</f>
        <v>202209-202506  于驻马店幼儿师范高等专科学校 基础教育学院 小学教育专业就读，全日制学历</v>
      </c>
    </row>
    <row r="2293" spans="1:9">
      <c r="A2293" s="1" t="str">
        <f>"411327200006231126"</f>
        <v>411327200006231126</v>
      </c>
      <c r="B2293" s="1" t="str">
        <f t="shared" si="1129"/>
        <v>群众</v>
      </c>
      <c r="C2293" s="1" t="str">
        <f t="shared" si="1131"/>
        <v>本科</v>
      </c>
      <c r="D2293" s="1" t="str">
        <f>"20230701"</f>
        <v>20230701</v>
      </c>
      <c r="E2293" s="1" t="str">
        <f>"平顶山学院"</f>
        <v>平顶山学院</v>
      </c>
      <c r="F2293" s="1" t="str">
        <f>"材料科学与工程"</f>
        <v>材料科学与工程</v>
      </c>
      <c r="G2293" s="1" t="str">
        <f>"河南省南阳市内乡县赤眉镇鱼贯口村"</f>
        <v>河南省南阳市内乡县赤眉镇鱼贯口村</v>
      </c>
      <c r="H2293" s="1" t="str">
        <f t="shared" si="1132"/>
        <v>无</v>
      </c>
      <c r="I2293" s="1" t="str">
        <f>"201909-202307 平顶山学院就读化学环境与工程学院 材料科学与工程专业全日制
202307-202409 待业
202409-至今 河南牧元安粮合成生物技术有限公司"</f>
        <v>201909-202307 平顶山学院就读化学环境与工程学院 材料科学与工程专业全日制
202307-202409 待业
202409-至今 河南牧元安粮合成生物技术有限公司</v>
      </c>
    </row>
    <row r="2294" spans="1:9">
      <c r="A2294" s="1" t="str">
        <f>"410324200006082212"</f>
        <v>410324200006082212</v>
      </c>
      <c r="B2294" s="1" t="str">
        <f t="shared" si="1129"/>
        <v>群众</v>
      </c>
      <c r="C2294" s="1" t="str">
        <f t="shared" si="1131"/>
        <v>本科</v>
      </c>
      <c r="D2294" s="1" t="str">
        <f>"2023-07-01"</f>
        <v>2023-07-01</v>
      </c>
      <c r="E2294" s="1" t="str">
        <f>"郑州财经学院"</f>
        <v>郑州财经学院</v>
      </c>
      <c r="F2294" s="1" t="str">
        <f>"计算机科学与技术"</f>
        <v>计算机科学与技术</v>
      </c>
      <c r="G2294" s="1" t="str">
        <f>"河南省栾川县城关镇伊尹花园6202"</f>
        <v>河南省栾川县城关镇伊尹花园6202</v>
      </c>
      <c r="H2294" s="1" t="str">
        <f>"计算机程序设计员三级"</f>
        <v>计算机程序设计员三级</v>
      </c>
      <c r="I2294" s="1" t="str">
        <f>"201909-202307 郑州财经学院 计算机学院 计算机科学与技术专业就读为全日制学历
202307-202507河南省栾川县待业"</f>
        <v>201909-202307 郑州财经学院 计算机学院 计算机科学与技术专业就读为全日制学历
202307-202507河南省栾川县待业</v>
      </c>
    </row>
    <row r="2295" spans="1:9">
      <c r="A2295" s="1" t="str">
        <f>"41133020010419008X"</f>
        <v>41133020010419008X</v>
      </c>
      <c r="B2295" s="1" t="str">
        <f t="shared" si="1129"/>
        <v>群众</v>
      </c>
      <c r="C2295" s="1" t="str">
        <f t="shared" si="1131"/>
        <v>本科</v>
      </c>
      <c r="D2295" s="1" t="str">
        <f t="shared" si="1133"/>
        <v>20250701</v>
      </c>
      <c r="E2295" s="1" t="str">
        <f>"商丘学院"</f>
        <v>商丘学院</v>
      </c>
      <c r="F2295" s="1" t="str">
        <f>"汉语言文学"</f>
        <v>汉语言文学</v>
      </c>
      <c r="G2295" s="1" t="str">
        <f>"河南省南阳市西峡县丹水镇袁店村"</f>
        <v>河南省南阳市西峡县丹水镇袁店村</v>
      </c>
      <c r="H2295" s="1" t="str">
        <f t="shared" ref="H2295:H2297" si="1134">"无"</f>
        <v>无</v>
      </c>
      <c r="I2295" s="1" t="str">
        <f>"商丘学院 202309-202507 汉语言文学 商丘学院202009-202307语文教育   西峡一高201909-202006  西峡一高201609-201906 丹水二中201309-201606 丹水三小200709-201307"</f>
        <v>商丘学院 202309-202507 汉语言文学 商丘学院202009-202307语文教育   西峡一高201909-202006  西峡一高201609-201906 丹水二中201309-201606 丹水三小200709-201307</v>
      </c>
    </row>
    <row r="2296" spans="1:9">
      <c r="A2296" s="1" t="str">
        <f>"411327200308140019"</f>
        <v>411327200308140019</v>
      </c>
      <c r="B2296" s="1" t="str">
        <f>"共青团员"</f>
        <v>共青团员</v>
      </c>
      <c r="C2296" s="1" t="str">
        <f t="shared" si="1131"/>
        <v>本科</v>
      </c>
      <c r="D2296" s="1" t="str">
        <f t="shared" si="1133"/>
        <v>20250701</v>
      </c>
      <c r="E2296" s="1" t="str">
        <f>"河南工业大学"</f>
        <v>河南工业大学</v>
      </c>
      <c r="F2296" s="1" t="str">
        <f>"测控技术与仪器"</f>
        <v>测控技术与仪器</v>
      </c>
      <c r="G2296" s="1" t="str">
        <f>"河南省内乡县菊潭大街7号附21号"</f>
        <v>河南省内乡县菊潭大街7号附21号</v>
      </c>
      <c r="H2296" s="1" t="str">
        <f t="shared" si="1134"/>
        <v>无</v>
      </c>
      <c r="I2296" s="1" t="str">
        <f>"202109-202506 在河南工业大学电气工程学院测控技术与仪器专业就读，是全日制学历"</f>
        <v>202109-202506 在河南工业大学电气工程学院测控技术与仪器专业就读，是全日制学历</v>
      </c>
    </row>
    <row r="2297" spans="1:9">
      <c r="A2297" s="1" t="str">
        <f>"411322199305273425"</f>
        <v>411322199305273425</v>
      </c>
      <c r="B2297" s="1" t="str">
        <f>"中共党员"</f>
        <v>中共党员</v>
      </c>
      <c r="C2297" s="1" t="str">
        <f>"专科"</f>
        <v>专科</v>
      </c>
      <c r="D2297" s="1" t="str">
        <f>"20150701"</f>
        <v>20150701</v>
      </c>
      <c r="E2297" s="1" t="str">
        <f>"河南牧业经济学院"</f>
        <v>河南牧业经济学院</v>
      </c>
      <c r="F2297" s="1" t="str">
        <f>"餐饮管理与服务"</f>
        <v>餐饮管理与服务</v>
      </c>
      <c r="G2297" s="1" t="str">
        <f>"南阳市方城县裕州南路时代银座"</f>
        <v>南阳市方城县裕州南路时代银座</v>
      </c>
      <c r="H2297" s="1" t="str">
        <f t="shared" si="1134"/>
        <v>无</v>
      </c>
      <c r="I2297" s="1" t="str">
        <f>"201209-201507在河南牧业经济学院餐饮管理与服务专业就读全日制学业"</f>
        <v>201209-201507在河南牧业经济学院餐饮管理与服务专业就读全日制学业</v>
      </c>
    </row>
    <row r="2298" spans="1:9">
      <c r="A2298" s="1" t="str">
        <f>"411327199505080048"</f>
        <v>411327199505080048</v>
      </c>
      <c r="B2298" s="1" t="str">
        <f t="shared" ref="B2298:B2301" si="1135">"群众"</f>
        <v>群众</v>
      </c>
      <c r="C2298" s="1" t="str">
        <f t="shared" ref="C2298:C2300" si="1136">"本科"</f>
        <v>本科</v>
      </c>
      <c r="D2298" s="1" t="str">
        <f>"201801"</f>
        <v>201801</v>
      </c>
      <c r="E2298" s="1" t="str">
        <f>"中南大学"</f>
        <v>中南大学</v>
      </c>
      <c r="F2298" s="1" t="str">
        <f>"会计学"</f>
        <v>会计学</v>
      </c>
      <c r="G2298" s="1" t="str">
        <f>"内乡县"</f>
        <v>内乡县</v>
      </c>
      <c r="H2298" s="1" t="str">
        <f>"已通过2025年初级会计职称考试"</f>
        <v>已通过2025年初级会计职称考试</v>
      </c>
      <c r="I2298" s="1" t="str">
        <f>"201509-201801就读于中南大学会计学专业-非全日制专科
201809-202101就读于中南大学工商管理专业-非全日制本科"</f>
        <v>201509-201801就读于中南大学会计学专业-非全日制专科
201809-202101就读于中南大学工商管理专业-非全日制本科</v>
      </c>
    </row>
    <row r="2299" spans="1:9">
      <c r="A2299" s="1" t="str">
        <f>"411330199403243123"</f>
        <v>411330199403243123</v>
      </c>
      <c r="B2299" s="1" t="str">
        <f t="shared" si="1135"/>
        <v>群众</v>
      </c>
      <c r="C2299" s="1" t="str">
        <f t="shared" si="1136"/>
        <v>本科</v>
      </c>
      <c r="D2299" s="1" t="str">
        <f>"20220701"</f>
        <v>20220701</v>
      </c>
      <c r="E2299" s="1" t="str">
        <f>"南阳理工学院"</f>
        <v>南阳理工学院</v>
      </c>
      <c r="F2299" s="1" t="str">
        <f>"护理学"</f>
        <v>护理学</v>
      </c>
      <c r="G2299" s="1" t="str">
        <f>"河南省南阳市西峡县五里桥镇龙湖庄园86号楼"</f>
        <v>河南省南阳市西峡县五里桥镇龙湖庄园86号楼</v>
      </c>
      <c r="H2299" s="1" t="str">
        <f t="shared" ref="H2299:H2301" si="1137">"无"</f>
        <v>无</v>
      </c>
      <c r="I2299" s="1" t="str">
        <f>"201409-201707，在黄河护理职业学校护理学就读大专，全日制大专；201707-202101，待业；
202101-至今，在西峡县人民医院体检中心工作（合同制，非在编人员）。"</f>
        <v>201409-201707，在黄河护理职业学校护理学就读大专，全日制大专；201707-202101，待业；
202101-至今，在西峡县人民医院体检中心工作（合同制，非在编人员）。</v>
      </c>
    </row>
    <row r="2300" spans="1:9">
      <c r="A2300" s="1" t="str">
        <f>"411324199812150027"</f>
        <v>411324199812150027</v>
      </c>
      <c r="B2300" s="1" t="str">
        <f>"中共党员"</f>
        <v>中共党员</v>
      </c>
      <c r="C2300" s="1" t="str">
        <f t="shared" si="1136"/>
        <v>本科</v>
      </c>
      <c r="D2300" s="1" t="str">
        <f>"20210701"</f>
        <v>20210701</v>
      </c>
      <c r="E2300" s="1" t="str">
        <f>"郑州工商学院"</f>
        <v>郑州工商学院</v>
      </c>
      <c r="F2300" s="1" t="str">
        <f>"法学"</f>
        <v>法学</v>
      </c>
      <c r="G2300" s="1" t="str">
        <f>"河南省南阳市卧龙区建设路南都秋实苑"</f>
        <v>河南省南阳市卧龙区建设路南都秋实苑</v>
      </c>
      <c r="H2300" s="1" t="str">
        <f t="shared" si="1137"/>
        <v>无</v>
      </c>
      <c r="I2300" s="1" t="str">
        <f>"201709-201906河南检察职业学院就读法律文秘 全日制
201909-202107郑州工商学院就读法律系法学 全日制"</f>
        <v>201709-201906河南检察职业学院就读法律文秘 全日制
201909-202107郑州工商学院就读法律系法学 全日制</v>
      </c>
    </row>
    <row r="2301" spans="1:9">
      <c r="A2301" s="1" t="str">
        <f>"411327200506193947"</f>
        <v>411327200506193947</v>
      </c>
      <c r="B2301" s="1" t="str">
        <f t="shared" si="1135"/>
        <v>群众</v>
      </c>
      <c r="C2301" s="1" t="str">
        <f>"专科"</f>
        <v>专科</v>
      </c>
      <c r="D2301" s="1" t="str">
        <f>"20260607"</f>
        <v>20260607</v>
      </c>
      <c r="E2301" s="1" t="str">
        <f>"信阳职业技术学院"</f>
        <v>信阳职业技术学院</v>
      </c>
      <c r="F2301" s="1" t="str">
        <f>"中药学"</f>
        <v>中药学</v>
      </c>
      <c r="G2301" s="1" t="str">
        <f>"河南省南阳市内乡县城关镇"</f>
        <v>河南省南阳市内乡县城关镇</v>
      </c>
      <c r="H2301" s="1" t="str">
        <f t="shared" si="1137"/>
        <v>无</v>
      </c>
      <c r="I2301" s="1" t="str">
        <f>"202309-202606信阳职业技术学院就读，是全日制学历"</f>
        <v>202309-202606信阳职业技术学院就读，是全日制学历</v>
      </c>
    </row>
    <row r="2302" spans="1:9">
      <c r="A2302" s="1" t="str">
        <f>"411327200009063922"</f>
        <v>411327200009063922</v>
      </c>
      <c r="B2302" s="1" t="str">
        <f t="shared" ref="B2302:B2305" si="1138">"共青团员"</f>
        <v>共青团员</v>
      </c>
      <c r="C2302" s="1" t="str">
        <f t="shared" ref="C2302:C2312" si="1139">"本科"</f>
        <v>本科</v>
      </c>
      <c r="D2302" s="1" t="str">
        <f>"2023-07-01"</f>
        <v>2023-07-01</v>
      </c>
      <c r="E2302" s="1" t="str">
        <f>"洛阳理工学院"</f>
        <v>洛阳理工学院</v>
      </c>
      <c r="F2302" s="1" t="str">
        <f>"财务管理"</f>
        <v>财务管理</v>
      </c>
      <c r="G2302" s="1" t="str">
        <f>"河南省内乡县西关农行大厦西隔墙联通营业厅"</f>
        <v>河南省内乡县西关农行大厦西隔墙联通营业厅</v>
      </c>
      <c r="H2302" s="1" t="str">
        <f>"初级会计证"</f>
        <v>初级会计证</v>
      </c>
      <c r="I2302" s="1" t="str">
        <f>"201809-202106  开封大学 会计专业  全日制学历
202109-202306 洛阳理工学院 财务管理专业 全日制学历"</f>
        <v>201809-202106  开封大学 会计专业  全日制学历
202109-202306 洛阳理工学院 财务管理专业 全日制学历</v>
      </c>
    </row>
    <row r="2303" spans="1:9">
      <c r="A2303" s="1" t="str">
        <f>"411327200003204528"</f>
        <v>411327200003204528</v>
      </c>
      <c r="B2303" s="1" t="str">
        <f t="shared" si="1138"/>
        <v>共青团员</v>
      </c>
      <c r="C2303" s="1" t="str">
        <f>"专科"</f>
        <v>专科</v>
      </c>
      <c r="D2303" s="1" t="str">
        <f>"20220701"</f>
        <v>20220701</v>
      </c>
      <c r="E2303" s="1" t="str">
        <f>"商丘职业技术学院"</f>
        <v>商丘职业技术学院</v>
      </c>
      <c r="F2303" s="1" t="str">
        <f>"会计专业"</f>
        <v>会计专业</v>
      </c>
      <c r="G2303" s="1" t="str">
        <f>"河南省内乡县赵店乡花洼村房北组39号"</f>
        <v>河南省内乡县赵店乡花洼村房北组39号</v>
      </c>
      <c r="H2303" s="1" t="str">
        <f t="shared" ref="H2303:H2312" si="1140">"无"</f>
        <v>无</v>
      </c>
      <c r="I2303" s="1" t="str">
        <f>"201909-202207    在全日制的商丘职业技术学院 经贸系的会计专业  就读
202207-202507     在内乡县顺风物流就业"</f>
        <v>201909-202207    在全日制的商丘职业技术学院 经贸系的会计专业  就读
202207-202507     在内乡县顺风物流就业</v>
      </c>
    </row>
    <row r="2304" spans="1:9">
      <c r="A2304" s="1" t="str">
        <f>"411327200110070027"</f>
        <v>411327200110070027</v>
      </c>
      <c r="B2304" s="1" t="str">
        <f t="shared" si="1138"/>
        <v>共青团员</v>
      </c>
      <c r="C2304" s="1" t="str">
        <f t="shared" si="1139"/>
        <v>本科</v>
      </c>
      <c r="D2304" s="1" t="str">
        <f>"2024-07-01"</f>
        <v>2024-07-01</v>
      </c>
      <c r="E2304" s="1" t="str">
        <f>"郑州商学院"</f>
        <v>郑州商学院</v>
      </c>
      <c r="F2304" s="1" t="str">
        <f>"工商管理"</f>
        <v>工商管理</v>
      </c>
      <c r="G2304" s="1" t="str">
        <f>"河南省南阳市内乡县城关镇县衙路电视台组"</f>
        <v>河南省南阳市内乡县城关镇县衙路电视台组</v>
      </c>
      <c r="H2304" s="1" t="str">
        <f t="shared" si="1140"/>
        <v>无</v>
      </c>
      <c r="I2304" s="1" t="str">
        <f>"201909-202207 郑州西亚斯学院商学院金融管理就读
202209-202407 郑州商学院工商学院工商管理就读"</f>
        <v>201909-202207 郑州西亚斯学院商学院金融管理就读
202209-202407 郑州商学院工商学院工商管理就读</v>
      </c>
    </row>
    <row r="2305" spans="1:9">
      <c r="A2305" s="1" t="str">
        <f>"411324200001024516"</f>
        <v>411324200001024516</v>
      </c>
      <c r="B2305" s="1" t="str">
        <f t="shared" si="1138"/>
        <v>共青团员</v>
      </c>
      <c r="C2305" s="1" t="str">
        <f t="shared" si="1139"/>
        <v>本科</v>
      </c>
      <c r="D2305" s="1" t="str">
        <f>"20230701"</f>
        <v>20230701</v>
      </c>
      <c r="E2305" s="1" t="str">
        <f>"洛阳理工学院"</f>
        <v>洛阳理工学院</v>
      </c>
      <c r="F2305" s="1" t="str">
        <f>"社会工作"</f>
        <v>社会工作</v>
      </c>
      <c r="G2305" s="1" t="str">
        <f>"河南省南阳市镇平县杨营镇李邦相村十六组"</f>
        <v>河南省南阳市镇平县杨营镇李邦相村十六组</v>
      </c>
      <c r="H2305" s="1" t="str">
        <f>"助理社会工作师"</f>
        <v>助理社会工作师</v>
      </c>
      <c r="I2305" s="1" t="str">
        <f>"201909-202307 洛阳理工学院人文与社会科学学院社会工作专业就读 全日制学历
202307至今 镇平县待业
"</f>
        <v>201909-202307 洛阳理工学院人文与社会科学学院社会工作专业就读 全日制学历
202307至今 镇平县待业
</v>
      </c>
    </row>
    <row r="2306" spans="1:9">
      <c r="A2306" s="1" t="str">
        <f>"411302199302280034"</f>
        <v>411302199302280034</v>
      </c>
      <c r="B2306" s="1" t="str">
        <f>"群众"</f>
        <v>群众</v>
      </c>
      <c r="C2306" s="1" t="str">
        <f t="shared" si="1139"/>
        <v>本科</v>
      </c>
      <c r="D2306" s="1" t="str">
        <f>"20160701"</f>
        <v>20160701</v>
      </c>
      <c r="E2306" s="1" t="str">
        <f>"河南大学民生学院"</f>
        <v>河南大学民生学院</v>
      </c>
      <c r="F2306" s="1" t="str">
        <f>"会计学"</f>
        <v>会计学</v>
      </c>
      <c r="G2306" s="1" t="str">
        <f>"南阳市宛城区共和西夹道24号"</f>
        <v>南阳市宛城区共和西夹道24号</v>
      </c>
      <c r="H2306" s="1" t="str">
        <f>"会计从业资格证书、会计初级资格证书、计算机等级考试二级证书"</f>
        <v>会计从业资格证书、会计初级资格证书、计算机等级考试二级证书</v>
      </c>
      <c r="I2306" s="1" t="str">
        <f>"201209-201606河南大学民生学院会计学专业就读，全日制学历，获得优秀社团教练、优秀社团个人荣誉；
201607-202507牧原公司工作
"</f>
        <v>201209-201606河南大学民生学院会计学专业就读，全日制学历，获得优秀社团教练、优秀社团个人荣誉；
201607-202507牧原公司工作
</v>
      </c>
    </row>
    <row r="2307" ht="162" spans="1:9">
      <c r="A2307" s="1" t="str">
        <f>"410324199305201415"</f>
        <v>410324199305201415</v>
      </c>
      <c r="B2307" s="1" t="str">
        <f>"群众"</f>
        <v>群众</v>
      </c>
      <c r="C2307" s="1" t="str">
        <f t="shared" si="1139"/>
        <v>本科</v>
      </c>
      <c r="D2307" s="1" t="str">
        <f>"2016-07-01"</f>
        <v>2016-07-01</v>
      </c>
      <c r="E2307" s="1" t="str">
        <f>"郑州科技学院"</f>
        <v>郑州科技学院</v>
      </c>
      <c r="F2307" s="1" t="str">
        <f>"土木工程"</f>
        <v>土木工程</v>
      </c>
      <c r="G2307" s="1" t="str">
        <f>"河南省栾川县君山西路洛钼集团家属院"</f>
        <v>河南省栾川县君山西路洛钼集团家属院</v>
      </c>
      <c r="H2307" s="1" t="str">
        <f>"二级建造师"</f>
        <v>二级建造师</v>
      </c>
      <c r="I2307" s="3" t="s">
        <v>246</v>
      </c>
    </row>
    <row r="2308" spans="1:9">
      <c r="A2308" s="1" t="str">
        <f>"411322200009160018"</f>
        <v>411322200009160018</v>
      </c>
      <c r="B2308" s="1" t="str">
        <f t="shared" ref="B2308:B2313" si="1141">"共青团员"</f>
        <v>共青团员</v>
      </c>
      <c r="C2308" s="1" t="str">
        <f t="shared" si="1139"/>
        <v>本科</v>
      </c>
      <c r="D2308" s="1" t="str">
        <f>"2023-06-30"</f>
        <v>2023-06-30</v>
      </c>
      <c r="E2308" s="1" t="str">
        <f>"新乡学院"</f>
        <v>新乡学院</v>
      </c>
      <c r="F2308" s="1" t="str">
        <f>"土木工程"</f>
        <v>土木工程</v>
      </c>
      <c r="G2308" s="1" t="str">
        <f>"河南省南阳方城县城关镇裕洲南路232号"</f>
        <v>河南省南阳方城县城关镇裕洲南路232号</v>
      </c>
      <c r="H2308" s="1" t="str">
        <f t="shared" si="1140"/>
        <v>无</v>
      </c>
      <c r="I2308" s="1" t="str">
        <f>"2018.09-2021.06在河南交通职业技术学院全日制专科 就读
2021.09-2023.06在新乡学院土木工程系全日制本科 就读
2023.07-2024.07在上海邮电设计咨询设计院河南分公司担任技术员
2024.07-至今 备考"</f>
        <v>2018.09-2021.06在河南交通职业技术学院全日制专科 就读
2021.09-2023.06在新乡学院土木工程系全日制本科 就读
2023.07-2024.07在上海邮电设计咨询设计院河南分公司担任技术员
2024.07-至今 备考</v>
      </c>
    </row>
    <row r="2309" spans="1:9">
      <c r="A2309" s="1" t="str">
        <f>"411224200210200015"</f>
        <v>411224200210200015</v>
      </c>
      <c r="B2309" s="1" t="str">
        <f>"中共党员"</f>
        <v>中共党员</v>
      </c>
      <c r="C2309" s="1" t="str">
        <f t="shared" si="1139"/>
        <v>本科</v>
      </c>
      <c r="D2309" s="1" t="str">
        <f>"20240701"</f>
        <v>20240701</v>
      </c>
      <c r="E2309" s="1" t="str">
        <f>"哈尔滨师范大学"</f>
        <v>哈尔滨师范大学</v>
      </c>
      <c r="F2309" s="1" t="str">
        <f>"旅游管理"</f>
        <v>旅游管理</v>
      </c>
      <c r="G2309" s="1" t="str">
        <f>"河南省三门峡市卢氏县城关镇解放路一街坊"</f>
        <v>河南省三门峡市卢氏县城关镇解放路一街坊</v>
      </c>
      <c r="H2309" s="1" t="str">
        <f t="shared" si="1140"/>
        <v>无</v>
      </c>
      <c r="I2309" s="1" t="str">
        <f>"202009-202407 哈尔滨师范大学历史文化学院旅游管理专业就读，全日制学历"</f>
        <v>202009-202407 哈尔滨师范大学历史文化学院旅游管理专业就读，全日制学历</v>
      </c>
    </row>
    <row r="2310" spans="1:9">
      <c r="A2310" s="1" t="str">
        <f>"411327199610234520"</f>
        <v>411327199610234520</v>
      </c>
      <c r="B2310" s="1" t="str">
        <f t="shared" si="1141"/>
        <v>共青团员</v>
      </c>
      <c r="C2310" s="1" t="str">
        <f t="shared" si="1139"/>
        <v>本科</v>
      </c>
      <c r="D2310" s="1" t="str">
        <f>"20200603"</f>
        <v>20200603</v>
      </c>
      <c r="E2310" s="1" t="str">
        <f>"新疆艺术学院"</f>
        <v>新疆艺术学院</v>
      </c>
      <c r="F2310" s="1" t="str">
        <f>"广播电视编导"</f>
        <v>广播电视编导</v>
      </c>
      <c r="G2310" s="1" t="str">
        <f>"河南省南阳市内乡县赵店乡花洼村"</f>
        <v>河南省南阳市内乡县赵店乡花洼村</v>
      </c>
      <c r="H2310" s="1" t="str">
        <f t="shared" si="1140"/>
        <v>无</v>
      </c>
      <c r="I2310" s="1" t="str">
        <f>"2016.09—2020.06在新疆艺术学院就读，是全日制学历
2020.07—2021.12在广东省江门市新会区启超艺考教育咨询有限公司上班
2021.12—2022.02在家待业
2022.02—至今在南阳市内乡县融媒体中心记者"</f>
        <v>2016.09—2020.06在新疆艺术学院就读，是全日制学历
2020.07—2021.12在广东省江门市新会区启超艺考教育咨询有限公司上班
2021.12—2022.02在家待业
2022.02—至今在南阳市内乡县融媒体中心记者</v>
      </c>
    </row>
    <row r="2311" spans="1:9">
      <c r="A2311" s="1" t="str">
        <f>"41133020011225512X"</f>
        <v>41133020011225512X</v>
      </c>
      <c r="B2311" s="1" t="str">
        <f t="shared" ref="B2311:B2317" si="1142">"中共党员"</f>
        <v>中共党员</v>
      </c>
      <c r="C2311" s="1" t="str">
        <f t="shared" si="1139"/>
        <v>本科</v>
      </c>
      <c r="D2311" s="1" t="str">
        <f>"20240701"</f>
        <v>20240701</v>
      </c>
      <c r="E2311" s="1" t="str">
        <f>"河南科技学院"</f>
        <v>河南科技学院</v>
      </c>
      <c r="F2311" s="1" t="str">
        <f>"主修教育学，辅修汉语言文学"</f>
        <v>主修教育学，辅修汉语言文学</v>
      </c>
      <c r="G2311" s="1" t="str">
        <f>"河南省南阳市西峡县双龙镇"</f>
        <v>河南省南阳市西峡县双龙镇</v>
      </c>
      <c r="H2311" s="1" t="str">
        <f t="shared" si="1140"/>
        <v>无</v>
      </c>
      <c r="I2311" s="1" t="str">
        <f>"202009-202407 河南科技学院就读
202407-至今      河南省西峡县待业"</f>
        <v>202009-202407 河南科技学院就读
202407-至今      河南省西峡县待业</v>
      </c>
    </row>
    <row r="2312" spans="1:9">
      <c r="A2312" s="1" t="str">
        <f>"410324199506070044"</f>
        <v>410324199506070044</v>
      </c>
      <c r="B2312" s="1" t="str">
        <f>"群众"</f>
        <v>群众</v>
      </c>
      <c r="C2312" s="1" t="str">
        <f t="shared" si="1139"/>
        <v>本科</v>
      </c>
      <c r="D2312" s="1" t="str">
        <f>"20180701"</f>
        <v>20180701</v>
      </c>
      <c r="E2312" s="1" t="str">
        <f>"郑州大学西亚斯国际学院"</f>
        <v>郑州大学西亚斯国际学院</v>
      </c>
      <c r="F2312" s="1" t="str">
        <f>"会计学"</f>
        <v>会计学</v>
      </c>
      <c r="G2312" s="1" t="str">
        <f>"河南省栾川县"</f>
        <v>河南省栾川县</v>
      </c>
      <c r="H2312" s="1" t="str">
        <f t="shared" si="1140"/>
        <v>无</v>
      </c>
      <c r="I2312" s="1" t="str">
        <f>"2014.9——2018.7  就读于郑州大学西亚斯国际学院 会计学
2018.8——2019.10   就职于河南海王医疗器械有限公司   财务科
2019.11——2023.1   待业
2023.1——至今      工作于栾川县水利局（非正式在编   公益性岗位）"</f>
        <v>2014.9——2018.7  就读于郑州大学西亚斯国际学院 会计学
2018.8——2019.10   就职于河南海王医疗器械有限公司   财务科
2019.11——2023.1   待业
2023.1——至今      工作于栾川县水利局（非正式在编   公益性岗位）</v>
      </c>
    </row>
    <row r="2313" spans="1:9">
      <c r="A2313" s="1" t="str">
        <f>"411327200403164967"</f>
        <v>411327200403164967</v>
      </c>
      <c r="B2313" s="1" t="str">
        <f t="shared" si="1141"/>
        <v>共青团员</v>
      </c>
      <c r="C2313" s="1" t="str">
        <f t="shared" ref="C2313:C2318" si="1143">"专科"</f>
        <v>专科</v>
      </c>
      <c r="D2313" s="1" t="str">
        <f>"202506"</f>
        <v>202506</v>
      </c>
      <c r="E2313" s="1" t="str">
        <f>"河南水利与环境职业学院"</f>
        <v>河南水利与环境职业学院</v>
      </c>
      <c r="F2313" s="1" t="str">
        <f>"风景园林设计"</f>
        <v>风景园林设计</v>
      </c>
      <c r="G2313" s="1" t="str">
        <f>"河南省南阳市内乡县"</f>
        <v>河南省南阳市内乡县</v>
      </c>
      <c r="H2313" s="1" t="str">
        <f>"三级制图员"</f>
        <v>三级制图员</v>
      </c>
      <c r="I2313" s="1" t="str">
        <f>"202209-202506河南啊水利与环境学院环境工程系风景园林设计专业就读，全日制"</f>
        <v>202209-202506河南啊水利与环境学院环境工程系风景园林设计专业就读，全日制</v>
      </c>
    </row>
    <row r="2314" spans="1:9">
      <c r="A2314" s="1" t="str">
        <f>"410421200205170035"</f>
        <v>410421200205170035</v>
      </c>
      <c r="B2314" s="1" t="str">
        <f>"群众"</f>
        <v>群众</v>
      </c>
      <c r="C2314" s="1" t="str">
        <f t="shared" ref="C2314:C2316" si="1144">"本科"</f>
        <v>本科</v>
      </c>
      <c r="D2314" s="1" t="str">
        <f>"20250701"</f>
        <v>20250701</v>
      </c>
      <c r="E2314" s="1" t="str">
        <f>"河南工程学院"</f>
        <v>河南工程学院</v>
      </c>
      <c r="F2314" s="1" t="str">
        <f>"环境工程"</f>
        <v>环境工程</v>
      </c>
      <c r="G2314" s="1" t="str">
        <f>"河南省平顶山市宝丰县名皇布艺"</f>
        <v>河南省平顶山市宝丰县名皇布艺</v>
      </c>
      <c r="H2314" s="1" t="str">
        <f t="shared" ref="H2314:H2316" si="1145">"无"</f>
        <v>无</v>
      </c>
      <c r="I2314" s="1" t="str">
        <f>"202309-202507 河南工程学院 就读 环境工程专业 全日制；
202009-202306 河南水利与环境职业学院 就读 环境监测与控制技术专业 全日制
"</f>
        <v>202309-202507 河南工程学院 就读 环境工程专业 全日制；
202009-202306 河南水利与环境职业学院 就读 环境监测与控制技术专业 全日制
</v>
      </c>
    </row>
    <row r="2315" spans="1:9">
      <c r="A2315" s="1" t="str">
        <f>"141123200308250013"</f>
        <v>141123200308250013</v>
      </c>
      <c r="B2315" s="1" t="str">
        <f t="shared" si="1142"/>
        <v>中共党员</v>
      </c>
      <c r="C2315" s="1" t="str">
        <f t="shared" si="1144"/>
        <v>本科</v>
      </c>
      <c r="D2315" s="1" t="str">
        <f>"20200616"</f>
        <v>20200616</v>
      </c>
      <c r="E2315" s="1" t="str">
        <f>"北华大学"</f>
        <v>北华大学</v>
      </c>
      <c r="F2315" s="1" t="str">
        <f>"机械设计制造及其自动化"</f>
        <v>机械设计制造及其自动化</v>
      </c>
      <c r="G2315" s="1" t="str">
        <f>"山西省吕梁市兴县滨河花苑"</f>
        <v>山西省吕梁市兴县滨河花苑</v>
      </c>
      <c r="H2315" s="1" t="str">
        <f t="shared" si="1145"/>
        <v>无</v>
      </c>
      <c r="I2315" s="1" t="str">
        <f>"202009-202406在北华大学机械工程学院机械设计制造及其自动化专业就读，全日制；202406至今在山西省太原市待业"</f>
        <v>202009-202406在北华大学机械工程学院机械设计制造及其自动化专业就读，全日制；202406至今在山西省太原市待业</v>
      </c>
    </row>
    <row r="2316" spans="1:9">
      <c r="A2316" s="1" t="str">
        <f>"411327199703230043"</f>
        <v>411327199703230043</v>
      </c>
      <c r="B2316" s="1" t="str">
        <f t="shared" si="1142"/>
        <v>中共党员</v>
      </c>
      <c r="C2316" s="1" t="str">
        <f t="shared" si="1144"/>
        <v>本科</v>
      </c>
      <c r="D2316" s="1" t="str">
        <f>"20240701"</f>
        <v>20240701</v>
      </c>
      <c r="E2316" s="1" t="str">
        <f>"洛阳理工学院"</f>
        <v>洛阳理工学院</v>
      </c>
      <c r="F2316" s="1" t="str">
        <f>"工商管理"</f>
        <v>工商管理</v>
      </c>
      <c r="G2316" s="1" t="str">
        <f>"河南省南阳市内乡县郦都花园"</f>
        <v>河南省南阳市内乡县郦都花园</v>
      </c>
      <c r="H2316" s="1" t="str">
        <f t="shared" si="1145"/>
        <v>无</v>
      </c>
      <c r="I2316" s="1" t="str">
        <f>"201509-201807平顶山工业职业技术学院就读 全日制学历
202203-202407洛阳理工学院就读 函授"</f>
        <v>201509-201807平顶山工业职业技术学院就读 全日制学历
202203-202407洛阳理工学院就读 函授</v>
      </c>
    </row>
    <row r="2317" spans="1:9">
      <c r="A2317" s="1" t="str">
        <f>"411327200310214910"</f>
        <v>411327200310214910</v>
      </c>
      <c r="B2317" s="1" t="str">
        <f t="shared" si="1142"/>
        <v>中共党员</v>
      </c>
      <c r="C2317" s="1" t="str">
        <f t="shared" si="1143"/>
        <v>专科</v>
      </c>
      <c r="D2317" s="1" t="str">
        <f>"20250615"</f>
        <v>20250615</v>
      </c>
      <c r="E2317" s="1" t="str">
        <f>"南阳农业职业学院"</f>
        <v>南阳农业职业学院</v>
      </c>
      <c r="F2317" s="1" t="str">
        <f>"计算机应用技术"</f>
        <v>计算机应用技术</v>
      </c>
      <c r="G2317" s="1" t="str">
        <f>"河南省南阳市内乡县北关三里桥锦绣佳苑四单元5楼501"</f>
        <v>河南省南阳市内乡县北关三里桥锦绣佳苑四单元5楼501</v>
      </c>
      <c r="H2317" s="1" t="str">
        <f>"人工智能训练师四级、计算机程序设计员四级、电子商务师四级"</f>
        <v>人工智能训练师四级、计算机程序设计员四级、电子商务师四级</v>
      </c>
      <c r="I2317" s="1" t="str">
        <f>"202209-202506在阳农业职业学院，信息工程学院，计算机应用技术就读，是全日制学历。"</f>
        <v>202209-202506在阳农业职业学院，信息工程学院，计算机应用技术就读，是全日制学历。</v>
      </c>
    </row>
    <row r="2318" spans="1:9">
      <c r="A2318" s="1" t="str">
        <f>"411324200008150072"</f>
        <v>411324200008150072</v>
      </c>
      <c r="B2318" s="1" t="str">
        <f>"共青团员"</f>
        <v>共青团员</v>
      </c>
      <c r="C2318" s="1" t="str">
        <f t="shared" si="1143"/>
        <v>专科</v>
      </c>
      <c r="D2318" s="1" t="str">
        <f>"20210701"</f>
        <v>20210701</v>
      </c>
      <c r="E2318" s="1" t="str">
        <f>"河南工业职业技术学院"</f>
        <v>河南工业职业技术学院</v>
      </c>
      <c r="F2318" s="1" t="str">
        <f>"计算机应用技术"</f>
        <v>计算机应用技术</v>
      </c>
      <c r="G2318" s="1" t="str">
        <f>"河南省南阳市镇平县新城广场"</f>
        <v>河南省南阳市镇平县新城广场</v>
      </c>
      <c r="H2318" s="1" t="str">
        <f t="shared" ref="H2318:H2323" si="1146">"无"</f>
        <v>无</v>
      </c>
      <c r="I2318" s="1" t="str">
        <f>"201809-202107 河南工业职业技术学院 电子信息工程学院 计算机应用技术 全日制
202107-202209 邓州甜啦啦 员工 
202209-202409 中国人民解放军 士兵
202409-至今 镇平县待业"</f>
        <v>201809-202107 河南工业职业技术学院 电子信息工程学院 计算机应用技术 全日制
202107-202209 邓州甜啦啦 员工 
202209-202409 中国人民解放军 士兵
202409-至今 镇平县待业</v>
      </c>
    </row>
    <row r="2319" spans="1:9">
      <c r="A2319" s="1" t="str">
        <f>"410928200109010017"</f>
        <v>410928200109010017</v>
      </c>
      <c r="B2319" s="1" t="str">
        <f t="shared" ref="B2319:B2324" si="1147">"中共党员"</f>
        <v>中共党员</v>
      </c>
      <c r="C2319" s="1" t="str">
        <f t="shared" ref="C2319:C2326" si="1148">"本科"</f>
        <v>本科</v>
      </c>
      <c r="D2319" s="1" t="str">
        <f>"20240701"</f>
        <v>20240701</v>
      </c>
      <c r="E2319" s="1" t="str">
        <f>"平顶山学院"</f>
        <v>平顶山学院</v>
      </c>
      <c r="F2319" s="1" t="str">
        <f>"电子信息工程"</f>
        <v>电子信息工程</v>
      </c>
      <c r="G2319" s="1" t="str">
        <f>"河南省濮阳市龙之光"</f>
        <v>河南省濮阳市龙之光</v>
      </c>
      <c r="H2319" s="1" t="str">
        <f t="shared" si="1146"/>
        <v>无</v>
      </c>
      <c r="I2319" s="1" t="str">
        <f>"202009-202407 平顶山学院 就读 全日制本科 电子信息工程"</f>
        <v>202009-202407 平顶山学院 就读 全日制本科 电子信息工程</v>
      </c>
    </row>
    <row r="2320" spans="1:9">
      <c r="A2320" s="1" t="str">
        <f>"41132720040707351X"</f>
        <v>41132720040707351X</v>
      </c>
      <c r="B2320" s="1" t="str">
        <f t="shared" ref="B2320:B2323" si="1149">"群众"</f>
        <v>群众</v>
      </c>
      <c r="C2320" s="1" t="str">
        <f>"专科"</f>
        <v>专科</v>
      </c>
      <c r="D2320" s="1" t="str">
        <f>"20250630"</f>
        <v>20250630</v>
      </c>
      <c r="E2320" s="1" t="str">
        <f>"武汉船舶职业技术学院"</f>
        <v>武汉船舶职业技术学院</v>
      </c>
      <c r="F2320" s="1" t="str">
        <f>"产品艺术设计"</f>
        <v>产品艺术设计</v>
      </c>
      <c r="G2320" s="1" t="str">
        <f>"河南省南阳市内乡县板场乡板场村"</f>
        <v>河南省南阳市内乡县板场乡板场村</v>
      </c>
      <c r="H2320" s="1" t="str">
        <f t="shared" si="1146"/>
        <v>无</v>
      </c>
      <c r="I2320" s="1" t="str">
        <f>"202209-202506武汉船舶职业技术学院建筑学院产品艺术设计就读是全日制学历"</f>
        <v>202209-202506武汉船舶职业技术学院建筑学院产品艺术设计就读是全日制学历</v>
      </c>
    </row>
    <row r="2321" spans="1:9">
      <c r="A2321" s="1" t="str">
        <f>"411327200208230033"</f>
        <v>411327200208230033</v>
      </c>
      <c r="B2321" s="1" t="str">
        <f t="shared" si="1147"/>
        <v>中共党员</v>
      </c>
      <c r="C2321" s="1" t="str">
        <f t="shared" si="1148"/>
        <v>本科</v>
      </c>
      <c r="D2321" s="1" t="str">
        <f>"20240631"</f>
        <v>20240631</v>
      </c>
      <c r="E2321" s="1" t="str">
        <f>"商丘师范学院"</f>
        <v>商丘师范学院</v>
      </c>
      <c r="F2321" s="1" t="str">
        <f>"地理科学"</f>
        <v>地理科学</v>
      </c>
      <c r="G2321" s="1" t="str">
        <f>"河南省南阳市内乡县城关镇国税花苑小区"</f>
        <v>河南省南阳市内乡县城关镇国税花苑小区</v>
      </c>
      <c r="H2321" s="1" t="str">
        <f t="shared" si="1146"/>
        <v>无</v>
      </c>
      <c r="I2321" s="1" t="str">
        <f>"202009-202406就读于商丘师范学院
202406-202507在家待业"</f>
        <v>202009-202406就读于商丘师范学院
202406-202507在家待业</v>
      </c>
    </row>
    <row r="2322" spans="1:9">
      <c r="A2322" s="1" t="str">
        <f>"410322199803156132"</f>
        <v>410322199803156132</v>
      </c>
      <c r="B2322" s="1" t="str">
        <f t="shared" si="1149"/>
        <v>群众</v>
      </c>
      <c r="C2322" s="1" t="str">
        <f>"专科"</f>
        <v>专科</v>
      </c>
      <c r="D2322" s="1" t="str">
        <f>"20190631"</f>
        <v>20190631</v>
      </c>
      <c r="E2322" s="1" t="str">
        <f>"兰州理工大学"</f>
        <v>兰州理工大学</v>
      </c>
      <c r="F2322" s="1" t="str">
        <f>"软件技术"</f>
        <v>软件技术</v>
      </c>
      <c r="G2322" s="1" t="str">
        <f>"河南省洛阳市孟津区"</f>
        <v>河南省洛阳市孟津区</v>
      </c>
      <c r="H2322" s="1" t="str">
        <f t="shared" si="1146"/>
        <v>无</v>
      </c>
      <c r="I2322" s="1" t="str">
        <f>"2016年9月至2019年6月在兰州理工大学软件学院软件技术专业就读，是全日制学历；2019年6月至2021年7月待业；2021年8月至2022年1月，在洛阳汇兴水务任职；2022年2月至今，在洛阳智佳奇电气机械有限公司任职。"</f>
        <v>2016年9月至2019年6月在兰州理工大学软件学院软件技术专业就读，是全日制学历；2019年6月至2021年7月待业；2021年8月至2022年1月，在洛阳汇兴水务任职；2022年2月至今，在洛阳智佳奇电气机械有限公司任职。</v>
      </c>
    </row>
    <row r="2323" spans="1:9">
      <c r="A2323" s="1" t="str">
        <f>"411426200207247529"</f>
        <v>411426200207247529</v>
      </c>
      <c r="B2323" s="1" t="str">
        <f t="shared" si="1149"/>
        <v>群众</v>
      </c>
      <c r="C2323" s="1" t="str">
        <f t="shared" si="1148"/>
        <v>本科</v>
      </c>
      <c r="D2323" s="1" t="str">
        <f>"20250218"</f>
        <v>20250218</v>
      </c>
      <c r="E2323" s="1" t="str">
        <f>"华中农业大学"</f>
        <v>华中农业大学</v>
      </c>
      <c r="F2323" s="1" t="str">
        <f>"食品质量与安全"</f>
        <v>食品质量与安全</v>
      </c>
      <c r="G2323" s="1" t="str">
        <f>"河南省商丘市夏邑县委政法委"</f>
        <v>河南省商丘市夏邑县委政法委</v>
      </c>
      <c r="H2323" s="1" t="str">
        <f t="shared" si="1146"/>
        <v>无</v>
      </c>
      <c r="I2323" s="1" t="str">
        <f>"202009-202406 华中农业大学食品科学技术学院食品质量与安全专业就读
202406-202507 在河南省商丘市夏邑县待业"</f>
        <v>202009-202406 华中农业大学食品科学技术学院食品质量与安全专业就读
202406-202507 在河南省商丘市夏邑县待业</v>
      </c>
    </row>
    <row r="2324" spans="1:9">
      <c r="A2324" s="1" t="str">
        <f>"410323199412183519"</f>
        <v>410323199412183519</v>
      </c>
      <c r="B2324" s="1" t="str">
        <f t="shared" si="1147"/>
        <v>中共党员</v>
      </c>
      <c r="C2324" s="1" t="str">
        <f t="shared" si="1148"/>
        <v>本科</v>
      </c>
      <c r="D2324" s="1" t="str">
        <f>"20190701"</f>
        <v>20190701</v>
      </c>
      <c r="E2324" s="1" t="str">
        <f>"河南理工大学万方科技学院"</f>
        <v>河南理工大学万方科技学院</v>
      </c>
      <c r="F2324" s="1" t="str">
        <f>"法学"</f>
        <v>法学</v>
      </c>
      <c r="G2324" s="1" t="str">
        <f>"河南省新安县北冶镇东沟村"</f>
        <v>河南省新安县北冶镇东沟村</v>
      </c>
      <c r="H2324" s="1" t="str">
        <f>"法律职业资格证书A"</f>
        <v>法律职业资格证书A</v>
      </c>
      <c r="I2324" s="1" t="str">
        <f>"201509-201907 就读于河南理工大学万方科技学院人文艺术系法学专业，全日制本科
201907-202003 待业
202003-202211 就职于河南省新安县公证处，公证员助理，合同制
202211-至今 待业"</f>
        <v>201509-201907 就读于河南理工大学万方科技学院人文艺术系法学专业，全日制本科
201907-202003 待业
202003-202211 就职于河南省新安县公证处，公证员助理，合同制
202211-至今 待业</v>
      </c>
    </row>
    <row r="2325" spans="1:9">
      <c r="A2325" s="1" t="str">
        <f>"411327199808280629"</f>
        <v>411327199808280629</v>
      </c>
      <c r="B2325" s="1" t="str">
        <f>"群众"</f>
        <v>群众</v>
      </c>
      <c r="C2325" s="1" t="str">
        <f t="shared" si="1148"/>
        <v>本科</v>
      </c>
      <c r="D2325" s="1" t="str">
        <f>"20200731"</f>
        <v>20200731</v>
      </c>
      <c r="E2325" s="1" t="str">
        <f>"河南财经政法大学"</f>
        <v>河南财经政法大学</v>
      </c>
      <c r="F2325" s="1" t="str">
        <f>"工程管理"</f>
        <v>工程管理</v>
      </c>
      <c r="G2325" s="1" t="str">
        <f>"河南省南阳市内乡县城关镇新民路万事达小区"</f>
        <v>河南省南阳市内乡县城关镇新民路万事达小区</v>
      </c>
      <c r="H2325" s="1" t="str">
        <f t="shared" ref="H2325:H2337" si="1150">"无"</f>
        <v>无</v>
      </c>
      <c r="I2325" s="1" t="str">
        <f>"201609-202007 河南财经政法大学工程管理与房地产学院工程管理专业就读，全日制学历"</f>
        <v>201609-202007 河南财经政法大学工程管理与房地产学院工程管理专业就读，全日制学历</v>
      </c>
    </row>
    <row r="2326" spans="1:9">
      <c r="A2326" s="1" t="str">
        <f>"411422199205161229"</f>
        <v>411422199205161229</v>
      </c>
      <c r="B2326" s="1" t="str">
        <f t="shared" ref="B2326:B2331" si="1151">"共青团员"</f>
        <v>共青团员</v>
      </c>
      <c r="C2326" s="1" t="str">
        <f t="shared" si="1148"/>
        <v>本科</v>
      </c>
      <c r="D2326" s="1" t="str">
        <f>"2016-06-17"</f>
        <v>2016-06-17</v>
      </c>
      <c r="E2326" s="1" t="str">
        <f>"海南热带海洋学院"</f>
        <v>海南热带海洋学院</v>
      </c>
      <c r="F2326" s="1" t="str">
        <f>"音乐学"</f>
        <v>音乐学</v>
      </c>
      <c r="G2326" s="1" t="str">
        <f>"河南省内乡县城关镇十字街移动公司三楼"</f>
        <v>河南省内乡县城关镇十字街移动公司三楼</v>
      </c>
      <c r="H2326" s="1" t="str">
        <f t="shared" si="1150"/>
        <v>无</v>
      </c>
      <c r="I2326" s="1" t="str">
        <f>"201209-201607 海南热带海洋学院艺术学院音乐学专业就读，全日制学历。
201607至今，待业"</f>
        <v>201209-201607 海南热带海洋学院艺术学院音乐学专业就读，全日制学历。
201607至今，待业</v>
      </c>
    </row>
    <row r="2327" spans="1:9">
      <c r="A2327" s="1" t="str">
        <f>"411327199807150320"</f>
        <v>411327199807150320</v>
      </c>
      <c r="B2327" s="1" t="str">
        <f t="shared" si="1151"/>
        <v>共青团员</v>
      </c>
      <c r="C2327" s="1" t="str">
        <f>"硕士研究生"</f>
        <v>硕士研究生</v>
      </c>
      <c r="D2327" s="1" t="str">
        <f>"20240701"</f>
        <v>20240701</v>
      </c>
      <c r="E2327" s="1" t="str">
        <f>"河南科技学院"</f>
        <v>河南科技学院</v>
      </c>
      <c r="F2327" s="1" t="str">
        <f>"食品科学与工程"</f>
        <v>食品科学与工程</v>
      </c>
      <c r="G2327" s="1" t="str">
        <f>"河南省南阳市内乡县大桥乡大桥村"</f>
        <v>河南省南阳市内乡县大桥乡大桥村</v>
      </c>
      <c r="H2327" s="1" t="str">
        <f>"中式面点证（高级）"</f>
        <v>中式面点证（高级）</v>
      </c>
      <c r="I2327" s="1" t="str">
        <f>"201609-202007 河南科技学院 食品学院 烹饪与营养教育 全日制
202009-202107 备考
202109-202407 河南科技学院 食品学院 食品科学与与工程 全日制
"</f>
        <v>201609-202007 河南科技学院 食品学院 烹饪与营养教育 全日制
202009-202107 备考
202109-202407 河南科技学院 食品学院 食品科学与与工程 全日制
</v>
      </c>
    </row>
    <row r="2328" spans="1:9">
      <c r="A2328" s="1" t="str">
        <f>"41132720031126002X"</f>
        <v>41132720031126002X</v>
      </c>
      <c r="B2328" s="1" t="str">
        <f t="shared" si="1151"/>
        <v>共青团员</v>
      </c>
      <c r="C2328" s="1" t="str">
        <f>"专科"</f>
        <v>专科</v>
      </c>
      <c r="D2328" s="1" t="str">
        <f>"20250608"</f>
        <v>20250608</v>
      </c>
      <c r="E2328" s="1" t="str">
        <f>"河南水利与环境职业学院"</f>
        <v>河南水利与环境职业学院</v>
      </c>
      <c r="F2328" s="1" t="str">
        <f>"生态环境修复技术"</f>
        <v>生态环境修复技术</v>
      </c>
      <c r="G2328" s="1" t="str">
        <f>"河南省内乡县万隆新天地小区"</f>
        <v>河南省内乡县万隆新天地小区</v>
      </c>
      <c r="H2328" s="1" t="str">
        <f t="shared" si="1150"/>
        <v>无</v>
      </c>
      <c r="I2328" s="1" t="str">
        <f>"202209-202506河南水利与环境职业学院环境工程系生态环境修复技术专业就读，是全日制学历。"</f>
        <v>202209-202506河南水利与环境职业学院环境工程系生态环境修复技术专业就读，是全日制学历。</v>
      </c>
    </row>
    <row r="2329" spans="1:9">
      <c r="A2329" s="1" t="str">
        <f>"411330200206011134"</f>
        <v>411330200206011134</v>
      </c>
      <c r="B2329" s="1" t="str">
        <f t="shared" si="1151"/>
        <v>共青团员</v>
      </c>
      <c r="C2329" s="1" t="str">
        <f t="shared" ref="C2329:C2339" si="1152">"本科"</f>
        <v>本科</v>
      </c>
      <c r="D2329" s="1" t="str">
        <f t="shared" ref="D2329:D2334" si="1153">"20250701"</f>
        <v>20250701</v>
      </c>
      <c r="E2329" s="1" t="str">
        <f>"河南科技大学"</f>
        <v>河南科技大学</v>
      </c>
      <c r="F2329" s="1" t="str">
        <f>"计算机科学与技术"</f>
        <v>计算机科学与技术</v>
      </c>
      <c r="G2329" s="1" t="str">
        <f>"河南省南阳市西峡县五里桥镇稻香小区"</f>
        <v>河南省南阳市西峡县五里桥镇稻香小区</v>
      </c>
      <c r="H2329" s="1" t="str">
        <f t="shared" si="1150"/>
        <v>无</v>
      </c>
      <c r="I2329" s="1" t="str">
        <f>"202009-202307 黄河水利职业技术学院 信息工程学院 大数据技术与应用 就读 是全日制学历
202309-202507 河南科技大学应用工程学院 计算机科学与技术 就读  是全日制学历"</f>
        <v>202009-202307 黄河水利职业技术学院 信息工程学院 大数据技术与应用 就读 是全日制学历
202309-202507 河南科技大学应用工程学院 计算机科学与技术 就读  是全日制学历</v>
      </c>
    </row>
    <row r="2330" spans="1:9">
      <c r="A2330" s="1" t="str">
        <f>"41133019980401003X"</f>
        <v>41133019980401003X</v>
      </c>
      <c r="B2330" s="1" t="str">
        <f t="shared" si="1151"/>
        <v>共青团员</v>
      </c>
      <c r="C2330" s="1" t="str">
        <f t="shared" si="1152"/>
        <v>本科</v>
      </c>
      <c r="D2330" s="1" t="str">
        <f>"20200701"</f>
        <v>20200701</v>
      </c>
      <c r="E2330" s="1" t="str">
        <f>"河南工程学院"</f>
        <v>河南工程学院</v>
      </c>
      <c r="F2330" s="1" t="str">
        <f>"安全工程"</f>
        <v>安全工程</v>
      </c>
      <c r="G2330" s="1" t="str">
        <f>"西峡县东环路水泵厂对面"</f>
        <v>西峡县东环路水泵厂对面</v>
      </c>
      <c r="H2330" s="1" t="str">
        <f t="shared" si="1150"/>
        <v>无</v>
      </c>
      <c r="I2330" s="1" t="str">
        <f>"201609-202007河南工程学院安全工程学院就读
202007-202105中铁十五局四公司
202106-202109在家待业
202109-202205西保集团安环部
202206-202312在家待业
202401至今平顶山叶县昆阳街道办事处"</f>
        <v>201609-202007河南工程学院安全工程学院就读
202007-202105中铁十五局四公司
202106-202109在家待业
202109-202205西保集团安环部
202206-202312在家待业
202401至今平顶山叶县昆阳街道办事处</v>
      </c>
    </row>
    <row r="2331" spans="1:9">
      <c r="A2331" s="1" t="str">
        <f>"411327200208084929"</f>
        <v>411327200208084929</v>
      </c>
      <c r="B2331" s="1" t="str">
        <f t="shared" si="1151"/>
        <v>共青团员</v>
      </c>
      <c r="C2331" s="1" t="str">
        <f t="shared" si="1152"/>
        <v>本科</v>
      </c>
      <c r="D2331" s="1" t="str">
        <f t="shared" si="1153"/>
        <v>20250701</v>
      </c>
      <c r="E2331" s="1" t="str">
        <f>"许昌学院"</f>
        <v>许昌学院</v>
      </c>
      <c r="F2331" s="1" t="str">
        <f>"工商管理"</f>
        <v>工商管理</v>
      </c>
      <c r="G2331" s="1" t="str">
        <f>"河南省南阳市内乡县灌涨镇刘营村谢营"</f>
        <v>河南省南阳市内乡县灌涨镇刘营村谢营</v>
      </c>
      <c r="H2331" s="1" t="str">
        <f t="shared" si="1150"/>
        <v>无</v>
      </c>
      <c r="I2331" s="1" t="str">
        <f>"202109-202507 许昌学院 国际教育学院 工商管理专业 就读，是全日制学历。"</f>
        <v>202109-202507 许昌学院 国际教育学院 工商管理专业 就读，是全日制学历。</v>
      </c>
    </row>
    <row r="2332" spans="1:9">
      <c r="A2332" s="1" t="str">
        <f>"411327199902181141"</f>
        <v>411327199902181141</v>
      </c>
      <c r="B2332" s="1" t="str">
        <f t="shared" ref="B2332:B2336" si="1154">"中共党员"</f>
        <v>中共党员</v>
      </c>
      <c r="C2332" s="1" t="str">
        <f t="shared" si="1152"/>
        <v>本科</v>
      </c>
      <c r="D2332" s="1" t="str">
        <f>"20200701"</f>
        <v>20200701</v>
      </c>
      <c r="E2332" s="1" t="str">
        <f>"郑州航空工业管理学院"</f>
        <v>郑州航空工业管理学院</v>
      </c>
      <c r="F2332" s="1" t="str">
        <f>"国际经济与贸易"</f>
        <v>国际经济与贸易</v>
      </c>
      <c r="G2332" s="1" t="str">
        <f>"河南省南阳市镇平县东关林语华庭"</f>
        <v>河南省南阳市镇平县东关林语华庭</v>
      </c>
      <c r="H2332" s="1" t="str">
        <f t="shared" si="1150"/>
        <v>无</v>
      </c>
      <c r="I2332" s="1" t="str">
        <f>"201609-202007 郑州航空工业管理学院 国际经济与贸易专业就读，全日制本科；
202008-202107 内乡菊潭学校教师；
202108-202208 内乡待业；
202209-202408 镇平玉都实验学校教师；
202409-至今 镇平涅阳实验学校教师。"</f>
        <v>201609-202007 郑州航空工业管理学院 国际经济与贸易专业就读，全日制本科；
202008-202107 内乡菊潭学校教师；
202108-202208 内乡待业；
202209-202408 镇平玉都实验学校教师；
202409-至今 镇平涅阳实验学校教师。</v>
      </c>
    </row>
    <row r="2333" spans="1:9">
      <c r="A2333" s="1" t="str">
        <f>"412825199901264530"</f>
        <v>412825199901264530</v>
      </c>
      <c r="B2333" s="1" t="str">
        <f>"共青团员"</f>
        <v>共青团员</v>
      </c>
      <c r="C2333" s="1" t="str">
        <f t="shared" si="1152"/>
        <v>本科</v>
      </c>
      <c r="D2333" s="1" t="str">
        <f>"20200601"</f>
        <v>20200601</v>
      </c>
      <c r="E2333" s="1" t="str">
        <f>"南开大学滨海学院"</f>
        <v>南开大学滨海学院</v>
      </c>
      <c r="F2333" s="1" t="str">
        <f>"国际经济与贸易"</f>
        <v>国际经济与贸易</v>
      </c>
      <c r="G2333" s="1" t="str">
        <f>"河南省南阳市金融中心3号楼"</f>
        <v>河南省南阳市金融中心3号楼</v>
      </c>
      <c r="H2333" s="1" t="str">
        <f t="shared" si="1150"/>
        <v>无</v>
      </c>
      <c r="I2333" s="1" t="str">
        <f>"201609-202006，就读于天津市南开大学滨海学院国际经济与贸易专业，是全日制本科；202007-202207，以全国“三支一扶”大学生身份在新疆生产建设兵团第十四师昆玉市皮山农场财政局工作；202207-202306，在新疆维吾尔自治区和田地区于田县待业；202306 至今，在南阳文旅体集团有限公司工作，担任办公室文秘。"</f>
        <v>201609-202006，就读于天津市南开大学滨海学院国际经济与贸易专业，是全日制本科；202007-202207，以全国“三支一扶”大学生身份在新疆生产建设兵团第十四师昆玉市皮山农场财政局工作；202207-202306，在新疆维吾尔自治区和田地区于田县待业；202306 至今，在南阳文旅体集团有限公司工作，担任办公室文秘。</v>
      </c>
    </row>
    <row r="2334" spans="1:9">
      <c r="A2334" s="1" t="str">
        <f>"411323200101080033"</f>
        <v>411323200101080033</v>
      </c>
      <c r="B2334" s="1" t="str">
        <f t="shared" si="1154"/>
        <v>中共党员</v>
      </c>
      <c r="C2334" s="1" t="str">
        <f t="shared" si="1152"/>
        <v>本科</v>
      </c>
      <c r="D2334" s="1" t="str">
        <f t="shared" si="1153"/>
        <v>20250701</v>
      </c>
      <c r="E2334" s="1" t="str">
        <f>"通化师范"</f>
        <v>通化师范</v>
      </c>
      <c r="F2334" s="1" t="str">
        <f>"汉语言文学"</f>
        <v>汉语言文学</v>
      </c>
      <c r="G2334" s="1" t="str">
        <f>"城关镇人民路"</f>
        <v>城关镇人民路</v>
      </c>
      <c r="H2334" s="1" t="str">
        <f t="shared" si="1150"/>
        <v>无</v>
      </c>
      <c r="I2334" s="1" t="str">
        <f>"201909-202207濮阳职业技术学院数学与信心工程学院小学教育就读全日制
202305-202507通化师范汉语言文学就读非全日制"</f>
        <v>201909-202207濮阳职业技术学院数学与信心工程学院小学教育就读全日制
202305-202507通化师范汉语言文学就读非全日制</v>
      </c>
    </row>
    <row r="2335" spans="1:9">
      <c r="A2335" s="1" t="str">
        <f>"411327200312123924"</f>
        <v>411327200312123924</v>
      </c>
      <c r="B2335" s="1" t="str">
        <f t="shared" ref="B2335:B2340" si="1155">"群众"</f>
        <v>群众</v>
      </c>
      <c r="C2335" s="1" t="str">
        <f t="shared" si="1152"/>
        <v>本科</v>
      </c>
      <c r="D2335" s="1" t="str">
        <f>"20250630"</f>
        <v>20250630</v>
      </c>
      <c r="E2335" s="1" t="str">
        <f>"玉林师范学院"</f>
        <v>玉林师范学院</v>
      </c>
      <c r="F2335" s="1" t="str">
        <f>"新闻学"</f>
        <v>新闻学</v>
      </c>
      <c r="G2335" s="1" t="str">
        <f>"河南省南阳市内乡县新都花苑"</f>
        <v>河南省南阳市内乡县新都花苑</v>
      </c>
      <c r="H2335" s="1" t="str">
        <f t="shared" si="1150"/>
        <v>无</v>
      </c>
      <c r="I2335" s="1" t="str">
        <f>"202109-202506玉林师范学院文学与传媒学院新闻学专业就读，是全日制学历"</f>
        <v>202109-202506玉林师范学院文学与传媒学院新闻学专业就读，是全日制学历</v>
      </c>
    </row>
    <row r="2336" spans="1:9">
      <c r="A2336" s="1" t="str">
        <f>"410926200009214415"</f>
        <v>410926200009214415</v>
      </c>
      <c r="B2336" s="1" t="str">
        <f t="shared" si="1154"/>
        <v>中共党员</v>
      </c>
      <c r="C2336" s="1" t="str">
        <f t="shared" si="1152"/>
        <v>本科</v>
      </c>
      <c r="D2336" s="1" t="str">
        <f>"20250701"</f>
        <v>20250701</v>
      </c>
      <c r="E2336" s="1" t="str">
        <f>"郑州师范学院"</f>
        <v>郑州师范学院</v>
      </c>
      <c r="F2336" s="1" t="str">
        <f>"小学教育"</f>
        <v>小学教育</v>
      </c>
      <c r="G2336" s="1" t="str">
        <f>"河南郑州"</f>
        <v>河南郑州</v>
      </c>
      <c r="H2336" s="1" t="str">
        <f t="shared" si="1150"/>
        <v>无</v>
      </c>
      <c r="I2336" s="1" t="str">
        <f>"201909-202207河南轻工职业学院、计算机与艺术设计系、建筑装饰工程技术专业，是全日制学历
202207-202406河南省濮阳市范县、待业
202305-202507郑州师范学院、二七五优系、小学教育专业、非全日制学历
202406-至今新郑市公安局龙湖派出所、辅警"</f>
        <v>201909-202207河南轻工职业学院、计算机与艺术设计系、建筑装饰工程技术专业，是全日制学历
202207-202406河南省濮阳市范县、待业
202305-202507郑州师范学院、二七五优系、小学教育专业、非全日制学历
202406-至今新郑市公安局龙湖派出所、辅警</v>
      </c>
    </row>
    <row r="2337" spans="1:9">
      <c r="A2337" s="1" t="str">
        <f>"411327199712150643"</f>
        <v>411327199712150643</v>
      </c>
      <c r="B2337" s="1" t="str">
        <f>"共青团员"</f>
        <v>共青团员</v>
      </c>
      <c r="C2337" s="1" t="str">
        <f t="shared" si="1152"/>
        <v>本科</v>
      </c>
      <c r="D2337" s="1" t="str">
        <f>"20200701"</f>
        <v>20200701</v>
      </c>
      <c r="E2337" s="1" t="str">
        <f>"河南科技学院"</f>
        <v>河南科技学院</v>
      </c>
      <c r="F2337" s="1" t="str">
        <f>"农业资源与环境"</f>
        <v>农业资源与环境</v>
      </c>
      <c r="G2337" s="1" t="str">
        <f>"河南省南阳市内乡县永和清华园"</f>
        <v>河南省南阳市内乡县永和清华园</v>
      </c>
      <c r="H2337" s="1" t="str">
        <f t="shared" si="1150"/>
        <v>无</v>
      </c>
      <c r="I2337" s="1" t="str">
        <f>"201609-202007 河南科技学院 资源与环境学院 农业资源与环境 就读"</f>
        <v>201609-202007 河南科技学院 资源与环境学院 农业资源与环境 就读</v>
      </c>
    </row>
    <row r="2338" spans="1:9">
      <c r="A2338" s="1" t="str">
        <f>"413026199712267226"</f>
        <v>413026199712267226</v>
      </c>
      <c r="B2338" s="1" t="str">
        <f t="shared" si="1155"/>
        <v>群众</v>
      </c>
      <c r="C2338" s="1" t="str">
        <f t="shared" si="1152"/>
        <v>本科</v>
      </c>
      <c r="D2338" s="1" t="str">
        <f>"20210701"</f>
        <v>20210701</v>
      </c>
      <c r="E2338" s="1" t="str">
        <f>"周口师范学院"</f>
        <v>周口师范学院</v>
      </c>
      <c r="F2338" s="1" t="str">
        <f>"环境设计"</f>
        <v>环境设计</v>
      </c>
      <c r="G2338" s="1" t="str">
        <f>"465200"</f>
        <v>465200</v>
      </c>
      <c r="H2338" s="1" t="str">
        <f>"初级工艺美术员"</f>
        <v>初级工艺美术员</v>
      </c>
      <c r="I2338" s="1" t="str">
        <f>"20170901-20210701周口师范学院环境设计专业就读，全日制学历
"</f>
        <v>20170901-20210701周口师范学院环境设计专业就读，全日制学历
</v>
      </c>
    </row>
    <row r="2339" spans="1:9">
      <c r="A2339" s="1" t="str">
        <f>"411323199610051710"</f>
        <v>411323199610051710</v>
      </c>
      <c r="B2339" s="1" t="str">
        <f t="shared" si="1155"/>
        <v>群众</v>
      </c>
      <c r="C2339" s="1" t="str">
        <f t="shared" si="1152"/>
        <v>本科</v>
      </c>
      <c r="D2339" s="1" t="str">
        <f>"20200701"</f>
        <v>20200701</v>
      </c>
      <c r="E2339" s="1" t="str">
        <f>"郑州财经学院"</f>
        <v>郑州财经学院</v>
      </c>
      <c r="F2339" s="1" t="str">
        <f>"会计学"</f>
        <v>会计学</v>
      </c>
      <c r="G2339" s="1" t="str">
        <f>"淅川县二环路"</f>
        <v>淅川县二环路</v>
      </c>
      <c r="H2339" s="1" t="str">
        <f t="shared" ref="H2339:H2346" si="1156">"无"</f>
        <v>无</v>
      </c>
      <c r="I2339" s="1" t="str">
        <f>"201608-202007  郑州财经学院
202008-202010 兴信会计事务所
202011-202211 瓦亭镇财政所
202212-202308 内乡县财政局"</f>
        <v>201608-202007  郑州财经学院
202008-202010 兴信会计事务所
202011-202211 瓦亭镇财政所
202212-202308 内乡县财政局</v>
      </c>
    </row>
    <row r="2340" spans="1:9">
      <c r="A2340" s="1" t="str">
        <f>"411327199712120612"</f>
        <v>411327199712120612</v>
      </c>
      <c r="B2340" s="1" t="str">
        <f t="shared" si="1155"/>
        <v>群众</v>
      </c>
      <c r="C2340" s="1" t="str">
        <f t="shared" ref="C2340:C2345" si="1157">"专科"</f>
        <v>专科</v>
      </c>
      <c r="D2340" s="1" t="str">
        <f>"20170701"</f>
        <v>20170701</v>
      </c>
      <c r="E2340" s="1" t="str">
        <f>"河南农业大学"</f>
        <v>河南农业大学</v>
      </c>
      <c r="F2340" s="1" t="str">
        <f>"会计"</f>
        <v>会计</v>
      </c>
      <c r="G2340" s="1" t="str">
        <f>"河南省南阳市内乡县马山口镇大寨村马小路北"</f>
        <v>河南省南阳市内乡县马山口镇大寨村马小路北</v>
      </c>
      <c r="H2340" s="1" t="str">
        <f>"初级会计"</f>
        <v>初级会计</v>
      </c>
      <c r="I2340" s="1" t="str">
        <f>"201503-201707河南农业大学会计专业就读，函授大专学历"</f>
        <v>201503-201707河南农业大学会计专业就读，函授大专学历</v>
      </c>
    </row>
    <row r="2341" spans="1:9">
      <c r="A2341" s="1" t="str">
        <f>"411327199610224920"</f>
        <v>411327199610224920</v>
      </c>
      <c r="B2341" s="1" t="str">
        <f t="shared" ref="B2341:B2346" si="1158">"中共党员"</f>
        <v>中共党员</v>
      </c>
      <c r="C2341" s="1" t="str">
        <f t="shared" ref="C2341:C2344" si="1159">"本科"</f>
        <v>本科</v>
      </c>
      <c r="D2341" s="1" t="str">
        <f>"2018年7月"</f>
        <v>2018年7月</v>
      </c>
      <c r="E2341" s="1" t="str">
        <f>"河南科技学院"</f>
        <v>河南科技学院</v>
      </c>
      <c r="F2341" s="1" t="str">
        <f>"园艺"</f>
        <v>园艺</v>
      </c>
      <c r="G2341" s="1" t="str">
        <f>"河南省南阳市内乡县灌涨镇后马村"</f>
        <v>河南省南阳市内乡县灌涨镇后马村</v>
      </c>
      <c r="H2341" s="1" t="str">
        <f>"助理农艺师"</f>
        <v>助理农艺师</v>
      </c>
      <c r="I2341" s="1" t="str">
        <f>"201409-201807 河南科技学院学校园艺园林学院园艺专业 就读；
全日制学历"</f>
        <v>201409-201807 河南科技学院学校园艺园林学院园艺专业 就读；
全日制学历</v>
      </c>
    </row>
    <row r="2342" spans="1:9">
      <c r="A2342" s="1" t="str">
        <f>"411326200103231113"</f>
        <v>411326200103231113</v>
      </c>
      <c r="B2342" s="1" t="str">
        <f t="shared" ref="B2342:B2347" si="1160">"群众"</f>
        <v>群众</v>
      </c>
      <c r="C2342" s="1" t="str">
        <f t="shared" si="1157"/>
        <v>专科</v>
      </c>
      <c r="D2342" s="1" t="str">
        <f>"2022-07-01"</f>
        <v>2022-07-01</v>
      </c>
      <c r="E2342" s="1" t="str">
        <f>"河南水利与环境职业学院"</f>
        <v>河南水利与环境职业学院</v>
      </c>
      <c r="F2342" s="1" t="str">
        <f>"建设工程监理（市政工程监理）"</f>
        <v>建设工程监理（市政工程监理）</v>
      </c>
      <c r="G2342" s="1" t="str">
        <f>"河南省南阳市南召县留山镇东街村"</f>
        <v>河南省南阳市南召县留山镇东街村</v>
      </c>
      <c r="H2342" s="1" t="str">
        <f t="shared" si="1156"/>
        <v>无</v>
      </c>
      <c r="I2342" s="1" t="str">
        <f>"201909-202109河南水利与环境职业学院就读
202109-202309中国人民解放军73021服役
202309-202410在家待业
202410-至今南召县公安局辅警"</f>
        <v>201909-202109河南水利与环境职业学院就读
202109-202309中国人民解放军73021服役
202309-202410在家待业
202410-至今南召县公安局辅警</v>
      </c>
    </row>
    <row r="2343" spans="1:9">
      <c r="A2343" s="1" t="str">
        <f>"411327200003130311"</f>
        <v>411327200003130311</v>
      </c>
      <c r="B2343" s="1" t="str">
        <f t="shared" si="1158"/>
        <v>中共党员</v>
      </c>
      <c r="C2343" s="1" t="str">
        <f t="shared" si="1159"/>
        <v>本科</v>
      </c>
      <c r="D2343" s="1" t="str">
        <f>"20230630"</f>
        <v>20230630</v>
      </c>
      <c r="E2343" s="1" t="str">
        <f>"琼台师范学院"</f>
        <v>琼台师范学院</v>
      </c>
      <c r="F2343" s="1" t="str">
        <f>"小学教育"</f>
        <v>小学教育</v>
      </c>
      <c r="G2343" s="1" t="str">
        <f>"河南省内乡县师苑小区3单元2楼"</f>
        <v>河南省内乡县师苑小区3单元2楼</v>
      </c>
      <c r="H2343" s="1" t="str">
        <f t="shared" si="1156"/>
        <v>无</v>
      </c>
      <c r="I2343" s="1" t="str">
        <f>"201910-202306  琼台师范学院就读
202306-至今 在家待业"</f>
        <v>201910-202306  琼台师范学院就读
202306-至今 在家待业</v>
      </c>
    </row>
    <row r="2344" spans="1:9">
      <c r="A2344" s="1" t="str">
        <f>"411327199905210032"</f>
        <v>411327199905210032</v>
      </c>
      <c r="B2344" s="1" t="str">
        <f>"共青团员"</f>
        <v>共青团员</v>
      </c>
      <c r="C2344" s="1" t="str">
        <f t="shared" si="1159"/>
        <v>本科</v>
      </c>
      <c r="D2344" s="1" t="str">
        <f>"20210530"</f>
        <v>20210530</v>
      </c>
      <c r="E2344" s="1" t="str">
        <f>"美国富特海斯州立大学"</f>
        <v>美国富特海斯州立大学</v>
      </c>
      <c r="F2344" s="1" t="str">
        <f>"计算机信息系统"</f>
        <v>计算机信息系统</v>
      </c>
      <c r="G2344" s="1" t="str">
        <f>"河南省南阳市内乡县城关镇龙禧世家"</f>
        <v>河南省南阳市内乡县城关镇龙禧世家</v>
      </c>
      <c r="H2344" s="1" t="str">
        <f t="shared" si="1156"/>
        <v>无</v>
      </c>
      <c r="I2344" s="1" t="str">
        <f>"201709-202106 在郑州大学西亚斯国际学院学习郑州大学与美国富特海斯州立大学合作开设的计算机信息系统专业 是全日制学历"</f>
        <v>201709-202106 在郑州大学西亚斯国际学院学习郑州大学与美国富特海斯州立大学合作开设的计算机信息系统专业 是全日制学历</v>
      </c>
    </row>
    <row r="2345" spans="1:9">
      <c r="A2345" s="1" t="str">
        <f>"411303200208270106"</f>
        <v>411303200208270106</v>
      </c>
      <c r="B2345" s="1" t="str">
        <f t="shared" si="1160"/>
        <v>群众</v>
      </c>
      <c r="C2345" s="1" t="str">
        <f t="shared" si="1157"/>
        <v>专科</v>
      </c>
      <c r="D2345" s="1" t="str">
        <f>"2023年7月"</f>
        <v>2023年7月</v>
      </c>
      <c r="E2345" s="1" t="str">
        <f>"河南工业职业技术学院"</f>
        <v>河南工业职业技术学院</v>
      </c>
      <c r="F2345" s="1" t="str">
        <f>"建筑室内设计"</f>
        <v>建筑室内设计</v>
      </c>
      <c r="G2345" s="1" t="str">
        <f>"河南省南阳市宛城区建业云境"</f>
        <v>河南省南阳市宛城区建业云境</v>
      </c>
      <c r="H2345" s="1" t="str">
        <f t="shared" si="1156"/>
        <v>无</v>
      </c>
      <c r="I2345" s="1" t="str">
        <f>"202010-202307 河南工业职业技术学院 建筑学院室内设计专业就读 全日制
202503-202707 商丘师范学院 小学教育专业就读 非全日制函授"</f>
        <v>202010-202307 河南工业职业技术学院 建筑学院室内设计专业就读 全日制
202503-202707 商丘师范学院 小学教育专业就读 非全日制函授</v>
      </c>
    </row>
    <row r="2346" spans="1:9">
      <c r="A2346" s="1" t="str">
        <f>"411325200205182061"</f>
        <v>411325200205182061</v>
      </c>
      <c r="B2346" s="1" t="str">
        <f t="shared" si="1158"/>
        <v>中共党员</v>
      </c>
      <c r="C2346" s="1" t="str">
        <f t="shared" ref="C2346:C2353" si="1161">"本科"</f>
        <v>本科</v>
      </c>
      <c r="D2346" s="1" t="str">
        <f>"20240607"</f>
        <v>20240607</v>
      </c>
      <c r="E2346" s="1" t="str">
        <f>"安阳学院"</f>
        <v>安阳学院</v>
      </c>
      <c r="F2346" s="1" t="str">
        <f>"英语（师范）"</f>
        <v>英语（师范）</v>
      </c>
      <c r="G2346" s="1" t="str">
        <f>"河南省内乡县师岗镇师岗村"</f>
        <v>河南省内乡县师岗镇师岗村</v>
      </c>
      <c r="H2346" s="1" t="str">
        <f t="shared" si="1156"/>
        <v>无</v>
      </c>
      <c r="I2346" s="1" t="str">
        <f>"202009-202406 安阳学院就读
2024-2025 待业"</f>
        <v>202009-202406 安阳学院就读
2024-2025 待业</v>
      </c>
    </row>
    <row r="2347" spans="1:9">
      <c r="A2347" s="1" t="str">
        <f>"411327199905180013"</f>
        <v>411327199905180013</v>
      </c>
      <c r="B2347" s="1" t="str">
        <f t="shared" si="1160"/>
        <v>群众</v>
      </c>
      <c r="C2347" s="1" t="str">
        <f t="shared" si="1161"/>
        <v>本科</v>
      </c>
      <c r="D2347" s="1" t="str">
        <f>"20220701"</f>
        <v>20220701</v>
      </c>
      <c r="E2347" s="1" t="str">
        <f>"河南工学院"</f>
        <v>河南工学院</v>
      </c>
      <c r="F2347" s="1" t="str">
        <f>"电气工程及其自动化"</f>
        <v>电气工程及其自动化</v>
      </c>
      <c r="G2347" s="1" t="str">
        <f>"河南省南阳市内乡县城关镇菊园小区"</f>
        <v>河南省南阳市内乡县城关镇菊园小区</v>
      </c>
      <c r="H2347" s="1" t="str">
        <f>"高压操作证、高级（三级）电工证"</f>
        <v>高压操作证、高级（三级）电工证</v>
      </c>
      <c r="I2347" s="1" t="str">
        <f>"201709-202007 河南工学院 电气学院 电气自动化技术专业就读 全日制大专
202009-202207 河南工学院 电气与自动化学院 电气工程及其自动化专业就读 全日制本科
202207——至今 河南省锦冠电力工程有限公司就职 "</f>
        <v>201709-202007 河南工学院 电气学院 电气自动化技术专业就读 全日制大专
202009-202207 河南工学院 电气与自动化学院 电气工程及其自动化专业就读 全日制本科
202207——至今 河南省锦冠电力工程有限公司就职 </v>
      </c>
    </row>
    <row r="2348" spans="1:9">
      <c r="A2348" s="1" t="str">
        <f>"411327199911180028"</f>
        <v>411327199911180028</v>
      </c>
      <c r="B2348" s="1" t="str">
        <f>"中共党员"</f>
        <v>中共党员</v>
      </c>
      <c r="C2348" s="1" t="str">
        <f t="shared" si="1161"/>
        <v>本科</v>
      </c>
      <c r="D2348" s="1" t="str">
        <f>"20240610"</f>
        <v>20240610</v>
      </c>
      <c r="E2348" s="1" t="str">
        <f>"河南大学"</f>
        <v>河南大学</v>
      </c>
      <c r="F2348" s="1" t="str">
        <f>"会计学"</f>
        <v>会计学</v>
      </c>
      <c r="G2348" s="1" t="str">
        <f>"河南省南阳市内乡县城关镇清真寺村"</f>
        <v>河南省南阳市内乡县城关镇清真寺村</v>
      </c>
      <c r="H2348" s="1" t="str">
        <f t="shared" ref="H2348:H2351" si="1162">"无"</f>
        <v>无</v>
      </c>
      <c r="I2348" s="1" t="str">
        <f>"202203—202406 河南大学 会计学专业 非全日制"</f>
        <v>202203—202406 河南大学 会计学专业 非全日制</v>
      </c>
    </row>
    <row r="2349" spans="1:9">
      <c r="A2349" s="1" t="str">
        <f>"411327200209094248"</f>
        <v>411327200209094248</v>
      </c>
      <c r="B2349" s="1" t="str">
        <f t="shared" ref="B2349:B2355" si="1163">"共青团员"</f>
        <v>共青团员</v>
      </c>
      <c r="C2349" s="1" t="str">
        <f t="shared" si="1161"/>
        <v>本科</v>
      </c>
      <c r="D2349" s="1" t="str">
        <f>"20240607"</f>
        <v>20240607</v>
      </c>
      <c r="E2349" s="1" t="str">
        <f>"商丘工学院"</f>
        <v>商丘工学院</v>
      </c>
      <c r="F2349" s="1" t="str">
        <f>"工程造价"</f>
        <v>工程造价</v>
      </c>
      <c r="G2349" s="1" t="str">
        <f>"河南省南阳市内乡县"</f>
        <v>河南省南阳市内乡县</v>
      </c>
      <c r="H2349" s="1" t="str">
        <f t="shared" si="1162"/>
        <v>无</v>
      </c>
      <c r="I2349" s="1" t="str">
        <f>"202009-292406商丘工学院就读"</f>
        <v>202009-292406商丘工学院就读</v>
      </c>
    </row>
    <row r="2350" spans="1:9">
      <c r="A2350" s="1" t="str">
        <f>"34240120001005004X"</f>
        <v>34240120001005004X</v>
      </c>
      <c r="B2350" s="1" t="str">
        <f t="shared" ref="B2350:B2353" si="1164">"群众"</f>
        <v>群众</v>
      </c>
      <c r="C2350" s="1" t="str">
        <f t="shared" si="1161"/>
        <v>本科</v>
      </c>
      <c r="D2350" s="1" t="str">
        <f>"20220610"</f>
        <v>20220610</v>
      </c>
      <c r="E2350" s="1" t="str">
        <f>"安徽农业大学"</f>
        <v>安徽农业大学</v>
      </c>
      <c r="F2350" s="1" t="str">
        <f>"生物技术专业"</f>
        <v>生物技术专业</v>
      </c>
      <c r="G2350" s="1" t="str">
        <f>"安徽省六安市裕安区平桥乡齐云路齐云山庄南村八号楼一单元501"</f>
        <v>安徽省六安市裕安区平桥乡齐云路齐云山庄南村八号楼一单元501</v>
      </c>
      <c r="H2350" s="1" t="str">
        <f t="shared" si="1162"/>
        <v>无</v>
      </c>
      <c r="I2350" s="1" t="str">
        <f>"201809-202206 安徽农业大学生命科学学院生物技术专业就读，全日制
202206-202305 待业
202306-202403 安徽安硕建设工程有限公司 资料员
202403-至今 待业"</f>
        <v>201809-202206 安徽农业大学生命科学学院生物技术专业就读，全日制
202206-202305 待业
202306-202403 安徽安硕建设工程有限公司 资料员
202403-至今 待业</v>
      </c>
    </row>
    <row r="2351" spans="1:9">
      <c r="A2351" s="1" t="str">
        <f>"411330200107310024"</f>
        <v>411330200107310024</v>
      </c>
      <c r="B2351" s="1" t="str">
        <f t="shared" si="1164"/>
        <v>群众</v>
      </c>
      <c r="C2351" s="1" t="str">
        <f t="shared" si="1161"/>
        <v>本科</v>
      </c>
      <c r="D2351" s="1" t="str">
        <f>"20230701"</f>
        <v>20230701</v>
      </c>
      <c r="E2351" s="1" t="str">
        <f>"南阳师范学院"</f>
        <v>南阳师范学院</v>
      </c>
      <c r="F2351" s="1" t="str">
        <f>"国际经济与贸易"</f>
        <v>国际经济与贸易</v>
      </c>
      <c r="G2351" s="1" t="str">
        <f>"西峡县仲景大道"</f>
        <v>西峡县仲景大道</v>
      </c>
      <c r="H2351" s="1" t="str">
        <f t="shared" si="1162"/>
        <v>无</v>
      </c>
      <c r="I2351" s="1" t="str">
        <f>"201909-202307在南阳师范学院经济与管理学院国际经济与贸易专业就读，全日制学历"</f>
        <v>201909-202307在南阳师范学院经济与管理学院国际经济与贸易专业就读，全日制学历</v>
      </c>
    </row>
    <row r="2352" spans="1:9">
      <c r="A2352" s="1" t="str">
        <f>"411327199906061518"</f>
        <v>411327199906061518</v>
      </c>
      <c r="B2352" s="1" t="str">
        <f t="shared" si="1163"/>
        <v>共青团员</v>
      </c>
      <c r="C2352" s="1" t="str">
        <f t="shared" si="1161"/>
        <v>本科</v>
      </c>
      <c r="D2352" s="1" t="str">
        <f>"20220601"</f>
        <v>20220601</v>
      </c>
      <c r="E2352" s="1" t="str">
        <f>"信阳农林学院"</f>
        <v>信阳农林学院</v>
      </c>
      <c r="F2352" s="1" t="str">
        <f>"林学（城市林）"</f>
        <v>林学（城市林）</v>
      </c>
      <c r="G2352" s="1" t="str">
        <f>"内乡县湍东镇"</f>
        <v>内乡县湍东镇</v>
      </c>
      <c r="H2352" s="1" t="str">
        <f>"林木育种工三级"</f>
        <v>林木育种工三级</v>
      </c>
      <c r="I2352" s="1" t="str">
        <f>"201809-202206就读于信阳农林学院（全日制)林学（城市林）专业
202209-202409服役于武警北京总队机动第三支队
202410-202505在牧原集团南阳总部
202505-至今待业"</f>
        <v>201809-202206就读于信阳农林学院（全日制)林学（城市林）专业
202209-202409服役于武警北京总队机动第三支队
202410-202505在牧原集团南阳总部
202505-至今待业</v>
      </c>
    </row>
    <row r="2353" spans="1:9">
      <c r="A2353" s="1" t="str">
        <f>"411327199904120019"</f>
        <v>411327199904120019</v>
      </c>
      <c r="B2353" s="1" t="str">
        <f t="shared" si="1164"/>
        <v>群众</v>
      </c>
      <c r="C2353" s="1" t="str">
        <f t="shared" si="1161"/>
        <v>本科</v>
      </c>
      <c r="D2353" s="1" t="str">
        <f>"20210709"</f>
        <v>20210709</v>
      </c>
      <c r="E2353" s="1" t="str">
        <f>"绍兴文理学院"</f>
        <v>绍兴文理学院</v>
      </c>
      <c r="F2353" s="1" t="str">
        <f>"土木工程"</f>
        <v>土木工程</v>
      </c>
      <c r="G2353" s="1" t="str">
        <f>"县衙居委会155号"</f>
        <v>县衙居委会155号</v>
      </c>
      <c r="H2353" s="1" t="str">
        <f t="shared" ref="H2353:H2358" si="1165">"无"</f>
        <v>无</v>
      </c>
      <c r="I2353" s="1" t="str">
        <f>"201709-202107 绍兴文理学院就读
202107-202309 杭州昕喜家具销售有限公司
202309-202409 待业
202409至今 南阳市优合人力资源服务有限公司"</f>
        <v>201709-202107 绍兴文理学院就读
202107-202309 杭州昕喜家具销售有限公司
202309-202409 待业
202409至今 南阳市优合人力资源服务有限公司</v>
      </c>
    </row>
    <row r="2354" spans="1:9">
      <c r="A2354" s="1" t="str">
        <f>"411303200008140040"</f>
        <v>411303200008140040</v>
      </c>
      <c r="B2354" s="1" t="str">
        <f t="shared" si="1163"/>
        <v>共青团员</v>
      </c>
      <c r="C2354" s="1" t="str">
        <f>"硕士研究生"</f>
        <v>硕士研究生</v>
      </c>
      <c r="D2354" s="1" t="str">
        <f>"20231031"</f>
        <v>20231031</v>
      </c>
      <c r="E2354" s="1" t="str">
        <f>"香港教育大学"</f>
        <v>香港教育大学</v>
      </c>
      <c r="F2354" s="1" t="str">
        <f>"全球教育研究"</f>
        <v>全球教育研究</v>
      </c>
      <c r="G2354" s="1" t="str">
        <f>"河南省南阳市卧龙区"</f>
        <v>河南省南阳市卧龙区</v>
      </c>
      <c r="H2354" s="1" t="str">
        <f t="shared" si="1165"/>
        <v>无</v>
      </c>
      <c r="I2354" s="1" t="str">
        <f>"2015.09—2018.06 南阳市第一中学（高中）
2018.09—2022.07郑州财经学院 英语专业就读
2022.09—2023.10香港教育大学 全球教育研究就读
2023.10—2025.5待业
2025.5—至今 南阳市就业创业服务中心"</f>
        <v>2015.09—2018.06 南阳市第一中学（高中）
2018.09—2022.07郑州财经学院 英语专业就读
2022.09—2023.10香港教育大学 全球教育研究就读
2023.10—2025.5待业
2025.5—至今 南阳市就业创业服务中心</v>
      </c>
    </row>
    <row r="2355" spans="1:9">
      <c r="A2355" s="1" t="str">
        <f>"41041119990202553X"</f>
        <v>41041119990202553X</v>
      </c>
      <c r="B2355" s="1" t="str">
        <f t="shared" si="1163"/>
        <v>共青团员</v>
      </c>
      <c r="C2355" s="1" t="str">
        <f t="shared" ref="C2355:C2360" si="1166">"本科"</f>
        <v>本科</v>
      </c>
      <c r="D2355" s="1" t="str">
        <f>"20220613"</f>
        <v>20220613</v>
      </c>
      <c r="E2355" s="1" t="str">
        <f>"黄淮学院"</f>
        <v>黄淮学院</v>
      </c>
      <c r="F2355" s="1" t="str">
        <f>"软件工程"</f>
        <v>软件工程</v>
      </c>
      <c r="G2355" s="1" t="str">
        <f>"河南省平顶山市湛河区开源南路29号院"</f>
        <v>河南省平顶山市湛河区开源南路29号院</v>
      </c>
      <c r="H2355" s="1" t="str">
        <f t="shared" si="1165"/>
        <v>无</v>
      </c>
      <c r="I2355" s="1" t="str">
        <f>"201709-201906黄淮学院国际教育学院软件工程专业就读，全日制学历
201909-202206印度迈索尔大学计算机科学系软件工程专业就读，全日制学历
202206-202408在平顶山市待业
202409-至今中平信息技术有限公司上班"</f>
        <v>201709-201906黄淮学院国际教育学院软件工程专业就读，全日制学历
201909-202206印度迈索尔大学计算机科学系软件工程专业就读，全日制学历
202206-202408在平顶山市待业
202409-至今中平信息技术有限公司上班</v>
      </c>
    </row>
    <row r="2356" spans="1:9">
      <c r="A2356" s="1" t="str">
        <f>"410482199708255919"</f>
        <v>410482199708255919</v>
      </c>
      <c r="B2356" s="1" t="str">
        <f t="shared" ref="B2356:B2359" si="1167">"群众"</f>
        <v>群众</v>
      </c>
      <c r="C2356" s="1" t="str">
        <f t="shared" si="1166"/>
        <v>本科</v>
      </c>
      <c r="D2356" s="1" t="str">
        <f>"20200701"</f>
        <v>20200701</v>
      </c>
      <c r="E2356" s="1" t="str">
        <f>"郑州商学院"</f>
        <v>郑州商学院</v>
      </c>
      <c r="F2356" s="1" t="str">
        <f>"电气工程及其自动化"</f>
        <v>电气工程及其自动化</v>
      </c>
      <c r="G2356" s="1" t="str">
        <f>"河南省汝州市钟楼街道启德隆花园"</f>
        <v>河南省汝州市钟楼街道启德隆花园</v>
      </c>
      <c r="H2356" s="1" t="str">
        <f t="shared" si="1165"/>
        <v>无</v>
      </c>
      <c r="I2356" s="1" t="str">
        <f>"201509-201807在黄河水利职业技术学院电气自动化系发电厂及电力系统专业全日制就读
201809-202007在郑州商学院信息与机电工程学院电气工程及其自动化专业全日制就读
202007-202012在河南省汝州市待业
202012-202208在中国黄金集团第三工程有限公司房建部任职技术员岗位
202208-至今在河南省汝州市待业"</f>
        <v>201509-201807在黄河水利职业技术学院电气自动化系发电厂及电力系统专业全日制就读
201809-202007在郑州商学院信息与机电工程学院电气工程及其自动化专业全日制就读
202007-202012在河南省汝州市待业
202012-202208在中国黄金集团第三工程有限公司房建部任职技术员岗位
202208-至今在河南省汝州市待业</v>
      </c>
    </row>
    <row r="2357" spans="1:9">
      <c r="A2357" s="1" t="str">
        <f>"411330199805122033"</f>
        <v>411330199805122033</v>
      </c>
      <c r="B2357" s="1" t="str">
        <f t="shared" si="1167"/>
        <v>群众</v>
      </c>
      <c r="C2357" s="1" t="str">
        <f t="shared" ref="C2357:C2362" si="1168">"专科"</f>
        <v>专科</v>
      </c>
      <c r="D2357" s="1" t="str">
        <f>"20210120"</f>
        <v>20210120</v>
      </c>
      <c r="E2357" s="1" t="str">
        <f>"国家开放大学"</f>
        <v>国家开放大学</v>
      </c>
      <c r="F2357" s="1" t="str">
        <f>"工商企业管理"</f>
        <v>工商企业管理</v>
      </c>
      <c r="G2357" s="1" t="str">
        <f>"河南省南阳市西峡县北堂村王营组"</f>
        <v>河南省南阳市西峡县北堂村王营组</v>
      </c>
      <c r="H2357" s="1" t="str">
        <f t="shared" si="1165"/>
        <v>无</v>
      </c>
      <c r="I2357" s="1" t="str">
        <f>"20180901-20210120  国家开放大学24105院系工商企业管理专业就读
开放教育(非全日制）"</f>
        <v>20180901-20210120  国家开放大学24105院系工商企业管理专业就读
开放教育(非全日制）</v>
      </c>
    </row>
    <row r="2358" ht="81" spans="1:9">
      <c r="A2358" s="1" t="str">
        <f>"41282519910706251X"</f>
        <v>41282519910706251X</v>
      </c>
      <c r="B2358" s="1" t="str">
        <f>"中共党员"</f>
        <v>中共党员</v>
      </c>
      <c r="C2358" s="1" t="str">
        <f t="shared" si="1166"/>
        <v>本科</v>
      </c>
      <c r="D2358" s="1" t="str">
        <f>"20201230"</f>
        <v>20201230</v>
      </c>
      <c r="E2358" s="1" t="str">
        <f>"广州大学"</f>
        <v>广州大学</v>
      </c>
      <c r="F2358" s="1" t="str">
        <f>"会展管理"</f>
        <v>会展管理</v>
      </c>
      <c r="G2358" s="1" t="str">
        <f>"驻马店市上蔡县洙湖镇第一初级中学"</f>
        <v>驻马店市上蔡县洙湖镇第一初级中学</v>
      </c>
      <c r="H2358" s="1" t="str">
        <f t="shared" si="1165"/>
        <v>无</v>
      </c>
      <c r="I2358" s="3" t="s">
        <v>247</v>
      </c>
    </row>
    <row r="2359" ht="54" spans="1:9">
      <c r="A2359" s="1" t="str">
        <f>"411330199707153143"</f>
        <v>411330199707153143</v>
      </c>
      <c r="B2359" s="1" t="str">
        <f t="shared" si="1167"/>
        <v>群众</v>
      </c>
      <c r="C2359" s="1" t="str">
        <f t="shared" si="1166"/>
        <v>本科</v>
      </c>
      <c r="D2359" s="1" t="str">
        <f>"20200701"</f>
        <v>20200701</v>
      </c>
      <c r="E2359" s="1" t="str">
        <f>"郑州工业应用技术学院"</f>
        <v>郑州工业应用技术学院</v>
      </c>
      <c r="F2359" s="1" t="str">
        <f>"土木工程"</f>
        <v>土木工程</v>
      </c>
      <c r="G2359" s="1" t="str">
        <f>"河南省西峡县重阳镇"</f>
        <v>河南省西峡县重阳镇</v>
      </c>
      <c r="H2359" s="1" t="str">
        <f>"助理工程师、公路水运试验检测员"</f>
        <v>助理工程师、公路水运试验检测员</v>
      </c>
      <c r="I2359" s="3" t="s">
        <v>248</v>
      </c>
    </row>
    <row r="2360" spans="1:9">
      <c r="A2360" s="1" t="str">
        <f>"411326200312224411"</f>
        <v>411326200312224411</v>
      </c>
      <c r="B2360" s="1" t="str">
        <f t="shared" ref="B2360:B2365" si="1169">"中共党员"</f>
        <v>中共党员</v>
      </c>
      <c r="C2360" s="1" t="str">
        <f t="shared" si="1166"/>
        <v>本科</v>
      </c>
      <c r="D2360" s="1" t="str">
        <f>"2025-06-01"</f>
        <v>2025-06-01</v>
      </c>
      <c r="E2360" s="1" t="str">
        <f>"河南工程学院"</f>
        <v>河南工程学院</v>
      </c>
      <c r="F2360" s="1" t="str">
        <f>"金融工程"</f>
        <v>金融工程</v>
      </c>
      <c r="G2360" s="1" t="str">
        <f>"河南省南阳市南召县城郊乡南外六区33号"</f>
        <v>河南省南阳市南召县城郊乡南外六区33号</v>
      </c>
      <c r="H2360" s="1" t="str">
        <f t="shared" ref="H2360:H2370" si="1170">"无"</f>
        <v>无</v>
      </c>
      <c r="I2360" s="1" t="str">
        <f>"202109-202506 河南工程学院 经济贸易学院 金融工程专业就读 全日制"</f>
        <v>202109-202506 河南工程学院 经济贸易学院 金融工程专业就读 全日制</v>
      </c>
    </row>
    <row r="2361" spans="1:9">
      <c r="A2361" s="1" t="str">
        <f>"411330200011023231"</f>
        <v>411330200011023231</v>
      </c>
      <c r="B2361" s="1" t="str">
        <f>"群众"</f>
        <v>群众</v>
      </c>
      <c r="C2361" s="1" t="str">
        <f t="shared" si="1168"/>
        <v>专科</v>
      </c>
      <c r="D2361" s="1" t="str">
        <f>"20220701"</f>
        <v>20220701</v>
      </c>
      <c r="E2361" s="1" t="str">
        <f>"河南机电职业学院"</f>
        <v>河南机电职业学院</v>
      </c>
      <c r="F2361" s="1" t="str">
        <f>"环境艺术设计"</f>
        <v>环境艺术设计</v>
      </c>
      <c r="G2361" s="1" t="str">
        <f>"河南省南阳市"</f>
        <v>河南省南阳市</v>
      </c>
      <c r="H2361" s="1" t="str">
        <f t="shared" si="1170"/>
        <v>无</v>
      </c>
      <c r="I2361" s="1" t="str">
        <f>"201609-201907就读于桐柏县第一高级中学
201909-202207就读于河南机电职业学院
202207至今待业"</f>
        <v>201609-201907就读于桐柏县第一高级中学
201909-202207就读于河南机电职业学院
202207至今待业</v>
      </c>
    </row>
    <row r="2362" spans="1:9">
      <c r="A2362" s="1" t="str">
        <f>"420881200011275840"</f>
        <v>420881200011275840</v>
      </c>
      <c r="B2362" s="1" t="str">
        <f t="shared" ref="B2362:B2366" si="1171">"共青团员"</f>
        <v>共青团员</v>
      </c>
      <c r="C2362" s="1" t="str">
        <f t="shared" si="1168"/>
        <v>专科</v>
      </c>
      <c r="D2362" s="1" t="str">
        <f>"2022年7月1号"</f>
        <v>2022年7月1号</v>
      </c>
      <c r="E2362" s="1" t="str">
        <f>"河南检察职业学院"</f>
        <v>河南检察职业学院</v>
      </c>
      <c r="F2362" s="1" t="str">
        <f>"会计学"</f>
        <v>会计学</v>
      </c>
      <c r="G2362" s="1" t="str">
        <f>"河南省南阳市淅川县西湾社区"</f>
        <v>河南省南阳市淅川县西湾社区</v>
      </c>
      <c r="H2362" s="1" t="str">
        <f t="shared" si="1170"/>
        <v>无</v>
      </c>
      <c r="I2362" s="1" t="str">
        <f>"201909—202207 河南检察职业学院就读
202207—202311 待业
202312—202507 阳光财产保险有限公司就职"</f>
        <v>201909—202207 河南检察职业学院就读
202207—202311 待业
202312—202507 阳光财产保险有限公司就职</v>
      </c>
    </row>
    <row r="2363" spans="1:9">
      <c r="A2363" s="1" t="str">
        <f>"410324199902077520"</f>
        <v>410324199902077520</v>
      </c>
      <c r="B2363" s="1" t="str">
        <f t="shared" si="1171"/>
        <v>共青团员</v>
      </c>
      <c r="C2363" s="1" t="str">
        <f t="shared" ref="C2363:C2369" si="1172">"本科"</f>
        <v>本科</v>
      </c>
      <c r="D2363" s="1" t="str">
        <f>"20240701"</f>
        <v>20240701</v>
      </c>
      <c r="E2363" s="1" t="str">
        <f>"中原科技学院"</f>
        <v>中原科技学院</v>
      </c>
      <c r="F2363" s="1" t="str">
        <f>"小学教育"</f>
        <v>小学教育</v>
      </c>
      <c r="G2363" s="1" t="str">
        <f>"河南省洛阳市栾川县七里坪"</f>
        <v>河南省洛阳市栾川县七里坪</v>
      </c>
      <c r="H2363" s="1" t="str">
        <f t="shared" si="1170"/>
        <v>无</v>
      </c>
      <c r="I2363" s="1" t="str">
        <f>"201909—202207信阳职业技术学院
202209—202407中原科技学院"</f>
        <v>201909—202207信阳职业技术学院
202209—202407中原科技学院</v>
      </c>
    </row>
    <row r="2364" spans="1:9">
      <c r="A2364" s="1" t="str">
        <f>"410324199907161430"</f>
        <v>410324199907161430</v>
      </c>
      <c r="B2364" s="1" t="str">
        <f t="shared" si="1169"/>
        <v>中共党员</v>
      </c>
      <c r="C2364" s="1" t="str">
        <f t="shared" si="1172"/>
        <v>本科</v>
      </c>
      <c r="D2364" s="1" t="str">
        <f>"20210701"</f>
        <v>20210701</v>
      </c>
      <c r="E2364" s="1" t="str">
        <f>"信阳师范学院"</f>
        <v>信阳师范学院</v>
      </c>
      <c r="F2364" s="1" t="str">
        <f>"旅游管理"</f>
        <v>旅游管理</v>
      </c>
      <c r="G2364" s="1" t="str">
        <f>"河南省洛阳市栾川县南苑新村"</f>
        <v>河南省洛阳市栾川县南苑新村</v>
      </c>
      <c r="H2364" s="1" t="str">
        <f t="shared" si="1170"/>
        <v>无</v>
      </c>
      <c r="I2364" s="1" t="str">
        <f>"2017-2021信阳师范学院旅游管理专业就读，是全日制
"</f>
        <v>2017-2021信阳师范学院旅游管理专业就读，是全日制
</v>
      </c>
    </row>
    <row r="2365" spans="1:9">
      <c r="A2365" s="1" t="str">
        <f>"411282200005040327"</f>
        <v>411282200005040327</v>
      </c>
      <c r="B2365" s="1" t="str">
        <f t="shared" si="1169"/>
        <v>中共党员</v>
      </c>
      <c r="C2365" s="1" t="str">
        <f t="shared" si="1172"/>
        <v>本科</v>
      </c>
      <c r="D2365" s="1" t="str">
        <f>"20230701"</f>
        <v>20230701</v>
      </c>
      <c r="E2365" s="1" t="str">
        <f>"郑州科技学院"</f>
        <v>郑州科技学院</v>
      </c>
      <c r="F2365" s="1" t="str">
        <f>"环境设计"</f>
        <v>环境设计</v>
      </c>
      <c r="G2365" s="1" t="str">
        <f>"河南省灵宝市企业委小区"</f>
        <v>河南省灵宝市企业委小区</v>
      </c>
      <c r="H2365" s="1" t="str">
        <f t="shared" si="1170"/>
        <v>无</v>
      </c>
      <c r="I2365" s="1" t="str">
        <f>"2019.09－2023.06郑州科技学院艺术学院环境设计专业就读，全日制学历；2023.07—现在在家待业。"</f>
        <v>2019.09－2023.06郑州科技学院艺术学院环境设计专业就读，全日制学历；2023.07—现在在家待业。</v>
      </c>
    </row>
    <row r="2366" spans="1:9">
      <c r="A2366" s="1" t="str">
        <f>"411327200010200023"</f>
        <v>411327200010200023</v>
      </c>
      <c r="B2366" s="1" t="str">
        <f t="shared" si="1171"/>
        <v>共青团员</v>
      </c>
      <c r="C2366" s="1" t="str">
        <f t="shared" si="1172"/>
        <v>本科</v>
      </c>
      <c r="D2366" s="1" t="str">
        <f>"2022-06-30"</f>
        <v>2022-06-30</v>
      </c>
      <c r="E2366" s="1" t="str">
        <f>"海南大学"</f>
        <v>海南大学</v>
      </c>
      <c r="F2366" s="1" t="str">
        <f>"土地资源管理"</f>
        <v>土地资源管理</v>
      </c>
      <c r="G2366" s="1" t="str">
        <f>"河南省南阳市内乡县林场小区"</f>
        <v>河南省南阳市内乡县林场小区</v>
      </c>
      <c r="H2366" s="1" t="str">
        <f t="shared" si="1170"/>
        <v>无</v>
      </c>
      <c r="I2366" s="1" t="str">
        <f>"个人简历：20180901-20220630海南大学公共管理学院土地资源管理专业就读 20220630-20240301待业20240301至今 南阳淅减有限公司职工"</f>
        <v>个人简历：20180901-20220630海南大学公共管理学院土地资源管理专业就读 20220630-20240301待业20240301至今 南阳淅减有限公司职工</v>
      </c>
    </row>
    <row r="2367" spans="1:9">
      <c r="A2367" s="1" t="str">
        <f>"612401200110270336"</f>
        <v>612401200110270336</v>
      </c>
      <c r="B2367" s="1" t="str">
        <f t="shared" ref="B2367:B2369" si="1173">"群众"</f>
        <v>群众</v>
      </c>
      <c r="C2367" s="1" t="str">
        <f t="shared" si="1172"/>
        <v>本科</v>
      </c>
      <c r="D2367" s="1" t="str">
        <f>"20240628"</f>
        <v>20240628</v>
      </c>
      <c r="E2367" s="1" t="str">
        <f>"西安科技大学高新学院"</f>
        <v>西安科技大学高新学院</v>
      </c>
      <c r="F2367" s="1" t="str">
        <f>"环境设计"</f>
        <v>环境设计</v>
      </c>
      <c r="G2367" s="1" t="str">
        <f>"陕西省安康市汉滨区新城街道江南一品小区7栋4单601室"</f>
        <v>陕西省安康市汉滨区新城街道江南一品小区7栋4单601室</v>
      </c>
      <c r="H2367" s="1" t="str">
        <f t="shared" si="1170"/>
        <v>无</v>
      </c>
      <c r="I2367" s="1" t="str">
        <f>"202009-202406 西安科技大学高新学院 新传媒与艺术学院 环境设计专业就读
202406-至今 无业"</f>
        <v>202009-202406 西安科技大学高新学院 新传媒与艺术学院 环境设计专业就读
202406-至今 无业</v>
      </c>
    </row>
    <row r="2368" spans="1:9">
      <c r="A2368" s="1" t="str">
        <f>"411424199612260112"</f>
        <v>411424199612260112</v>
      </c>
      <c r="B2368" s="1" t="str">
        <f t="shared" si="1173"/>
        <v>群众</v>
      </c>
      <c r="C2368" s="1" t="str">
        <f t="shared" si="1172"/>
        <v>本科</v>
      </c>
      <c r="D2368" s="1" t="str">
        <f>"2017-07-01"</f>
        <v>2017-07-01</v>
      </c>
      <c r="E2368" s="1" t="str">
        <f>"河南城建学院"</f>
        <v>河南城建学院</v>
      </c>
      <c r="F2368" s="1" t="str">
        <f>"电子信息工程"</f>
        <v>电子信息工程</v>
      </c>
      <c r="G2368" s="1" t="str">
        <f>"河南省商丘市柘城县黄山小区"</f>
        <v>河南省商丘市柘城县黄山小区</v>
      </c>
      <c r="H2368" s="1" t="str">
        <f t="shared" si="1170"/>
        <v>无</v>
      </c>
      <c r="I2368" s="1" t="str">
        <f>"201309-201707 河南城建学院电气与控制工程学院电子信息工程专业就读 全日制；
201707至今 待业"</f>
        <v>201309-201707 河南城建学院电气与控制工程学院电子信息工程专业就读 全日制；
201707至今 待业</v>
      </c>
    </row>
    <row r="2369" spans="1:9">
      <c r="A2369" s="1" t="str">
        <f>"411327199407140027"</f>
        <v>411327199407140027</v>
      </c>
      <c r="B2369" s="1" t="str">
        <f t="shared" si="1173"/>
        <v>群众</v>
      </c>
      <c r="C2369" s="1" t="str">
        <f t="shared" si="1172"/>
        <v>本科</v>
      </c>
      <c r="D2369" s="1" t="str">
        <f>"20160701"</f>
        <v>20160701</v>
      </c>
      <c r="E2369" s="1" t="str">
        <f>"信阳师范学院华锐学院"</f>
        <v>信阳师范学院华锐学院</v>
      </c>
      <c r="F2369" s="1" t="str">
        <f>"土木工程"</f>
        <v>土木工程</v>
      </c>
      <c r="G2369" s="1" t="str">
        <f>"城关镇大成路亲子园斜对面"</f>
        <v>城关镇大成路亲子园斜对面</v>
      </c>
      <c r="H2369" s="1" t="str">
        <f t="shared" si="1170"/>
        <v>无</v>
      </c>
      <c r="I2369" s="1" t="str">
        <f>"201209-201607 信阳师范学院华锐学院 就读
201608-201707 待业
201708-201908 内乡县湍东镇初级中学 教师
201909至今 内乡县第一小学 教师"</f>
        <v>201209-201607 信阳师范学院华锐学院 就读
201608-201707 待业
201708-201908 内乡县湍东镇初级中学 教师
201909至今 内乡县第一小学 教师</v>
      </c>
    </row>
    <row r="2370" spans="1:9">
      <c r="A2370" s="1" t="str">
        <f>"411327200208233787"</f>
        <v>411327200208233787</v>
      </c>
      <c r="B2370" s="1" t="str">
        <f t="shared" ref="B2370:B2375" si="1174">"共青团员"</f>
        <v>共青团员</v>
      </c>
      <c r="C2370" s="1" t="str">
        <f>"专科"</f>
        <v>专科</v>
      </c>
      <c r="D2370" s="1" t="str">
        <f>"20230701"</f>
        <v>20230701</v>
      </c>
      <c r="E2370" s="1" t="str">
        <f>"安阳幼儿师范高等专科学校"</f>
        <v>安阳幼儿师范高等专科学校</v>
      </c>
      <c r="F2370" s="1" t="str">
        <f>"语文教育（师范）"</f>
        <v>语文教育（师范）</v>
      </c>
      <c r="G2370" s="1" t="str">
        <f>"南阳市内乡县桃溪镇东川村"</f>
        <v>南阳市内乡县桃溪镇东川村</v>
      </c>
      <c r="H2370" s="1" t="str">
        <f t="shared" si="1170"/>
        <v>无</v>
      </c>
      <c r="I2370" s="1" t="str">
        <f>"202009-202307安阳幼儿师范高等专科学校就读，全日制
202309-202408在建筑公司就业文员
202409-202507在学校就业老师"</f>
        <v>202009-202307安阳幼儿师范高等专科学校就读，全日制
202309-202408在建筑公司就业文员
202409-202507在学校就业老师</v>
      </c>
    </row>
    <row r="2371" spans="1:9">
      <c r="A2371" s="1" t="str">
        <f>"411327200011190066"</f>
        <v>411327200011190066</v>
      </c>
      <c r="B2371" s="1" t="str">
        <f t="shared" si="1174"/>
        <v>共青团员</v>
      </c>
      <c r="C2371" s="1" t="str">
        <f t="shared" ref="C2371:C2380" si="1175">"本科"</f>
        <v>本科</v>
      </c>
      <c r="D2371" s="1" t="str">
        <f>"20220701"</f>
        <v>20220701</v>
      </c>
      <c r="E2371" s="1" t="str">
        <f>"河南农业大学"</f>
        <v>河南农业大学</v>
      </c>
      <c r="F2371" s="1" t="str">
        <f>"行政管理（农村社区管理）"</f>
        <v>行政管理（农村社区管理）</v>
      </c>
      <c r="G2371" s="1" t="str">
        <f>"河南省南阳市内乡县城关镇菊潭大街菊花井组10号"</f>
        <v>河南省南阳市内乡县城关镇菊潭大街菊花井组10号</v>
      </c>
      <c r="H2371" s="1" t="str">
        <f>"初级会计证"</f>
        <v>初级会计证</v>
      </c>
      <c r="I2371" s="1" t="str">
        <f>"201809-202207 河南农业大学 行政管理（农村社区管理）就读，全日制本科
202207-202307 在家待业
202308-至今 内乡县岞&amp;#174640;镇人民政府"</f>
        <v>201809-202207 河南农业大学 行政管理（农村社区管理）就读，全日制本科
202207-202307 在家待业
202308-至今 内乡县岞&amp;#174640;镇人民政府</v>
      </c>
    </row>
    <row r="2372" spans="1:9">
      <c r="A2372" s="1" t="str">
        <f>"411327200201230049"</f>
        <v>411327200201230049</v>
      </c>
      <c r="B2372" s="1" t="str">
        <f t="shared" ref="B2372:B2379" si="1176">"群众"</f>
        <v>群众</v>
      </c>
      <c r="C2372" s="1" t="str">
        <f t="shared" si="1175"/>
        <v>本科</v>
      </c>
      <c r="D2372" s="1" t="str">
        <f>"2023-07-01"</f>
        <v>2023-07-01</v>
      </c>
      <c r="E2372" s="1" t="str">
        <f>"河南科技学院"</f>
        <v>河南科技学院</v>
      </c>
      <c r="F2372" s="1" t="str">
        <f>"植物保护"</f>
        <v>植物保护</v>
      </c>
      <c r="G2372" s="1" t="str">
        <f>"河南省南阳市内乡县城关镇南园村"</f>
        <v>河南省南阳市内乡县城关镇南园村</v>
      </c>
      <c r="H2372" s="1" t="str">
        <f t="shared" ref="H2372:H2381" si="1177">"无"</f>
        <v>无</v>
      </c>
      <c r="I2372" s="1" t="str">
        <f>"2019年9月至2023年6月在河南科技学院资源与环境学院植物保护专业就读，全日制学历。2023年7月至2024年2月在内乡县待业。2024年3月至2025年7月在河南派斯帝赛德农业科技有限公司任职农药登记残留试验田间试验员。"</f>
        <v>2019年9月至2023年6月在河南科技学院资源与环境学院植物保护专业就读，全日制学历。2023年7月至2024年2月在内乡县待业。2024年3月至2025年7月在河南派斯帝赛德农业科技有限公司任职农药登记残留试验田间试验员。</v>
      </c>
    </row>
    <row r="2373" spans="1:9">
      <c r="A2373" s="1" t="str">
        <f>"411326200211304420"</f>
        <v>411326200211304420</v>
      </c>
      <c r="B2373" s="1" t="str">
        <f>"中共党员"</f>
        <v>中共党员</v>
      </c>
      <c r="C2373" s="1" t="str">
        <f>"专科"</f>
        <v>专科</v>
      </c>
      <c r="D2373" s="1" t="str">
        <f>"2023.07"</f>
        <v>2023.07</v>
      </c>
      <c r="E2373" s="1" t="str">
        <f>"信阳职业技术学院"</f>
        <v>信阳职业技术学院</v>
      </c>
      <c r="F2373" s="1" t="str">
        <f>"语文教育"</f>
        <v>语文教育</v>
      </c>
      <c r="G2373" s="1" t="str">
        <f>"河南省南阳市南召县白土岗镇闫楼村"</f>
        <v>河南省南阳市南召县白土岗镇闫楼村</v>
      </c>
      <c r="H2373" s="1" t="str">
        <f t="shared" si="1177"/>
        <v>无</v>
      </c>
      <c r="I2373" s="1" t="str">
        <f>"202009-202306 信阳职业技术学院语文教育专业就读，全日制学历；
2023.06-至今 南河店镇网格员"</f>
        <v>202009-202306 信阳职业技术学院语文教育专业就读，全日制学历；
2023.06-至今 南河店镇网格员</v>
      </c>
    </row>
    <row r="2374" spans="1:9">
      <c r="A2374" s="1" t="str">
        <f>"411327199712103732"</f>
        <v>411327199712103732</v>
      </c>
      <c r="B2374" s="1" t="str">
        <f t="shared" si="1176"/>
        <v>群众</v>
      </c>
      <c r="C2374" s="1" t="str">
        <f t="shared" si="1175"/>
        <v>本科</v>
      </c>
      <c r="D2374" s="1" t="str">
        <f>"20210701"</f>
        <v>20210701</v>
      </c>
      <c r="E2374" s="1" t="str">
        <f>"郑州商学院"</f>
        <v>郑州商学院</v>
      </c>
      <c r="F2374" s="1" t="str">
        <f>"计算机科学与技术"</f>
        <v>计算机科学与技术</v>
      </c>
      <c r="G2374" s="1" t="str">
        <f>"南阳市内乡县湍东镇六棵松三期"</f>
        <v>南阳市内乡县湍东镇六棵松三期</v>
      </c>
      <c r="H2374" s="1" t="str">
        <f t="shared" si="1177"/>
        <v>无</v>
      </c>
      <c r="I2374" s="1" t="str">
        <f>"201709-202107 郑州商学院计算机科学与技术专业就读  全日制
202110-202507 内乡县复兴学校任教师"</f>
        <v>201709-202107 郑州商学院计算机科学与技术专业就读  全日制
202110-202507 内乡县复兴学校任教师</v>
      </c>
    </row>
    <row r="2375" spans="1:9">
      <c r="A2375" s="1" t="str">
        <f>"411522200211293317"</f>
        <v>411522200211293317</v>
      </c>
      <c r="B2375" s="1" t="str">
        <f t="shared" si="1174"/>
        <v>共青团员</v>
      </c>
      <c r="C2375" s="1" t="str">
        <f t="shared" si="1175"/>
        <v>本科</v>
      </c>
      <c r="D2375" s="1" t="str">
        <f>"20241230"</f>
        <v>20241230</v>
      </c>
      <c r="E2375" s="1" t="str">
        <f>"河南师范大学"</f>
        <v>河南师范大学</v>
      </c>
      <c r="F2375" s="1" t="str">
        <f>"小学教育"</f>
        <v>小学教育</v>
      </c>
      <c r="G2375" s="1" t="str">
        <f>"河南省信阳市罗山县南大桥南50m金虎家私楼上503"</f>
        <v>河南省信阳市罗山县南大桥南50m金虎家私楼上503</v>
      </c>
      <c r="H2375" s="1" t="str">
        <f t="shared" si="1177"/>
        <v>无</v>
      </c>
      <c r="I2375" s="1" t="str">
        <f>"202009-202307 驻马店幼儿师范高等专科学校就读 是全日制学历
202309-202412 河南师范大学  不是全日制学历"</f>
        <v>202009-202307 驻马店幼儿师范高等专科学校就读 是全日制学历
202309-202412 河南师范大学  不是全日制学历</v>
      </c>
    </row>
    <row r="2376" spans="1:9">
      <c r="A2376" s="1" t="str">
        <f>"420682199510310014"</f>
        <v>420682199510310014</v>
      </c>
      <c r="B2376" s="1" t="str">
        <f t="shared" si="1176"/>
        <v>群众</v>
      </c>
      <c r="C2376" s="1" t="str">
        <f t="shared" si="1175"/>
        <v>本科</v>
      </c>
      <c r="D2376" s="1" t="str">
        <f>"20190620"</f>
        <v>20190620</v>
      </c>
      <c r="E2376" s="1" t="str">
        <f>"湖北中医药大学"</f>
        <v>湖北中医药大学</v>
      </c>
      <c r="F2376" s="1" t="str">
        <f>"药学"</f>
        <v>药学</v>
      </c>
      <c r="G2376" s="1" t="str">
        <f>"湖北省老河口市机场路7号"</f>
        <v>湖北省老河口市机场路7号</v>
      </c>
      <c r="H2376" s="1" t="str">
        <f t="shared" si="1177"/>
        <v>无</v>
      </c>
      <c r="I2376" s="1" t="str">
        <f>"201409-201706 湖北中医药大学高级教育学院就读全日制专科
201709-201906 湖北中医药大学药学院就读全日制本科"</f>
        <v>201409-201706 湖北中医药大学高级教育学院就读全日制专科
201709-201906 湖北中医药大学药学院就读全日制本科</v>
      </c>
    </row>
    <row r="2377" spans="1:9">
      <c r="A2377" s="1" t="str">
        <f>"410329200203269766"</f>
        <v>410329200203269766</v>
      </c>
      <c r="B2377" s="1" t="str">
        <f t="shared" si="1176"/>
        <v>群众</v>
      </c>
      <c r="C2377" s="1" t="str">
        <f t="shared" si="1175"/>
        <v>本科</v>
      </c>
      <c r="D2377" s="1" t="str">
        <f>"20250605"</f>
        <v>20250605</v>
      </c>
      <c r="E2377" s="1" t="str">
        <f>"郑州商学院"</f>
        <v>郑州商学院</v>
      </c>
      <c r="F2377" s="1" t="str">
        <f>"汉语言文学"</f>
        <v>汉语言文学</v>
      </c>
      <c r="G2377" s="1" t="str">
        <f>"河南省洛阳市伊川县彭婆镇"</f>
        <v>河南省洛阳市伊川县彭婆镇</v>
      </c>
      <c r="H2377" s="1" t="str">
        <f t="shared" si="1177"/>
        <v>无</v>
      </c>
      <c r="I2377" s="1" t="str">
        <f>"202109-202506郑州商学院文学与新闻传播学院汉语言文学专业就读就读是全日制学历。"</f>
        <v>202109-202506郑州商学院文学与新闻传播学院汉语言文学专业就读就读是全日制学历。</v>
      </c>
    </row>
    <row r="2378" spans="1:9">
      <c r="A2378" s="1" t="str">
        <f>"411502200308268438"</f>
        <v>411502200308268438</v>
      </c>
      <c r="B2378" s="1" t="str">
        <f t="shared" si="1176"/>
        <v>群众</v>
      </c>
      <c r="C2378" s="1" t="str">
        <f t="shared" si="1175"/>
        <v>本科</v>
      </c>
      <c r="D2378" s="1" t="str">
        <f>"20250625"</f>
        <v>20250625</v>
      </c>
      <c r="E2378" s="1" t="str">
        <f>"河南城建学院"</f>
        <v>河南城建学院</v>
      </c>
      <c r="F2378" s="1" t="str">
        <f>"环境设计"</f>
        <v>环境设计</v>
      </c>
      <c r="G2378" s="1" t="str">
        <f>"河南省信阳市浉河区湖东街道合惠园小区"</f>
        <v>河南省信阳市浉河区湖东街道合惠园小区</v>
      </c>
      <c r="H2378" s="1" t="str">
        <f t="shared" si="1177"/>
        <v>无</v>
      </c>
      <c r="I2378" s="1" t="str">
        <f>"202109-202506 河南城建学院 艺术设计学院 环境设计专业就读 全日制"</f>
        <v>202109-202506 河南城建学院 艺术设计学院 环境设计专业就读 全日制</v>
      </c>
    </row>
    <row r="2379" spans="1:9">
      <c r="A2379" s="1" t="str">
        <f>"411303199904221839"</f>
        <v>411303199904221839</v>
      </c>
      <c r="B2379" s="1" t="str">
        <f t="shared" si="1176"/>
        <v>群众</v>
      </c>
      <c r="C2379" s="1" t="str">
        <f t="shared" si="1175"/>
        <v>本科</v>
      </c>
      <c r="D2379" s="1" t="str">
        <f>"2023.01"</f>
        <v>2023.01</v>
      </c>
      <c r="E2379" s="1" t="str">
        <f>"重庆大学"</f>
        <v>重庆大学</v>
      </c>
      <c r="F2379" s="1" t="str">
        <f>"土木工程"</f>
        <v>土木工程</v>
      </c>
      <c r="G2379" s="1" t="str">
        <f>"河南省卧龙区麒麟路27号"</f>
        <v>河南省卧龙区麒麟路27号</v>
      </c>
      <c r="H2379" s="1" t="str">
        <f t="shared" si="1177"/>
        <v>无</v>
      </c>
      <c r="I2379" s="1" t="str">
        <f>"2017.09——2020.07河南省测绘职业学院（摄影测量与遥感专业）全日制
2020.09——2023.01重启大学（土木工程）"</f>
        <v>2017.09——2020.07河南省测绘职业学院（摄影测量与遥感专业）全日制
2020.09——2023.01重启大学（土木工程）</v>
      </c>
    </row>
    <row r="2380" spans="1:9">
      <c r="A2380" s="1" t="str">
        <f>"411330200010181537"</f>
        <v>411330200010181537</v>
      </c>
      <c r="B2380" s="1" t="str">
        <f t="shared" ref="B2380:B2383" si="1178">"中共党员"</f>
        <v>中共党员</v>
      </c>
      <c r="C2380" s="1" t="str">
        <f t="shared" si="1175"/>
        <v>本科</v>
      </c>
      <c r="D2380" s="1" t="str">
        <f>"20240701"</f>
        <v>20240701</v>
      </c>
      <c r="E2380" s="1" t="str">
        <f>"河南警察学院"</f>
        <v>河南警察学院</v>
      </c>
      <c r="F2380" s="1" t="str">
        <f>"法学（警务辅助方向）"</f>
        <v>法学（警务辅助方向）</v>
      </c>
      <c r="G2380" s="1" t="str">
        <f>"河南省桐柏县埠江镇王庄42号"</f>
        <v>河南省桐柏县埠江镇王庄42号</v>
      </c>
      <c r="H2380" s="1" t="str">
        <f t="shared" si="1177"/>
        <v>无</v>
      </c>
      <c r="I2380" s="1" t="str">
        <f>"201909-202207河南司法警官职业学院司法警务专业就读
202209-202407河南警察学院法学（警务辅助方向）专业就读"</f>
        <v>201909-202207河南司法警官职业学院司法警务专业就读
202209-202407河南警察学院法学（警务辅助方向）专业就读</v>
      </c>
    </row>
    <row r="2381" spans="1:9">
      <c r="A2381" s="1" t="str">
        <f>"411234200409070521"</f>
        <v>411234200409070521</v>
      </c>
      <c r="B2381" s="1" t="str">
        <f t="shared" ref="B2381:B2386" si="1179">"群众"</f>
        <v>群众</v>
      </c>
      <c r="C2381" s="1" t="str">
        <f>"专科"</f>
        <v>专科</v>
      </c>
      <c r="D2381" s="1" t="str">
        <f>"2005"</f>
        <v>2005</v>
      </c>
      <c r="E2381" s="1" t="str">
        <f>"河南物流职业学院"</f>
        <v>河南物流职业学院</v>
      </c>
      <c r="F2381" s="1" t="str">
        <f>"计算机应用技术"</f>
        <v>计算机应用技术</v>
      </c>
      <c r="G2381" s="1" t="str">
        <f>"河南省南阳市镇平县城郊乡尧庄村"</f>
        <v>河南省南阳市镇平县城郊乡尧庄村</v>
      </c>
      <c r="H2381" s="1" t="str">
        <f t="shared" si="1177"/>
        <v>无</v>
      </c>
      <c r="I2381" s="1" t="str">
        <f>"姓名  刘亚楠
性别 女
民族 汉"</f>
        <v>姓名  刘亚楠
性别 女
民族 汉</v>
      </c>
    </row>
    <row r="2382" spans="1:9">
      <c r="A2382" s="1" t="str">
        <f>"411327199901050035"</f>
        <v>411327199901050035</v>
      </c>
      <c r="B2382" s="1" t="str">
        <f t="shared" si="1178"/>
        <v>中共党员</v>
      </c>
      <c r="C2382" s="1" t="str">
        <f t="shared" ref="C2382:C2386" si="1180">"本科"</f>
        <v>本科</v>
      </c>
      <c r="D2382" s="1" t="str">
        <f>"2022-07-01"</f>
        <v>2022-07-01</v>
      </c>
      <c r="E2382" s="1" t="str">
        <f>"黄河科技学院"</f>
        <v>黄河科技学院</v>
      </c>
      <c r="F2382" s="1" t="str">
        <f>"建筑学"</f>
        <v>建筑学</v>
      </c>
      <c r="G2382" s="1" t="str">
        <f>"内乡县县衙西路"</f>
        <v>内乡县县衙西路</v>
      </c>
      <c r="H2382" s="1" t="str">
        <f>"CET4 CET6"</f>
        <v>CET4 CET6</v>
      </c>
      <c r="I2382" s="1" t="str">
        <f>"2010.09.01——2015.07.01 内乡第一小学
2013.09.01——2015.07.01 内乡初中
2015.09.01——2017.07.01 内乡高中
2017.09.01——2022.07.01 黄河科技学院
2024.12.01——至今 内乡县消防大队"</f>
        <v>2010.09.01——2015.07.01 内乡第一小学
2013.09.01——2015.07.01 内乡初中
2015.09.01——2017.07.01 内乡高中
2017.09.01——2022.07.01 黄河科技学院
2024.12.01——至今 内乡县消防大队</v>
      </c>
    </row>
    <row r="2383" spans="1:9">
      <c r="A2383" s="1" t="str">
        <f>"370982199205314395"</f>
        <v>370982199205314395</v>
      </c>
      <c r="B2383" s="1" t="str">
        <f t="shared" si="1178"/>
        <v>中共党员</v>
      </c>
      <c r="C2383" s="1" t="str">
        <f t="shared" si="1180"/>
        <v>本科</v>
      </c>
      <c r="D2383" s="1" t="str">
        <f>"20180817"</f>
        <v>20180817</v>
      </c>
      <c r="E2383" s="1" t="str">
        <f>"釜山外国语大学"</f>
        <v>釜山外国语大学</v>
      </c>
      <c r="F2383" s="1" t="str">
        <f>"会计税务行政学"</f>
        <v>会计税务行政学</v>
      </c>
      <c r="G2383" s="1" t="str">
        <f>"山东省新泰市新汶办事处新汶大街52号3号楼3单元206室"</f>
        <v>山东省新泰市新汶办事处新汶大街52号3号楼3单元206室</v>
      </c>
      <c r="H2383" s="1" t="str">
        <f t="shared" ref="H2383:H2387" si="1181">"无"</f>
        <v>无</v>
      </c>
      <c r="I2383" s="1" t="s">
        <v>249</v>
      </c>
    </row>
    <row r="2384" spans="1:9">
      <c r="A2384" s="1" t="str">
        <f>"411327199212062030"</f>
        <v>411327199212062030</v>
      </c>
      <c r="B2384" s="1" t="str">
        <f t="shared" si="1179"/>
        <v>群众</v>
      </c>
      <c r="C2384" s="1" t="str">
        <f t="shared" si="1180"/>
        <v>本科</v>
      </c>
      <c r="D2384" s="1" t="str">
        <f>"20150701"</f>
        <v>20150701</v>
      </c>
      <c r="E2384" s="1" t="str">
        <f>"辽宁工程技术大学"</f>
        <v>辽宁工程技术大学</v>
      </c>
      <c r="F2384" s="1" t="str">
        <f>"安全工程"</f>
        <v>安全工程</v>
      </c>
      <c r="G2384" s="1" t="str">
        <f>"河南省南阳市内乡县师岗镇"</f>
        <v>河南省南阳市内乡县师岗镇</v>
      </c>
      <c r="H2384" s="1" t="str">
        <f>"中级职称，注册安全工程师证"</f>
        <v>中级职称，注册安全工程师证</v>
      </c>
      <c r="I2384" s="1" t="str">
        <f>"2015年7月至2018年7月，中铁十九局广州工程有限公司职员；
2018年7月至2018年9月，河南荣昇安全工程师事务所职员；
2018年9月至2020年12月，中建三局二公司职员；
2020年12月至2021年11月，云南建设基础设施投资股份有限公司职员；
2021年12月-2022年4月，待业；
2022年5月至2022年9月，中建科工河南公司职员；
2022年10月至2023年7月，待业；
2023年7月迄今，邓州市建设工程安全消防技术中心科员。"</f>
        <v>2015年7月至2018年7月，中铁十九局广州工程有限公司职员；
2018年7月至2018年9月，河南荣昇安全工程师事务所职员；
2018年9月至2020年12月，中建三局二公司职员；
2020年12月至2021年11月，云南建设基础设施投资股份有限公司职员；
2021年12月-2022年4月，待业；
2022年5月至2022年9月，中建科工河南公司职员；
2022年10月至2023年7月，待业；
2023年7月迄今，邓州市建设工程安全消防技术中心科员。</v>
      </c>
    </row>
    <row r="2385" spans="1:9">
      <c r="A2385" s="1" t="str">
        <f>"411329200302060029"</f>
        <v>411329200302060029</v>
      </c>
      <c r="B2385" s="1" t="str">
        <f>"共青团员"</f>
        <v>共青团员</v>
      </c>
      <c r="C2385" s="1" t="str">
        <f t="shared" si="1180"/>
        <v>本科</v>
      </c>
      <c r="D2385" s="1" t="str">
        <f>"2024.07"</f>
        <v>2024.07</v>
      </c>
      <c r="E2385" s="1" t="str">
        <f>"平顶山学院"</f>
        <v>平顶山学院</v>
      </c>
      <c r="F2385" s="1" t="str">
        <f>"汉语言文学"</f>
        <v>汉语言文学</v>
      </c>
      <c r="G2385" s="1" t="str">
        <f>"河南省社旗县赊店镇"</f>
        <v>河南省社旗县赊店镇</v>
      </c>
      <c r="H2385" s="1" t="str">
        <f t="shared" si="1181"/>
        <v>无</v>
      </c>
      <c r="I2385" s="1" t="str">
        <f>"202009-202406 平顶山学院文学院 汉语言文学专业就读，全日制学历
202406至今 待业"</f>
        <v>202009-202406 平顶山学院文学院 汉语言文学专业就读，全日制学历
202406至今 待业</v>
      </c>
    </row>
    <row r="2386" spans="1:9">
      <c r="A2386" s="1" t="str">
        <f>"41132719900603491X"</f>
        <v>41132719900603491X</v>
      </c>
      <c r="B2386" s="1" t="str">
        <f t="shared" si="1179"/>
        <v>群众</v>
      </c>
      <c r="C2386" s="1" t="str">
        <f t="shared" si="1180"/>
        <v>本科</v>
      </c>
      <c r="D2386" s="1" t="str">
        <f>"20160701"</f>
        <v>20160701</v>
      </c>
      <c r="E2386" s="1" t="str">
        <f>"南阳师范学院"</f>
        <v>南阳师范学院</v>
      </c>
      <c r="F2386" s="1" t="str">
        <f>"土木工程"</f>
        <v>土木工程</v>
      </c>
      <c r="G2386" s="1" t="str">
        <f>"河南省南阳市内乡县灌涨镇郭营村"</f>
        <v>河南省南阳市内乡县灌涨镇郭营村</v>
      </c>
      <c r="H2386" s="1" t="str">
        <f t="shared" si="1181"/>
        <v>无</v>
      </c>
      <c r="I2386" s="1" t="str">
        <f>"201409-201607 南阳师范学院就读土木工程专业（全日制）"</f>
        <v>201409-201607 南阳师范学院就读土木工程专业（全日制）</v>
      </c>
    </row>
    <row r="2387" spans="1:9">
      <c r="A2387" s="1" t="str">
        <f>"411326200201110438"</f>
        <v>411326200201110438</v>
      </c>
      <c r="B2387" s="1" t="str">
        <f>"共青团员"</f>
        <v>共青团员</v>
      </c>
      <c r="C2387" s="1" t="str">
        <f t="shared" ref="C2387:C2389" si="1182">"专科"</f>
        <v>专科</v>
      </c>
      <c r="D2387" s="1" t="str">
        <f>"2023.7"</f>
        <v>2023.7</v>
      </c>
      <c r="E2387" s="1" t="str">
        <f>"河南轻工职业学院"</f>
        <v>河南轻工职业学院</v>
      </c>
      <c r="F2387" s="1" t="str">
        <f>"会计"</f>
        <v>会计</v>
      </c>
      <c r="G2387" s="1" t="str">
        <f>"河南省南阳市南召县城关镇中华社区南白沙岭2号"</f>
        <v>河南省南阳市南召县城关镇中华社区南白沙岭2号</v>
      </c>
      <c r="H2387" s="1" t="str">
        <f t="shared" si="1181"/>
        <v>无</v>
      </c>
      <c r="I2387" s="1" t="str">
        <f>"2017.9.01--2020.7.01  红阳高中
2020.9.01--2023.7.01  河南轻工职业学院会计专业
2023.7.01--至今       待业"</f>
        <v>2017.9.01--2020.7.01  红阳高中
2020.9.01--2023.7.01  河南轻工职业学院会计专业
2023.7.01--至今       待业</v>
      </c>
    </row>
    <row r="2388" spans="1:9">
      <c r="A2388" s="1" t="str">
        <f>"41132720000310392X"</f>
        <v>41132720000310392X</v>
      </c>
      <c r="B2388" s="1" t="str">
        <f t="shared" ref="B2388:B2391" si="1183">"群众"</f>
        <v>群众</v>
      </c>
      <c r="C2388" s="1" t="str">
        <f t="shared" si="1182"/>
        <v>专科</v>
      </c>
      <c r="D2388" s="1" t="str">
        <f>"20220701"</f>
        <v>20220701</v>
      </c>
      <c r="E2388" s="1" t="str">
        <f>"许昌学院"</f>
        <v>许昌学院</v>
      </c>
      <c r="F2388" s="1" t="str">
        <f>"护理"</f>
        <v>护理</v>
      </c>
      <c r="G2388" s="1" t="str">
        <f>"河南省南阳市内乡县乍曲乡南庄村高下47号"</f>
        <v>河南省南阳市内乡县乍曲乡南庄村高下47号</v>
      </c>
      <c r="H2388" s="1" t="str">
        <f>"初级护士资格证"</f>
        <v>初级护士资格证</v>
      </c>
      <c r="I2388" s="1" t="str">
        <f>"201909-202206 在许昌学院医学院护理专业就读，是全日制学历
202305-202507 在新乡医学院三全学院护理学专业就读，非全日制学历
202207-202507在华兰生物单采血浆站工作"</f>
        <v>201909-202206 在许昌学院医学院护理专业就读，是全日制学历
202305-202507 在新乡医学院三全学院护理学专业就读，非全日制学历
202207-202507在华兰生物单采血浆站工作</v>
      </c>
    </row>
    <row r="2389" spans="1:9">
      <c r="A2389" s="1" t="str">
        <f>"411327199708181519"</f>
        <v>411327199708181519</v>
      </c>
      <c r="B2389" s="1" t="str">
        <f t="shared" si="1183"/>
        <v>群众</v>
      </c>
      <c r="C2389" s="1" t="str">
        <f t="shared" si="1182"/>
        <v>专科</v>
      </c>
      <c r="D2389" s="1" t="str">
        <f>"20240701"</f>
        <v>20240701</v>
      </c>
      <c r="E2389" s="1" t="str">
        <f>"河南工业大学"</f>
        <v>河南工业大学</v>
      </c>
      <c r="F2389" s="1" t="str">
        <f>"大数据与会计"</f>
        <v>大数据与会计</v>
      </c>
      <c r="G2389" s="1" t="str">
        <f>"河南省内乡县湍东镇茶庵村"</f>
        <v>河南省内乡县湍东镇茶庵村</v>
      </c>
      <c r="H2389" s="1" t="str">
        <f t="shared" ref="H2389:H2391" si="1184">"无"</f>
        <v>无</v>
      </c>
      <c r="I2389" s="1" t="str">
        <f>"201609—至今内乡县公安局辅警
202203—202407河南工业大学大数据与会计专业函授学习"</f>
        <v>201609—至今内乡县公安局辅警
202203—202407河南工业大学大数据与会计专业函授学习</v>
      </c>
    </row>
    <row r="2390" spans="1:9">
      <c r="A2390" s="1" t="str">
        <f>"412727199608177427"</f>
        <v>412727199608177427</v>
      </c>
      <c r="B2390" s="1" t="str">
        <f>"中共党员"</f>
        <v>中共党员</v>
      </c>
      <c r="C2390" s="1" t="str">
        <f>"硕士研究生"</f>
        <v>硕士研究生</v>
      </c>
      <c r="D2390" s="1" t="str">
        <f>"20240630"</f>
        <v>20240630</v>
      </c>
      <c r="E2390" s="1" t="str">
        <f>"中国科学院大学"</f>
        <v>中国科学院大学</v>
      </c>
      <c r="F2390" s="1" t="str">
        <f>"水土保持与荒漠化防治"</f>
        <v>水土保持与荒漠化防治</v>
      </c>
      <c r="G2390" s="1" t="str">
        <f>"河南省周口市川汇区开元大道天鹏皇朝"</f>
        <v>河南省周口市川汇区开元大道天鹏皇朝</v>
      </c>
      <c r="H2390" s="1" t="str">
        <f t="shared" si="1184"/>
        <v>无</v>
      </c>
      <c r="I2390" s="1" t="str">
        <f>"201709-202106 吉林农业大学 资源与环境学院 水土保持与荒漠化防治专业 就读，全日制；
202106-202406 中国科学院大学 教育部水土保持与生态环境研究中心 水土保持与荒漠化防治专业 就读，全日制；
202406-202507 河南省周口市川汇区 待业。"</f>
        <v>201709-202106 吉林农业大学 资源与环境学院 水土保持与荒漠化防治专业 就读，全日制；
202106-202406 中国科学院大学 教育部水土保持与生态环境研究中心 水土保持与荒漠化防治专业 就读，全日制；
202406-202507 河南省周口市川汇区 待业。</v>
      </c>
    </row>
    <row r="2391" spans="1:9">
      <c r="A2391" s="1" t="str">
        <f>"41132720010225001X"</f>
        <v>41132720010225001X</v>
      </c>
      <c r="B2391" s="1" t="str">
        <f t="shared" si="1183"/>
        <v>群众</v>
      </c>
      <c r="C2391" s="1" t="str">
        <f>"专科"</f>
        <v>专科</v>
      </c>
      <c r="D2391" s="1" t="str">
        <f>"20220701"</f>
        <v>20220701</v>
      </c>
      <c r="E2391" s="1" t="str">
        <f>"郑州旅游职业学院"</f>
        <v>郑州旅游职业学院</v>
      </c>
      <c r="F2391" s="1" t="str">
        <f>"旅游管理"</f>
        <v>旅游管理</v>
      </c>
      <c r="G2391" s="1" t="str">
        <f>"内乡县城关镇"</f>
        <v>内乡县城关镇</v>
      </c>
      <c r="H2391" s="1" t="str">
        <f t="shared" si="1184"/>
        <v>无</v>
      </c>
      <c r="I2391" s="1" t="str">
        <f>"201909-202207  郑州旅游职业学院（全日制）就读
202210-202406  内乡县文广旅局（公益性岗位）
202407-至今    内乡县委机要保密局（政府购岗）"</f>
        <v>201909-202207  郑州旅游职业学院（全日制）就读
202210-202406  内乡县文广旅局（公益性岗位）
202407-至今    内乡县委机要保密局（政府购岗）</v>
      </c>
    </row>
    <row r="2392" spans="1:9">
      <c r="A2392" s="1" t="str">
        <f>"411327199504180020"</f>
        <v>411327199504180020</v>
      </c>
      <c r="B2392" s="1" t="str">
        <f>"中共党员"</f>
        <v>中共党员</v>
      </c>
      <c r="C2392" s="1" t="str">
        <f t="shared" ref="C2392:C2394" si="1185">"本科"</f>
        <v>本科</v>
      </c>
      <c r="D2392" s="1" t="str">
        <f>"20170620"</f>
        <v>20170620</v>
      </c>
      <c r="E2392" s="1" t="str">
        <f>"河南大学"</f>
        <v>河南大学</v>
      </c>
      <c r="F2392" s="1" t="str">
        <f>"土木工程"</f>
        <v>土木工程</v>
      </c>
      <c r="G2392" s="1" t="str">
        <f>"河南省南阳市内乡县城关镇西关农行大厦对面三色鸽面包房"</f>
        <v>河南省南阳市内乡县城关镇西关农行大厦对面三色鸽面包房</v>
      </c>
      <c r="H2392" s="1" t="str">
        <f>"市政公用工程中级工程师"</f>
        <v>市政公用工程中级工程师</v>
      </c>
      <c r="I2392" s="1" t="str">
        <f>"201309-201706 河南大学欧亚国际学院土木工程专业就读，全日制学历"</f>
        <v>201309-201706 河南大学欧亚国际学院土木工程专业就读，全日制学历</v>
      </c>
    </row>
    <row r="2393" spans="1:9">
      <c r="A2393" s="1" t="str">
        <f>"41132719980506201X"</f>
        <v>41132719980506201X</v>
      </c>
      <c r="B2393" s="1" t="str">
        <f>"共青团员"</f>
        <v>共青团员</v>
      </c>
      <c r="C2393" s="1" t="str">
        <f t="shared" si="1185"/>
        <v>本科</v>
      </c>
      <c r="D2393" s="1" t="str">
        <f>"20210606"</f>
        <v>20210606</v>
      </c>
      <c r="E2393" s="1" t="str">
        <f>"兰州财经大学长青学院"</f>
        <v>兰州财经大学长青学院</v>
      </c>
      <c r="F2393" s="1" t="str">
        <f>"财务管理"</f>
        <v>财务管理</v>
      </c>
      <c r="G2393" s="1" t="str">
        <f>"南阳市兰乔圣菲小区"</f>
        <v>南阳市兰乔圣菲小区</v>
      </c>
      <c r="H2393" s="1" t="str">
        <f>"会计初级资格证书"</f>
        <v>会计初级资格证书</v>
      </c>
      <c r="I2393" s="1" t="str">
        <f>"201709-202106在兰州财经大学长青学院会计系财务管理就读，是全日制本科。"</f>
        <v>201709-202106在兰州财经大学长青学院会计系财务管理就读，是全日制本科。</v>
      </c>
    </row>
    <row r="2394" spans="1:9">
      <c r="A2394" s="1" t="str">
        <f>"411327199810040640"</f>
        <v>411327199810040640</v>
      </c>
      <c r="B2394" s="1" t="str">
        <f t="shared" ref="B2394:B2398" si="1186">"群众"</f>
        <v>群众</v>
      </c>
      <c r="C2394" s="1" t="str">
        <f t="shared" si="1185"/>
        <v>本科</v>
      </c>
      <c r="D2394" s="1" t="str">
        <f>"2023-07-01"</f>
        <v>2023-07-01</v>
      </c>
      <c r="E2394" s="1" t="str">
        <f>"安阳师范学院"</f>
        <v>安阳师范学院</v>
      </c>
      <c r="F2394" s="1" t="str">
        <f>"计算机科学与技术"</f>
        <v>计算机科学与技术</v>
      </c>
      <c r="G2394" s="1" t="str">
        <f>"河南省南阳市内乡县马山口镇朱庙村"</f>
        <v>河南省南阳市内乡县马山口镇朱庙村</v>
      </c>
      <c r="H2394" s="1" t="str">
        <f t="shared" ref="H2394:H2399" si="1187">"无"</f>
        <v>无</v>
      </c>
      <c r="I2394" s="1" t="str">
        <f>"201909-202307安阳师范学院计算机与信息工程学院计算机科学与技术专业就读，全日制学历；202307-202507在河南省南阳市内乡县待业。"</f>
        <v>201909-202307安阳师范学院计算机与信息工程学院计算机科学与技术专业就读，全日制学历；202307-202507在河南省南阳市内乡县待业。</v>
      </c>
    </row>
    <row r="2395" spans="1:9">
      <c r="A2395" s="1" t="str">
        <f>"41138119910307353X"</f>
        <v>41138119910307353X</v>
      </c>
      <c r="B2395" s="1" t="str">
        <f>"中共预备党员"</f>
        <v>中共预备党员</v>
      </c>
      <c r="C2395" s="1" t="str">
        <f>"专科"</f>
        <v>专科</v>
      </c>
      <c r="D2395" s="1" t="str">
        <f>"20130131"</f>
        <v>20130131</v>
      </c>
      <c r="E2395" s="1" t="str">
        <f>"中央电视广播大学"</f>
        <v>中央电视广播大学</v>
      </c>
      <c r="F2395" s="1" t="str">
        <f>"行政管理"</f>
        <v>行政管理</v>
      </c>
      <c r="G2395" s="1" t="str">
        <f>"河南省邓州市张村镇政教路49号"</f>
        <v>河南省邓州市张村镇政教路49号</v>
      </c>
      <c r="H2395" s="1" t="str">
        <f>"计算机系统操作工三级"</f>
        <v>计算机系统操作工三级</v>
      </c>
      <c r="I2395" s="1" t="str">
        <f>"200912-201112参军入伍，20100901-20130131，中央电视广播大学就读，专业为行政管理系，因2010年在部队学习工作优异，被推荐去该学校就读，直2013年毕业，非全日制学历。"</f>
        <v>200912-201112参军入伍，20100901-20130131，中央电视广播大学就读，专业为行政管理系，因2010年在部队学习工作优异，被推荐去该学校就读，直2013年毕业，非全日制学历。</v>
      </c>
    </row>
    <row r="2396" spans="1:9">
      <c r="A2396" s="1" t="str">
        <f>"410724200104120018"</f>
        <v>410724200104120018</v>
      </c>
      <c r="B2396" s="1" t="str">
        <f>"中共党员"</f>
        <v>中共党员</v>
      </c>
      <c r="C2396" s="1" t="str">
        <f t="shared" ref="C2396:C2401" si="1188">"本科"</f>
        <v>本科</v>
      </c>
      <c r="D2396" s="1" t="str">
        <f>"20230630"</f>
        <v>20230630</v>
      </c>
      <c r="E2396" s="1" t="str">
        <f>"北方民族大学"</f>
        <v>北方民族大学</v>
      </c>
      <c r="F2396" s="1" t="str">
        <f>"旅游管理"</f>
        <v>旅游管理</v>
      </c>
      <c r="G2396" s="1" t="str">
        <f>"河南省新乡市获嘉县普罗旺世"</f>
        <v>河南省新乡市获嘉县普罗旺世</v>
      </c>
      <c r="H2396" s="1" t="str">
        <f t="shared" si="1187"/>
        <v>无</v>
      </c>
      <c r="I2396" s="1" t="str">
        <f>"201909-202306北方民族大学就读
202308-202507新疆维吾尔自治区喀什地区泽普县文化体育广播电视和旅游局（西部计划志愿者）"</f>
        <v>201909-202306北方民族大学就读
202308-202507新疆维吾尔自治区喀什地区泽普县文化体育广播电视和旅游局（西部计划志愿者）</v>
      </c>
    </row>
    <row r="2397" spans="1:9">
      <c r="A2397" s="1" t="str">
        <f>"411327199510200665"</f>
        <v>411327199510200665</v>
      </c>
      <c r="B2397" s="1" t="str">
        <f t="shared" si="1186"/>
        <v>群众</v>
      </c>
      <c r="C2397" s="1" t="str">
        <f t="shared" si="1188"/>
        <v>本科</v>
      </c>
      <c r="D2397" s="1" t="str">
        <f>"20180701"</f>
        <v>20180701</v>
      </c>
      <c r="E2397" s="1" t="str">
        <f>"郑州商学院"</f>
        <v>郑州商学院</v>
      </c>
      <c r="F2397" s="1" t="str">
        <f>"广告学"</f>
        <v>广告学</v>
      </c>
      <c r="G2397" s="1" t="str">
        <f>"河南省南阳市内乡县城关镇东风村三组"</f>
        <v>河南省南阳市内乡县城关镇东风村三组</v>
      </c>
      <c r="H2397" s="1" t="str">
        <f t="shared" si="1187"/>
        <v>无</v>
      </c>
      <c r="I2397" s="1" t="str">
        <f>"201409-201807 郑州商学院文学与新闻传播学系广告学就读，是全日制学历
201712-202205 郑州中公教育分公司
202303-202410 郑州天禧财务有限公司
202412-202507 安徽正德互联市场营销服务有限公司"</f>
        <v>201409-201807 郑州商学院文学与新闻传播学系广告学就读，是全日制学历
201712-202205 郑州中公教育分公司
202303-202410 郑州天禧财务有限公司
202412-202507 安徽正德互联市场营销服务有限公司</v>
      </c>
    </row>
    <row r="2398" spans="1:9">
      <c r="A2398" s="1" t="str">
        <f>"411327199506190011"</f>
        <v>411327199506190011</v>
      </c>
      <c r="B2398" s="1" t="str">
        <f t="shared" si="1186"/>
        <v>群众</v>
      </c>
      <c r="C2398" s="1" t="str">
        <f t="shared" ref="C2398:C2403" si="1189">"专科"</f>
        <v>专科</v>
      </c>
      <c r="D2398" s="1" t="str">
        <f>"20160701"</f>
        <v>20160701</v>
      </c>
      <c r="E2398" s="1" t="str">
        <f>"河南交通职业技术学院"</f>
        <v>河南交通职业技术学院</v>
      </c>
      <c r="F2398" s="1" t="str">
        <f>"道路桥梁工程技术"</f>
        <v>道路桥梁工程技术</v>
      </c>
      <c r="G2398" s="1" t="str">
        <f>"河南省内乡县城关镇渚阳大街481号"</f>
        <v>河南省内乡县城关镇渚阳大街481号</v>
      </c>
      <c r="H2398" s="1" t="str">
        <f t="shared" si="1187"/>
        <v>无</v>
      </c>
      <c r="I2398" s="1" t="str">
        <f>"201409-201607 在河南交通职业技术学院道路桥梁工程技术就读，是全日制学历
201509-201706 自考长沙理工大学交通土建工程，非全日制学历
201707至今 在南阳通力路桥有限公司工作"</f>
        <v>201409-201607 在河南交通职业技术学院道路桥梁工程技术就读，是全日制学历
201509-201706 自考长沙理工大学交通土建工程，非全日制学历
201707至今 在南阳通力路桥有限公司工作</v>
      </c>
    </row>
    <row r="2399" spans="1:9">
      <c r="A2399" s="1" t="str">
        <f>"142303200101215321"</f>
        <v>142303200101215321</v>
      </c>
      <c r="B2399" s="1" t="str">
        <f t="shared" ref="B2399:B2402" si="1190">"共青团员"</f>
        <v>共青团员</v>
      </c>
      <c r="C2399" s="1" t="str">
        <f t="shared" si="1188"/>
        <v>本科</v>
      </c>
      <c r="D2399" s="1" t="str">
        <f>"20220701"</f>
        <v>20220701</v>
      </c>
      <c r="E2399" s="1" t="str">
        <f>"长治学院"</f>
        <v>长治学院</v>
      </c>
      <c r="F2399" s="1" t="str">
        <f>"汉语言文学"</f>
        <v>汉语言文学</v>
      </c>
      <c r="G2399" s="1" t="str">
        <f>"山西省汾阳市栗家庄乡金鼎小区"</f>
        <v>山西省汾阳市栗家庄乡金鼎小区</v>
      </c>
      <c r="H2399" s="1" t="str">
        <f t="shared" si="1187"/>
        <v>无</v>
      </c>
      <c r="I2399" s="1" t="str">
        <f>"201809-202207长治学院中文系汉语言文学专业就读，202208-202308待业，202309-202408汾阳市西河街道办事处见习，202409至今待业。"</f>
        <v>201809-202207长治学院中文系汉语言文学专业就读，202208-202308待业，202309-202408汾阳市西河街道办事处见习，202409至今待业。</v>
      </c>
    </row>
    <row r="2400" spans="1:9">
      <c r="A2400" s="1" t="str">
        <f>"411324199306163829"</f>
        <v>411324199306163829</v>
      </c>
      <c r="B2400" s="1" t="str">
        <f>"群众"</f>
        <v>群众</v>
      </c>
      <c r="C2400" s="1" t="str">
        <f t="shared" si="1188"/>
        <v>本科</v>
      </c>
      <c r="D2400" s="1" t="str">
        <f>"20200701"</f>
        <v>20200701</v>
      </c>
      <c r="E2400" s="1" t="str">
        <f>"郑州大学"</f>
        <v>郑州大学</v>
      </c>
      <c r="F2400" s="1" t="str">
        <f>"护理学"</f>
        <v>护理学</v>
      </c>
      <c r="G2400" s="1" t="str">
        <f>"河南省邓州市古城街道南环路四季花城小区B区B10栋"</f>
        <v>河南省邓州市古城街道南环路四季花城小区B区B10栋</v>
      </c>
      <c r="H2400" s="1" t="str">
        <f>"护士执业资格证书、教师资格证书"</f>
        <v>护士执业资格证书、教师资格证书</v>
      </c>
      <c r="I2400" s="1" t="str">
        <f>"201209-201406 南阳医学高等专科学校 护理系就读  护理专业全日制大专
201603-202007 郑州大学护理学专业就读     非全日制本科
201407-201501 河南省邓州市        待业
201502-202505 河南省邓州市邓州民康护理院  工作
202505-至今      河南省邓州市古城街道  待业"</f>
        <v>201209-201406 南阳医学高等专科学校 护理系就读  护理专业全日制大专
201603-202007 郑州大学护理学专业就读     非全日制本科
201407-201501 河南省邓州市        待业
201502-202505 河南省邓州市邓州民康护理院  工作
202505-至今      河南省邓州市古城街道  待业</v>
      </c>
    </row>
    <row r="2401" spans="1:9">
      <c r="A2401" s="1" t="str">
        <f>"411327200110220021"</f>
        <v>411327200110220021</v>
      </c>
      <c r="B2401" s="1" t="str">
        <f t="shared" si="1190"/>
        <v>共青团员</v>
      </c>
      <c r="C2401" s="1" t="str">
        <f t="shared" si="1188"/>
        <v>本科</v>
      </c>
      <c r="D2401" s="1" t="str">
        <f>"20240607"</f>
        <v>20240607</v>
      </c>
      <c r="E2401" s="1" t="str">
        <f>"南阳师范学院"</f>
        <v>南阳师范学院</v>
      </c>
      <c r="F2401" s="1" t="str">
        <f>"法学"</f>
        <v>法学</v>
      </c>
      <c r="G2401" s="1" t="str">
        <f>"河南省内乡县城关镇菊潭贸易市场"</f>
        <v>河南省内乡县城关镇菊潭贸易市场</v>
      </c>
      <c r="H2401" s="1" t="str">
        <f>"中华人民共和国法律职业资格A证"</f>
        <v>中华人民共和国法律职业资格A证</v>
      </c>
      <c r="I2401" s="1" t="str">
        <f>"201909-202206 新乡学院人文学院法律事务专业就读 全日制
202209-202406 南阳师范学院法学院法学专业就读 全日制"</f>
        <v>201909-202206 新乡学院人文学院法律事务专业就读 全日制
202209-202406 南阳师范学院法学院法学专业就读 全日制</v>
      </c>
    </row>
    <row r="2402" spans="1:9">
      <c r="A2402" s="1" t="str">
        <f>"411327200212221527"</f>
        <v>411327200212221527</v>
      </c>
      <c r="B2402" s="1" t="str">
        <f t="shared" si="1190"/>
        <v>共青团员</v>
      </c>
      <c r="C2402" s="1" t="str">
        <f t="shared" si="1189"/>
        <v>专科</v>
      </c>
      <c r="D2402" s="1" t="str">
        <f>"202307"</f>
        <v>202307</v>
      </c>
      <c r="E2402" s="1" t="str">
        <f>"三门峡职业技术学院"</f>
        <v>三门峡职业技术学院</v>
      </c>
      <c r="F2402" s="1" t="str">
        <f>"旅游管理"</f>
        <v>旅游管理</v>
      </c>
      <c r="G2402" s="1" t="str">
        <f>"河南省南阳市内乡县湍东镇龙源村"</f>
        <v>河南省南阳市内乡县湍东镇龙源村</v>
      </c>
      <c r="H2402" s="1" t="str">
        <f t="shared" ref="H2402:H2408" si="1191">"无"</f>
        <v>无</v>
      </c>
      <c r="I2402" s="1" t="str">
        <f>"202009-202307在三门峡职业技术学院旅游管理专业就读，全日制大专。"</f>
        <v>202009-202307在三门峡职业技术学院旅游管理专业就读，全日制大专。</v>
      </c>
    </row>
    <row r="2403" spans="1:9">
      <c r="A2403" s="1" t="str">
        <f>"411327200005254924"</f>
        <v>411327200005254924</v>
      </c>
      <c r="B2403" s="1" t="str">
        <f>"中共党员"</f>
        <v>中共党员</v>
      </c>
      <c r="C2403" s="1" t="str">
        <f t="shared" si="1189"/>
        <v>专科</v>
      </c>
      <c r="D2403" s="1" t="str">
        <f>"20210701"</f>
        <v>20210701</v>
      </c>
      <c r="E2403" s="1" t="str">
        <f>"开封大学"</f>
        <v>开封大学</v>
      </c>
      <c r="F2403" s="1" t="str">
        <f>"会计"</f>
        <v>会计</v>
      </c>
      <c r="G2403" s="1" t="str">
        <f>"河南省南阳市内乡县灌涨镇杨寨村西庄北9号"</f>
        <v>河南省南阳市内乡县灌涨镇杨寨村西庄北9号</v>
      </c>
      <c r="H2403" s="1" t="str">
        <f t="shared" si="1191"/>
        <v>无</v>
      </c>
      <c r="I2403" s="1" t="str">
        <f>"201808-202107 开封大学国际教育学院会计专业就读，全日制学历；202107-202204 中国邮政速递内乡灌涨镇支行邮政业务营业主管；202204-202302 在家待业；202302-202311 牧原食品股份有限公司员工；202311-至今 在家待业"</f>
        <v>201808-202107 开封大学国际教育学院会计专业就读，全日制学历；202107-202204 中国邮政速递内乡灌涨镇支行邮政业务营业主管；202204-202302 在家待业；202302-202311 牧原食品股份有限公司员工；202311-至今 在家待业</v>
      </c>
    </row>
    <row r="2404" spans="1:9">
      <c r="A2404" s="1" t="str">
        <f>"412828199606173918"</f>
        <v>412828199606173918</v>
      </c>
      <c r="B2404" s="1" t="str">
        <f>"中共党员"</f>
        <v>中共党员</v>
      </c>
      <c r="C2404" s="1" t="str">
        <f t="shared" ref="C2404:C2409" si="1192">"本科"</f>
        <v>本科</v>
      </c>
      <c r="D2404" s="1" t="str">
        <f>"20220701"</f>
        <v>20220701</v>
      </c>
      <c r="E2404" s="1" t="str">
        <f>"河南大学"</f>
        <v>河南大学</v>
      </c>
      <c r="F2404" s="1" t="str">
        <f>"行政管理"</f>
        <v>行政管理</v>
      </c>
      <c r="G2404" s="1" t="str">
        <f>"河南省驻马店市新蔡县飞龙盛世小区"</f>
        <v>河南省驻马店市新蔡县飞龙盛世小区</v>
      </c>
      <c r="H2404" s="1" t="str">
        <f t="shared" si="1191"/>
        <v>无</v>
      </c>
      <c r="I2404" s="1" t="str">
        <f>"201309-201601郑州大学（远程教育）人力资源管理专业
202003-202207河南大学（函授）行政管理专业"</f>
        <v>201309-201601郑州大学（远程教育）人力资源管理专业
202003-202207河南大学（函授）行政管理专业</v>
      </c>
    </row>
    <row r="2405" spans="1:9">
      <c r="A2405" s="1" t="str">
        <f>"411321200308271512"</f>
        <v>411321200308271512</v>
      </c>
      <c r="B2405" s="1" t="str">
        <f t="shared" ref="B2405:B2409" si="1193">"共青团员"</f>
        <v>共青团员</v>
      </c>
      <c r="C2405" s="1" t="str">
        <f t="shared" si="1192"/>
        <v>本科</v>
      </c>
      <c r="D2405" s="1" t="str">
        <f>"20240630"</f>
        <v>20240630</v>
      </c>
      <c r="E2405" s="1" t="str">
        <f>"郑州大学"</f>
        <v>郑州大学</v>
      </c>
      <c r="F2405" s="1" t="str">
        <f>"冶金工程"</f>
        <v>冶金工程</v>
      </c>
      <c r="G2405" s="1" t="str">
        <f>"河南省南阳市桐柏县埠江镇"</f>
        <v>河南省南阳市桐柏县埠江镇</v>
      </c>
      <c r="H2405" s="1" t="str">
        <f t="shared" si="1191"/>
        <v>无</v>
      </c>
      <c r="I2405" s="1" t="str">
        <f>"202009-202406 郑州大学化工学院冶金工程专业就读 全日制
202406-202507  在家待业"</f>
        <v>202009-202406 郑州大学化工学院冶金工程专业就读 全日制
202406-202507  在家待业</v>
      </c>
    </row>
    <row r="2406" spans="1:9">
      <c r="A2406" s="1" t="str">
        <f>"411323200111186333"</f>
        <v>411323200111186333</v>
      </c>
      <c r="B2406" s="1" t="str">
        <f t="shared" ref="B2406:B2412" si="1194">"群众"</f>
        <v>群众</v>
      </c>
      <c r="C2406" s="1" t="str">
        <f t="shared" si="1192"/>
        <v>本科</v>
      </c>
      <c r="D2406" s="1" t="str">
        <f>"20230701"</f>
        <v>20230701</v>
      </c>
      <c r="E2406" s="1" t="str">
        <f>"华东交通大学理工学院"</f>
        <v>华东交通大学理工学院</v>
      </c>
      <c r="F2406" s="1" t="str">
        <f>"物流管理"</f>
        <v>物流管理</v>
      </c>
      <c r="G2406" s="1" t="str">
        <f>"河南省南阳市内乡县师岗镇"</f>
        <v>河南省南阳市内乡县师岗镇</v>
      </c>
      <c r="H2406" s="1" t="str">
        <f t="shared" si="1191"/>
        <v>无</v>
      </c>
      <c r="I2406" s="1" t="str">
        <f>"201909-202306华东交通大学理工学院就读"</f>
        <v>201909-202306华东交通大学理工学院就读</v>
      </c>
    </row>
    <row r="2407" spans="1:9">
      <c r="A2407" s="1" t="str">
        <f>"411327199006013713"</f>
        <v>411327199006013713</v>
      </c>
      <c r="B2407" s="1" t="str">
        <f t="shared" si="1193"/>
        <v>共青团员</v>
      </c>
      <c r="C2407" s="1" t="str">
        <f t="shared" si="1192"/>
        <v>本科</v>
      </c>
      <c r="D2407" s="1" t="str">
        <f>"2015-07-01"</f>
        <v>2015-07-01</v>
      </c>
      <c r="E2407" s="1" t="str">
        <f>"河南科技学院"</f>
        <v>河南科技学院</v>
      </c>
      <c r="F2407" s="1" t="str">
        <f>"动物医学"</f>
        <v>动物医学</v>
      </c>
      <c r="G2407" s="1" t="str">
        <f>"河南省南阳市内乡县桃溪镇石碑营村郭沟36号"</f>
        <v>河南省南阳市内乡县桃溪镇石碑营村郭沟36号</v>
      </c>
      <c r="H2407" s="1" t="str">
        <f t="shared" si="1191"/>
        <v>无</v>
      </c>
      <c r="I2407" s="1" t="str">
        <f>"201009-201507 河南科技学院就读，专业动物医学，全日制学历
201508-201701  宠物医院学习
201702-202003 南阳 牧原工作
202004-202305  银发牧业工作
202306至今南阳牧原工作"</f>
        <v>201009-201507 河南科技学院就读，专业动物医学，全日制学历
201508-201701  宠物医院学习
201702-202003 南阳 牧原工作
202004-202305  银发牧业工作
202306至今南阳牧原工作</v>
      </c>
    </row>
    <row r="2408" spans="1:9">
      <c r="A2408" s="1" t="str">
        <f>"41138119950302653X"</f>
        <v>41138119950302653X</v>
      </c>
      <c r="B2408" s="1" t="str">
        <f t="shared" si="1194"/>
        <v>群众</v>
      </c>
      <c r="C2408" s="1" t="str">
        <f t="shared" si="1192"/>
        <v>本科</v>
      </c>
      <c r="D2408" s="1" t="str">
        <f>"20160701"</f>
        <v>20160701</v>
      </c>
      <c r="E2408" s="1" t="str">
        <f>"电子科技大学中山学院"</f>
        <v>电子科技大学中山学院</v>
      </c>
      <c r="F2408" s="1" t="str">
        <f>"会展经济与管理"</f>
        <v>会展经济与管理</v>
      </c>
      <c r="G2408" s="1" t="str">
        <f>"邓州市新华中路78号"</f>
        <v>邓州市新华中路78号</v>
      </c>
      <c r="H2408" s="1" t="str">
        <f t="shared" si="1191"/>
        <v>无</v>
      </c>
      <c r="I2408" s="1" t="str">
        <f>"201209-201607 电子科技大学中山学院 会展经济与管理专业 全日制本科 管理学学士学位"</f>
        <v>201209-201607 电子科技大学中山学院 会展经济与管理专业 全日制本科 管理学学士学位</v>
      </c>
    </row>
    <row r="2409" spans="1:9">
      <c r="A2409" s="1" t="str">
        <f>"411327200203050068"</f>
        <v>411327200203050068</v>
      </c>
      <c r="B2409" s="1" t="str">
        <f t="shared" si="1193"/>
        <v>共青团员</v>
      </c>
      <c r="C2409" s="1" t="str">
        <f t="shared" si="1192"/>
        <v>本科</v>
      </c>
      <c r="D2409" s="1" t="str">
        <f>"20240701"</f>
        <v>20240701</v>
      </c>
      <c r="E2409" s="1" t="str">
        <f>"郑州经贸学院"</f>
        <v>郑州经贸学院</v>
      </c>
      <c r="F2409" s="1" t="str">
        <f>"审计学"</f>
        <v>审计学</v>
      </c>
      <c r="G2409" s="1" t="str">
        <f>"河南省南阳市内乡县黉学村第二安居小区"</f>
        <v>河南省南阳市内乡县黉学村第二安居小区</v>
      </c>
      <c r="H2409" s="1" t="str">
        <f>"初级会计职称"</f>
        <v>初级会计职称</v>
      </c>
      <c r="I2409" s="1" t="str">
        <f>"202009-202406在郑州经贸学院会计学院审计专业就读，是全日制学历
202406至今在河南省南阳市内乡县待业"</f>
        <v>202009-202406在郑州经贸学院会计学院审计专业就读，是全日制学历
202406至今在河南省南阳市内乡县待业</v>
      </c>
    </row>
    <row r="2410" spans="1:9">
      <c r="A2410" s="1" t="str">
        <f>"410423200110079514"</f>
        <v>410423200110079514</v>
      </c>
      <c r="B2410" s="1" t="str">
        <f t="shared" si="1194"/>
        <v>群众</v>
      </c>
      <c r="C2410" s="1" t="str">
        <f>"专科"</f>
        <v>专科</v>
      </c>
      <c r="D2410" s="1" t="str">
        <f>"2021.06.07"</f>
        <v>2021.06.07</v>
      </c>
      <c r="E2410" s="1" t="str">
        <f>"河南省质量工程职业学院"</f>
        <v>河南省质量工程职业学院</v>
      </c>
      <c r="F2410" s="1" t="str">
        <f>"食品营养与检测"</f>
        <v>食品营养与检测</v>
      </c>
      <c r="G2410" s="1" t="str">
        <f>"河南省平顶山市和盛时代广场"</f>
        <v>河南省平顶山市和盛时代广场</v>
      </c>
      <c r="H2410" s="1" t="str">
        <f t="shared" ref="H2410:H2414" si="1195">"无"</f>
        <v>无</v>
      </c>
      <c r="I2410" s="1" t="str">
        <f>"2016 09 01-2021 06 01于河南省质量工程职业学院食品化工系食品营养与检测专业毕业，全日制学历"</f>
        <v>2016 09 01-2021 06 01于河南省质量工程职业学院食品化工系食品营养与检测专业毕业，全日制学历</v>
      </c>
    </row>
    <row r="2411" spans="1:9">
      <c r="A2411" s="1" t="str">
        <f>"411330200208105521"</f>
        <v>411330200208105521</v>
      </c>
      <c r="B2411" s="1" t="str">
        <f t="shared" si="1194"/>
        <v>群众</v>
      </c>
      <c r="C2411" s="1" t="str">
        <f t="shared" ref="C2411:C2415" si="1196">"本科"</f>
        <v>本科</v>
      </c>
      <c r="D2411" s="1" t="str">
        <f>"20250701"</f>
        <v>20250701</v>
      </c>
      <c r="E2411" s="1" t="str">
        <f>"哈尔滨医科大学"</f>
        <v>哈尔滨医科大学</v>
      </c>
      <c r="F2411" s="1" t="str">
        <f>"医学实验技术"</f>
        <v>医学实验技术</v>
      </c>
      <c r="G2411" s="1" t="str">
        <f>"河南省南阳市西峡县二郎坪乡栗坪村栗坪组95号"</f>
        <v>河南省南阳市西峡县二郎坪乡栗坪村栗坪组95号</v>
      </c>
      <c r="H2411" s="1" t="str">
        <f t="shared" si="1195"/>
        <v>无</v>
      </c>
      <c r="I2411" s="1" t="str">
        <f>"202109-202507哈尔滨医科大学医学检验与技术学院医学实验技术专业就读，是全日制学历。"</f>
        <v>202109-202507哈尔滨医科大学医学检验与技术学院医学实验技术专业就读，是全日制学历。</v>
      </c>
    </row>
    <row r="2412" spans="1:9">
      <c r="A2412" s="1" t="str">
        <f>"411326200209200067"</f>
        <v>411326200209200067</v>
      </c>
      <c r="B2412" s="1" t="str">
        <f t="shared" si="1194"/>
        <v>群众</v>
      </c>
      <c r="C2412" s="1" t="str">
        <f>"专科"</f>
        <v>专科</v>
      </c>
      <c r="D2412" s="1" t="str">
        <f>"20230701"</f>
        <v>20230701</v>
      </c>
      <c r="E2412" s="1" t="str">
        <f>"驻马店幼儿师范高等专科学校"</f>
        <v>驻马店幼儿师范高等专科学校</v>
      </c>
      <c r="F2412" s="1" t="str">
        <f>"小学教育"</f>
        <v>小学教育</v>
      </c>
      <c r="G2412" s="1" t="str">
        <f>"河南省南召县城关镇伏山路伏山大院"</f>
        <v>河南省南召县城关镇伏山路伏山大院</v>
      </c>
      <c r="H2412" s="1" t="str">
        <f>"教师资格证"</f>
        <v>教师资格证</v>
      </c>
      <c r="I2412" s="1" t="str">
        <f>"202009-202307 驻马店幼儿师范高等专科学校基础教育学院小学教育专业就读，为全日制学历
202307至今待业"</f>
        <v>202009-202307 驻马店幼儿师范高等专科学校基础教育学院小学教育专业就读，为全日制学历
202307至今待业</v>
      </c>
    </row>
    <row r="2413" spans="1:9">
      <c r="A2413" s="1" t="str">
        <f>"411303200006221541"</f>
        <v>411303200006221541</v>
      </c>
      <c r="B2413" s="1" t="str">
        <f t="shared" ref="B2413:B2417" si="1197">"中共党员"</f>
        <v>中共党员</v>
      </c>
      <c r="C2413" s="1" t="str">
        <f t="shared" si="1196"/>
        <v>本科</v>
      </c>
      <c r="D2413" s="1" t="str">
        <f>"20220623"</f>
        <v>20220623</v>
      </c>
      <c r="E2413" s="1" t="str">
        <f>"天津科技大学"</f>
        <v>天津科技大学</v>
      </c>
      <c r="F2413" s="1" t="str">
        <f>"会展经济与管理"</f>
        <v>会展经济与管理</v>
      </c>
      <c r="G2413" s="1" t="str">
        <f>"河南省南阳市阳光海岸小区"</f>
        <v>河南省南阳市阳光海岸小区</v>
      </c>
      <c r="H2413" s="1" t="str">
        <f t="shared" si="1195"/>
        <v>无</v>
      </c>
      <c r="I2413" s="1" t="str">
        <f>"202809-202206 天津科技大学经济与管理学院会展经济与管理专业就读，全日制"</f>
        <v>202809-202206 天津科技大学经济与管理学院会展经济与管理专业就读，全日制</v>
      </c>
    </row>
    <row r="2414" spans="1:9">
      <c r="A2414" s="1" t="str">
        <f>"411381200106011233"</f>
        <v>411381200106011233</v>
      </c>
      <c r="B2414" s="1" t="str">
        <f t="shared" si="1197"/>
        <v>中共党员</v>
      </c>
      <c r="C2414" s="1" t="str">
        <f t="shared" si="1196"/>
        <v>本科</v>
      </c>
      <c r="D2414" s="1" t="str">
        <f>"20250606"</f>
        <v>20250606</v>
      </c>
      <c r="E2414" s="1" t="str">
        <f>"商丘师范学院"</f>
        <v>商丘师范学院</v>
      </c>
      <c r="F2414" s="1" t="str">
        <f>"经济学"</f>
        <v>经济学</v>
      </c>
      <c r="G2414" s="1" t="str">
        <f>"河南省邓州市新华西路316号"</f>
        <v>河南省邓州市新华西路316号</v>
      </c>
      <c r="H2414" s="1" t="str">
        <f t="shared" si="1195"/>
        <v>无</v>
      </c>
      <c r="I2414" s="1" t="str">
        <f>"202109—202506 商丘师范学院经济管理学院经济学专业就读 全日制本科学历"</f>
        <v>202109—202506 商丘师范学院经济管理学院经济学专业就读 全日制本科学历</v>
      </c>
    </row>
    <row r="2415" spans="1:9">
      <c r="A2415" s="1" t="str">
        <f>"41132520001017298X"</f>
        <v>41132520001017298X</v>
      </c>
      <c r="B2415" s="1" t="str">
        <f t="shared" ref="B2415:B2419" si="1198">"群众"</f>
        <v>群众</v>
      </c>
      <c r="C2415" s="1" t="str">
        <f t="shared" si="1196"/>
        <v>本科</v>
      </c>
      <c r="D2415" s="1" t="str">
        <f>"2024-07-01"</f>
        <v>2024-07-01</v>
      </c>
      <c r="E2415" s="1" t="str">
        <f>"安阳工学院"</f>
        <v>安阳工学院</v>
      </c>
      <c r="F2415" s="1" t="str">
        <f>"工商管理"</f>
        <v>工商管理</v>
      </c>
      <c r="G2415" s="1" t="str">
        <f>"河南省南阳市内乡县瓦亭镇杨沟村石家组4号"</f>
        <v>河南省南阳市内乡县瓦亭镇杨沟村石家组4号</v>
      </c>
      <c r="H2415" s="1" t="str">
        <f>"职业技能等级证书（中级）"</f>
        <v>职业技能等级证书（中级）</v>
      </c>
      <c r="I2415" s="1" t="str">
        <f>"大学学习经历:2017年至2024年毕业于安阳工学院，所学专业为工商管理
2024年9月至2025年6月于内乡菊潭学校就业
	"</f>
        <v>大学学习经历:2017年至2024年毕业于安阳工学院，所学专业为工商管理
2024年9月至2025年6月于内乡菊潭学校就业
	</v>
      </c>
    </row>
    <row r="2416" spans="1:9">
      <c r="A2416" s="1" t="str">
        <f>"411327199511182016"</f>
        <v>411327199511182016</v>
      </c>
      <c r="B2416" s="1" t="str">
        <f t="shared" si="1198"/>
        <v>群众</v>
      </c>
      <c r="C2416" s="1" t="str">
        <f>"硕士研究生"</f>
        <v>硕士研究生</v>
      </c>
      <c r="D2416" s="1" t="str">
        <f>"20231226"</f>
        <v>20231226</v>
      </c>
      <c r="E2416" s="1" t="str">
        <f>"吉林体育学院"</f>
        <v>吉林体育学院</v>
      </c>
      <c r="F2416" s="1" t="str">
        <f>"体育教学"</f>
        <v>体育教学</v>
      </c>
      <c r="G2416" s="1" t="str">
        <f>"河南省南阳市内乡县师岗镇付湾村江西261号"</f>
        <v>河南省南阳市内乡县师岗镇付湾村江西261号</v>
      </c>
      <c r="H2416" s="1" t="str">
        <f t="shared" ref="H2416:H2420" si="1199">"无"</f>
        <v>无</v>
      </c>
      <c r="I2416" s="1" t="str">
        <f>"201509-201906    济南大学  体育教育专业   全日制
201906-202009     待业
202009-202312    吉林体育学院   体育教学专业    全日制"</f>
        <v>201509-201906    济南大学  体育教育专业   全日制
201906-202009     待业
202009-202312    吉林体育学院   体育教学专业    全日制</v>
      </c>
    </row>
    <row r="2417" spans="1:9">
      <c r="A2417" s="1" t="str">
        <f>"411327199404290038"</f>
        <v>411327199404290038</v>
      </c>
      <c r="B2417" s="1" t="str">
        <f t="shared" si="1197"/>
        <v>中共党员</v>
      </c>
      <c r="C2417" s="1" t="str">
        <f t="shared" ref="C2417:C2421" si="1200">"本科"</f>
        <v>本科</v>
      </c>
      <c r="D2417" s="1" t="str">
        <f>"20160618"</f>
        <v>20160618</v>
      </c>
      <c r="E2417" s="1" t="str">
        <f>"宁夏理工学院"</f>
        <v>宁夏理工学院</v>
      </c>
      <c r="F2417" s="1" t="str">
        <f>"电气工程及其自动化"</f>
        <v>电气工程及其自动化</v>
      </c>
      <c r="G2417" s="1" t="str">
        <f>"南阳市内乡县湍动恐龙塔多彩幼儿园隔壁"</f>
        <v>南阳市内乡县湍动恐龙塔多彩幼儿园隔壁</v>
      </c>
      <c r="H2417" s="1" t="str">
        <f t="shared" si="1199"/>
        <v>无</v>
      </c>
      <c r="I2417" s="1" t="str">
        <f>"201209-201606 宁夏理工学院 电气信息工程系 电气工程及其自动化专业就读 全日制本科
201606-201609 内乡县待业
201609-202409 海军91917部队
202409-至今 内乡县待业"</f>
        <v>201209-201606 宁夏理工学院 电气信息工程系 电气工程及其自动化专业就读 全日制本科
201606-201609 内乡县待业
201609-202409 海军91917部队
202409-至今 内乡县待业</v>
      </c>
    </row>
    <row r="2418" spans="1:9">
      <c r="A2418" s="1" t="str">
        <f>"411381200203044547"</f>
        <v>411381200203044547</v>
      </c>
      <c r="B2418" s="1" t="str">
        <f t="shared" ref="B2418:B2421" si="1201">"共青团员"</f>
        <v>共青团员</v>
      </c>
      <c r="C2418" s="1" t="str">
        <f t="shared" si="1200"/>
        <v>本科</v>
      </c>
      <c r="D2418" s="1" t="str">
        <f>"20230712"</f>
        <v>20230712</v>
      </c>
      <c r="E2418" s="1" t="str">
        <f>"运城学院"</f>
        <v>运城学院</v>
      </c>
      <c r="F2418" s="1" t="str">
        <f>"应用化学"</f>
        <v>应用化学</v>
      </c>
      <c r="G2418" s="1" t="str">
        <f>"河南南阳"</f>
        <v>河南南阳</v>
      </c>
      <c r="H2418" s="1" t="str">
        <f t="shared" si="1199"/>
        <v>无</v>
      </c>
      <c r="I2418" s="1" t="str">
        <f>"201909-202307在运城学院就读化学系应用化学专业无中断，是全日制。"</f>
        <v>201909-202307在运城学院就读化学系应用化学专业无中断，是全日制。</v>
      </c>
    </row>
    <row r="2419" ht="148.5" spans="1:9">
      <c r="A2419" s="1" t="str">
        <f>"411330199304050828"</f>
        <v>411330199304050828</v>
      </c>
      <c r="B2419" s="1" t="str">
        <f t="shared" si="1198"/>
        <v>群众</v>
      </c>
      <c r="C2419" s="1" t="str">
        <f t="shared" si="1200"/>
        <v>本科</v>
      </c>
      <c r="D2419" s="1" t="str">
        <f>"20170701"</f>
        <v>20170701</v>
      </c>
      <c r="E2419" s="1" t="str">
        <f>"新乡学院"</f>
        <v>新乡学院</v>
      </c>
      <c r="F2419" s="1" t="str">
        <f>"人力资源管理"</f>
        <v>人力资源管理</v>
      </c>
      <c r="G2419" s="1" t="str">
        <f>"河南省南阳市西峡县龙湖庄园御锦7-2-1203"</f>
        <v>河南省南阳市西峡县龙湖庄园御锦7-2-1203</v>
      </c>
      <c r="H2419" s="1" t="str">
        <f t="shared" si="1199"/>
        <v>无</v>
      </c>
      <c r="I2419" s="3" t="s">
        <v>250</v>
      </c>
    </row>
    <row r="2420" spans="1:9">
      <c r="A2420" s="1" t="str">
        <f>"411327200209160049"</f>
        <v>411327200209160049</v>
      </c>
      <c r="B2420" s="1" t="str">
        <f t="shared" si="1201"/>
        <v>共青团员</v>
      </c>
      <c r="C2420" s="1" t="str">
        <f t="shared" si="1200"/>
        <v>本科</v>
      </c>
      <c r="D2420" s="1" t="str">
        <f>"20240614"</f>
        <v>20240614</v>
      </c>
      <c r="E2420" s="1" t="str">
        <f>"西南民族大学"</f>
        <v>西南民族大学</v>
      </c>
      <c r="F2420" s="1" t="str">
        <f>"数学与应用数学"</f>
        <v>数学与应用数学</v>
      </c>
      <c r="G2420" s="1" t="str">
        <f>"河南省南阳市内乡县城关镇集贸市场"</f>
        <v>河南省南阳市内乡县城关镇集贸市场</v>
      </c>
      <c r="H2420" s="1" t="str">
        <f t="shared" si="1199"/>
        <v>无</v>
      </c>
      <c r="I2420" s="1" t="str">
        <f>"202009-202406西南民族大学就读"</f>
        <v>202009-202406西南民族大学就读</v>
      </c>
    </row>
    <row r="2421" spans="1:9">
      <c r="A2421" s="1" t="str">
        <f>"410622200110060025"</f>
        <v>410622200110060025</v>
      </c>
      <c r="B2421" s="1" t="str">
        <f t="shared" si="1201"/>
        <v>共青团员</v>
      </c>
      <c r="C2421" s="1" t="str">
        <f t="shared" si="1200"/>
        <v>本科</v>
      </c>
      <c r="D2421" s="1" t="str">
        <f>"2023-06-30"</f>
        <v>2023-06-30</v>
      </c>
      <c r="E2421" s="1" t="str">
        <f>"武汉体育学院体育科技学院"</f>
        <v>武汉体育学院体育科技学院</v>
      </c>
      <c r="F2421" s="1" t="str">
        <f>"经济学"</f>
        <v>经济学</v>
      </c>
      <c r="G2421" s="1" t="str">
        <f>"河南省鹤壁市淇县天天花园"</f>
        <v>河南省鹤壁市淇县天天花园</v>
      </c>
      <c r="H2421" s="1" t="str">
        <f>"银行职业资格证"</f>
        <v>银行职业资格证</v>
      </c>
      <c r="I2421" s="1" t="str">
        <f>"201909-202307武汉体育学院体育科技学院人文社会科学系经济学就读，是全日制学历"</f>
        <v>201909-202307武汉体育学院体育科技学院人文社会科学系经济学就读，是全日制学历</v>
      </c>
    </row>
    <row r="2422" spans="1:9">
      <c r="A2422" s="1" t="str">
        <f>"13040619970415034X"</f>
        <v>13040619970415034X</v>
      </c>
      <c r="B2422" s="1" t="str">
        <f t="shared" ref="B2422:B2426" si="1202">"群众"</f>
        <v>群众</v>
      </c>
      <c r="C2422" s="1" t="str">
        <f>"硕士研究生"</f>
        <v>硕士研究生</v>
      </c>
      <c r="D2422" s="1" t="str">
        <f>"20230929"</f>
        <v>20230929</v>
      </c>
      <c r="E2422" s="1" t="str">
        <f>"新南威尔士大学"</f>
        <v>新南威尔士大学</v>
      </c>
      <c r="F2422" s="1" t="str">
        <f>"环境工程"</f>
        <v>环境工程</v>
      </c>
      <c r="G2422" s="1" t="str">
        <f>"河南省南阳市内乡县大桥乡街南一号A"</f>
        <v>河南省南阳市内乡县大桥乡街南一号A</v>
      </c>
      <c r="H2422" s="1" t="str">
        <f t="shared" ref="H2422:H2424" si="1203">"无"</f>
        <v>无</v>
      </c>
      <c r="I2422" s="1" t="str">
        <f>"201509-201609 辽宁工程技术大学 环境科学与工程学院环境科学专业就读 全日制；201609-201706 休学 随后 退学；201706-202209 新南威尔士大学 土木与环境学院 环境工程专业就读，全日制本科；202209-202309 新南威尔士大学 土木与环境学院 环境工程专业就读，全日制硕士研究生"</f>
        <v>201509-201609 辽宁工程技术大学 环境科学与工程学院环境科学专业就读 全日制；201609-201706 休学 随后 退学；201706-202209 新南威尔士大学 土木与环境学院 环境工程专业就读，全日制本科；202209-202309 新南威尔士大学 土木与环境学院 环境工程专业就读，全日制硕士研究生</v>
      </c>
    </row>
    <row r="2423" spans="1:9">
      <c r="A2423" s="1" t="str">
        <f>"411327200103070037"</f>
        <v>411327200103070037</v>
      </c>
      <c r="B2423" s="1" t="str">
        <f>"共青团员"</f>
        <v>共青团员</v>
      </c>
      <c r="C2423" s="1" t="str">
        <f t="shared" ref="C2423:C2426" si="1204">"本科"</f>
        <v>本科</v>
      </c>
      <c r="D2423" s="1" t="str">
        <f>"20240610"</f>
        <v>20240610</v>
      </c>
      <c r="E2423" s="1" t="str">
        <f>"中北大学"</f>
        <v>中北大学</v>
      </c>
      <c r="F2423" s="1" t="str">
        <f>"电子信息工程"</f>
        <v>电子信息工程</v>
      </c>
      <c r="G2423" s="1" t="str">
        <f>"河南省南阳市内乡县"</f>
        <v>河南省南阳市内乡县</v>
      </c>
      <c r="H2423" s="1" t="str">
        <f t="shared" si="1203"/>
        <v>无</v>
      </c>
      <c r="I2423" s="1" t="str">
        <f>"202010-202406 中北大学就读，信息与通信工程学院，全日制"</f>
        <v>202010-202406 中北大学就读，信息与通信工程学院，全日制</v>
      </c>
    </row>
    <row r="2424" spans="1:9">
      <c r="A2424" s="1" t="str">
        <f>"411303200009136756"</f>
        <v>411303200009136756</v>
      </c>
      <c r="B2424" s="1" t="str">
        <f t="shared" si="1202"/>
        <v>群众</v>
      </c>
      <c r="C2424" s="1" t="str">
        <f t="shared" si="1204"/>
        <v>本科</v>
      </c>
      <c r="D2424" s="1" t="str">
        <f>"20230701"</f>
        <v>20230701</v>
      </c>
      <c r="E2424" s="1" t="str">
        <f>"商丘师范学院"</f>
        <v>商丘师范学院</v>
      </c>
      <c r="F2424" s="1" t="str">
        <f>"环境设计"</f>
        <v>环境设计</v>
      </c>
      <c r="G2424" s="1" t="str">
        <f>"河南省南阳市卧龙区陆营镇桂营村桂营357号"</f>
        <v>河南省南阳市卧龙区陆营镇桂营村桂营357号</v>
      </c>
      <c r="H2424" s="1" t="str">
        <f t="shared" si="1203"/>
        <v>无</v>
      </c>
      <c r="I2424" s="1" t="str">
        <f>"201909-202307 商丘师范学院 就读 环境设计 是全日制 
202307-至今 待业"</f>
        <v>201909-202307 商丘师范学院 就读 环境设计 是全日制 
202307-至今 待业</v>
      </c>
    </row>
    <row r="2425" spans="1:9">
      <c r="A2425" s="1" t="str">
        <f>"41112220021031003X"</f>
        <v>41112220021031003X</v>
      </c>
      <c r="B2425" s="1" t="str">
        <f>"共青团员"</f>
        <v>共青团员</v>
      </c>
      <c r="C2425" s="1" t="str">
        <f t="shared" ref="C2425:C2429" si="1205">"专科"</f>
        <v>专科</v>
      </c>
      <c r="D2425" s="1" t="str">
        <f>"20240630"</f>
        <v>20240630</v>
      </c>
      <c r="E2425" s="1" t="str">
        <f>"武昌职业学院"</f>
        <v>武昌职业学院</v>
      </c>
      <c r="F2425" s="1" t="str">
        <f>"无人机应用技术"</f>
        <v>无人机应用技术</v>
      </c>
      <c r="G2425" s="1" t="str">
        <f>"河南省漯河市源汇区恒大名都"</f>
        <v>河南省漯河市源汇区恒大名都</v>
      </c>
      <c r="H2425" s="1" t="str">
        <f>"无人机驾驶员高级"</f>
        <v>无人机驾驶员高级</v>
      </c>
      <c r="I2425" s="1" t="str">
        <f>"20210901-20240630在武昌职业学院无人机技术应用学院无人机应用技术就读，是普通全日制"</f>
        <v>20210901-20240630在武昌职业学院无人机技术应用学院无人机应用技术就读，是普通全日制</v>
      </c>
    </row>
    <row r="2426" spans="1:9">
      <c r="A2426" s="1" t="str">
        <f>"411327200110304217"</f>
        <v>411327200110304217</v>
      </c>
      <c r="B2426" s="1" t="str">
        <f t="shared" si="1202"/>
        <v>群众</v>
      </c>
      <c r="C2426" s="1" t="str">
        <f t="shared" si="1204"/>
        <v>本科</v>
      </c>
      <c r="D2426" s="1" t="str">
        <f>"20250630"</f>
        <v>20250630</v>
      </c>
      <c r="E2426" s="1" t="str">
        <f>"黄河交通学院"</f>
        <v>黄河交通学院</v>
      </c>
      <c r="F2426" s="1" t="str">
        <f>"金融工程"</f>
        <v>金融工程</v>
      </c>
      <c r="G2426" s="1" t="str">
        <f>"河南省内乡县北新华书店附近"</f>
        <v>河南省内乡县北新华书店附近</v>
      </c>
      <c r="H2426" s="1" t="str">
        <f t="shared" ref="H2426:H2435" si="1206">"无"</f>
        <v>无</v>
      </c>
      <c r="I2426" s="1" t="str">
        <f>"20210901-20250630黄河交通学院就读"</f>
        <v>20210901-20250630黄河交通学院就读</v>
      </c>
    </row>
    <row r="2427" spans="1:9">
      <c r="A2427" s="1" t="str">
        <f>"411324199904020019"</f>
        <v>411324199904020019</v>
      </c>
      <c r="B2427" s="1" t="str">
        <f>"中共党员"</f>
        <v>中共党员</v>
      </c>
      <c r="C2427" s="1" t="str">
        <f t="shared" si="1205"/>
        <v>专科</v>
      </c>
      <c r="D2427" s="1" t="str">
        <f>"20210701"</f>
        <v>20210701</v>
      </c>
      <c r="E2427" s="1" t="str">
        <f>"河南质量工程职业技术学院"</f>
        <v>河南质量工程职业技术学院</v>
      </c>
      <c r="F2427" s="1" t="str">
        <f>"计算机应用技术"</f>
        <v>计算机应用技术</v>
      </c>
      <c r="G2427" s="1" t="str">
        <f>"河南省南阳市镇平县"</f>
        <v>河南省南阳市镇平县</v>
      </c>
      <c r="H2427" s="1" t="str">
        <f t="shared" si="1206"/>
        <v>无</v>
      </c>
      <c r="I2427" s="1" t="str">
        <f>"201809-202107 河南质量工程职业技术学院，计算机学院计算机应用技术专业就读，是全日制。202109-202402于南水北调从事辅助人员工作。202403-202409在家待业。202410-今在镇平县公安局石佛寺分局工作。"</f>
        <v>201809-202107 河南质量工程职业技术学院，计算机学院计算机应用技术专业就读，是全日制。202109-202402于南水北调从事辅助人员工作。202403-202409在家待业。202410-今在镇平县公安局石佛寺分局工作。</v>
      </c>
    </row>
    <row r="2428" spans="1:9">
      <c r="A2428" s="1" t="str">
        <f>"411326199903250018"</f>
        <v>411326199903250018</v>
      </c>
      <c r="B2428" s="1" t="str">
        <f t="shared" ref="B2428:B2432" si="1207">"群众"</f>
        <v>群众</v>
      </c>
      <c r="C2428" s="1" t="str">
        <f t="shared" si="1205"/>
        <v>专科</v>
      </c>
      <c r="D2428" s="1" t="str">
        <f>"20200615"</f>
        <v>20200615</v>
      </c>
      <c r="E2428" s="1" t="str">
        <f>"中国劳动关系学院"</f>
        <v>中国劳动关系学院</v>
      </c>
      <c r="F2428" s="1" t="str">
        <f>"数控技术专业"</f>
        <v>数控技术专业</v>
      </c>
      <c r="G2428" s="1" t="str">
        <f>"南召县黄洋路烟草局家属院228号"</f>
        <v>南召县黄洋路烟草局家属院228号</v>
      </c>
      <c r="H2428" s="1" t="str">
        <f t="shared" si="1206"/>
        <v>无</v>
      </c>
      <c r="I2428" s="1" t="str">
        <f>"201709-202006 中国劳动关系学院数控技术专业就读   是全日制
202006-至今  待业"</f>
        <v>201709-202006 中国劳动关系学院数控技术专业就读   是全日制
202006-至今  待业</v>
      </c>
    </row>
    <row r="2429" spans="1:9">
      <c r="A2429" s="1" t="str">
        <f>"231002199906272713"</f>
        <v>231002199906272713</v>
      </c>
      <c r="B2429" s="1" t="str">
        <f t="shared" ref="B2429:B2435" si="1208">"共青团员"</f>
        <v>共青团员</v>
      </c>
      <c r="C2429" s="1" t="str">
        <f t="shared" si="1205"/>
        <v>专科</v>
      </c>
      <c r="D2429" s="1" t="str">
        <f>"20220620"</f>
        <v>20220620</v>
      </c>
      <c r="E2429" s="1" t="str">
        <f>"黑龙江农业职业技术学院"</f>
        <v>黑龙江农业职业技术学院</v>
      </c>
      <c r="F2429" s="1" t="str">
        <f>"食品药品监督管理"</f>
        <v>食品药品监督管理</v>
      </c>
      <c r="G2429" s="1" t="str">
        <f>"黑龙江省佳木斯市富锦市"</f>
        <v>黑龙江省佳木斯市富锦市</v>
      </c>
      <c r="H2429" s="1" t="str">
        <f t="shared" si="1206"/>
        <v>无</v>
      </c>
      <c r="I2429" s="1" t="str">
        <f>"20190901-20220620 黑龙江农业职业技术学院 就读 全日制学历
20220620-至今 待业"</f>
        <v>20190901-20220620 黑龙江农业职业技术学院 就读 全日制学历
20220620-至今 待业</v>
      </c>
    </row>
    <row r="2430" spans="1:9">
      <c r="A2430" s="1" t="str">
        <f>"341221199312136592"</f>
        <v>341221199312136592</v>
      </c>
      <c r="B2430" s="1" t="str">
        <f t="shared" si="1207"/>
        <v>群众</v>
      </c>
      <c r="C2430" s="1" t="str">
        <f t="shared" ref="C2430:C2433" si="1209">"本科"</f>
        <v>本科</v>
      </c>
      <c r="D2430" s="1" t="str">
        <f>"20190630"</f>
        <v>20190630</v>
      </c>
      <c r="E2430" s="1" t="str">
        <f>"泰山学院"</f>
        <v>泰山学院</v>
      </c>
      <c r="F2430" s="1" t="str">
        <f>"行政管理"</f>
        <v>行政管理</v>
      </c>
      <c r="G2430" s="1" t="str">
        <f>"安徽省阜阳市临泉县陶老乡早里村委会喻楼46号"</f>
        <v>安徽省阜阳市临泉县陶老乡早里村委会喻楼46号</v>
      </c>
      <c r="H2430" s="1" t="str">
        <f t="shared" si="1206"/>
        <v>无</v>
      </c>
      <c r="I2430" s="1" t="str">
        <f>"201509-201906  泰山学院行政管理专业就读，是全日制；
201906-202408  安徽省临泉县陶老乡早里村委会喻楼，待业；
202408-202410  联勤保障部队某部队试用期文职人员；
202410-202507  安徽省临泉县陶老乡早里村委会喻楼，待业。"</f>
        <v>201509-201906  泰山学院行政管理专业就读，是全日制；
201906-202408  安徽省临泉县陶老乡早里村委会喻楼，待业；
202408-202410  联勤保障部队某部队试用期文职人员；
202410-202507  安徽省临泉县陶老乡早里村委会喻楼，待业。</v>
      </c>
    </row>
    <row r="2431" spans="1:9">
      <c r="A2431" s="1" t="str">
        <f>"410482200101131042"</f>
        <v>410482200101131042</v>
      </c>
      <c r="B2431" s="1" t="str">
        <f t="shared" si="1208"/>
        <v>共青团员</v>
      </c>
      <c r="C2431" s="1" t="str">
        <f t="shared" si="1209"/>
        <v>本科</v>
      </c>
      <c r="D2431" s="1" t="str">
        <f>"20250701"</f>
        <v>20250701</v>
      </c>
      <c r="E2431" s="1" t="str">
        <f>"郑州升达经贸管理学院"</f>
        <v>郑州升达经贸管理学院</v>
      </c>
      <c r="F2431" s="1" t="str">
        <f>"环境设计"</f>
        <v>环境设计</v>
      </c>
      <c r="G2431" s="1" t="str">
        <f>"河南省平顶山市汝州市永乐街西18排9号"</f>
        <v>河南省平顶山市汝州市永乐街西18排9号</v>
      </c>
      <c r="H2431" s="1" t="str">
        <f t="shared" si="1206"/>
        <v>无</v>
      </c>
      <c r="I2431" s="1" t="str">
        <f>"202009-202307河南建筑职业技术学院是全日制202309-202507郑州升达经贸管理学院是全日制"</f>
        <v>202009-202307河南建筑职业技术学院是全日制202309-202507郑州升达经贸管理学院是全日制</v>
      </c>
    </row>
    <row r="2432" spans="1:9">
      <c r="A2432" s="1" t="str">
        <f>"411327200112221538"</f>
        <v>411327200112221538</v>
      </c>
      <c r="B2432" s="1" t="str">
        <f t="shared" si="1207"/>
        <v>群众</v>
      </c>
      <c r="C2432" s="1" t="str">
        <f t="shared" si="1209"/>
        <v>本科</v>
      </c>
      <c r="D2432" s="1" t="str">
        <f>"20240701"</f>
        <v>20240701</v>
      </c>
      <c r="E2432" s="1" t="str">
        <f>"安徽工业大学"</f>
        <v>安徽工业大学</v>
      </c>
      <c r="F2432" s="1" t="str">
        <f>"工商管理"</f>
        <v>工商管理</v>
      </c>
      <c r="G2432" s="1" t="str">
        <f>"河南省南阳市内乡县湍东镇庙岗村王北组8号"</f>
        <v>河南省南阳市内乡县湍东镇庙岗村王北组8号</v>
      </c>
      <c r="H2432" s="1" t="str">
        <f t="shared" si="1206"/>
        <v>无</v>
      </c>
      <c r="I2432" s="1" t="str">
        <f>"202009-202407在安徽工业大学就读，全日制；
202407-202410在温州宏丰做储备生；
202410-202507在家待业
202507至今在河南时锦供应链管理有限公司工作"</f>
        <v>202009-202407在安徽工业大学就读，全日制；
202407-202410在温州宏丰做储备生；
202410-202507在家待业
202507至今在河南时锦供应链管理有限公司工作</v>
      </c>
    </row>
    <row r="2433" spans="1:9">
      <c r="A2433" s="1" t="str">
        <f>"411327200204171523"</f>
        <v>411327200204171523</v>
      </c>
      <c r="B2433" s="1" t="str">
        <f t="shared" si="1208"/>
        <v>共青团员</v>
      </c>
      <c r="C2433" s="1" t="str">
        <f t="shared" si="1209"/>
        <v>本科</v>
      </c>
      <c r="D2433" s="1" t="str">
        <f>"20240607"</f>
        <v>20240607</v>
      </c>
      <c r="E2433" s="1" t="str">
        <f>"南阳师范学院"</f>
        <v>南阳师范学院</v>
      </c>
      <c r="F2433" s="1" t="str">
        <f>"汉语言文学"</f>
        <v>汉语言文学</v>
      </c>
      <c r="G2433" s="1" t="str">
        <f>"河南省南阳市内乡县湍东镇屈庄村斜地"</f>
        <v>河南省南阳市内乡县湍东镇屈庄村斜地</v>
      </c>
      <c r="H2433" s="1" t="str">
        <f t="shared" si="1206"/>
        <v>无</v>
      </c>
      <c r="I2433" s="1" t="str">
        <f>"202009—202406 南阳师范学院文学院汉语言文学专业就读 全日制
202406—202507家中待业"</f>
        <v>202009—202406 南阳师范学院文学院汉语言文学专业就读 全日制
202406—202507家中待业</v>
      </c>
    </row>
    <row r="2434" spans="1:9">
      <c r="A2434" s="1" t="str">
        <f>"410324200001060612"</f>
        <v>410324200001060612</v>
      </c>
      <c r="B2434" s="1" t="str">
        <f t="shared" si="1208"/>
        <v>共青团员</v>
      </c>
      <c r="C2434" s="1" t="str">
        <f t="shared" ref="C2434:C2440" si="1210">"硕士研究生"</f>
        <v>硕士研究生</v>
      </c>
      <c r="D2434" s="1" t="str">
        <f>"2025-07-01"</f>
        <v>2025-07-01</v>
      </c>
      <c r="E2434" s="1" t="str">
        <f>"河南师范大学"</f>
        <v>河南师范大学</v>
      </c>
      <c r="F2434" s="1" t="str">
        <f>"世界史"</f>
        <v>世界史</v>
      </c>
      <c r="G2434" s="1" t="str">
        <f>"河南省栾川县伊水明珠小区"</f>
        <v>河南省栾川县伊水明珠小区</v>
      </c>
      <c r="H2434" s="1" t="str">
        <f t="shared" si="1206"/>
        <v>无</v>
      </c>
      <c r="I2434" s="1" t="str">
        <f>"201809-202207 河南财经政法大学会计学院审计学专业就读，全日制本科
202209-202507 河南师范大学历史文化学院世界史专业就读，全日制硕士研究生 "</f>
        <v>201809-202207 河南财经政法大学会计学院审计学专业就读，全日制本科
202209-202507 河南师范大学历史文化学院世界史专业就读，全日制硕士研究生 </v>
      </c>
    </row>
    <row r="2435" spans="1:9">
      <c r="A2435" s="1" t="str">
        <f>"411327200111090644"</f>
        <v>411327200111090644</v>
      </c>
      <c r="B2435" s="1" t="str">
        <f t="shared" si="1208"/>
        <v>共青团员</v>
      </c>
      <c r="C2435" s="1" t="str">
        <f t="shared" ref="C2435:C2438" si="1211">"本科"</f>
        <v>本科</v>
      </c>
      <c r="D2435" s="1" t="str">
        <f>"20240607"</f>
        <v>20240607</v>
      </c>
      <c r="E2435" s="1" t="str">
        <f>"南阳师范学院"</f>
        <v>南阳师范学院</v>
      </c>
      <c r="F2435" s="1" t="str">
        <f>"旅游管理"</f>
        <v>旅游管理</v>
      </c>
      <c r="G2435" s="1" t="str">
        <f>"南阳市卧龙区中州西路"</f>
        <v>南阳市卧龙区中州西路</v>
      </c>
      <c r="H2435" s="1" t="str">
        <f t="shared" si="1206"/>
        <v>无</v>
      </c>
      <c r="I2435" s="1" t="str">
        <f>"201909-202206  河南财政金融学院 就读。
202209-202406  南阳师范学院 就读。"</f>
        <v>201909-202206  河南财政金融学院 就读。
202209-202406  南阳师范学院 就读。</v>
      </c>
    </row>
    <row r="2436" spans="1:9">
      <c r="A2436" s="1" t="str">
        <f>"410503199411142526"</f>
        <v>410503199411142526</v>
      </c>
      <c r="B2436" s="1" t="str">
        <f t="shared" ref="B2436:B2439" si="1212">"群众"</f>
        <v>群众</v>
      </c>
      <c r="C2436" s="1" t="str">
        <f t="shared" si="1211"/>
        <v>本科</v>
      </c>
      <c r="D2436" s="1" t="str">
        <f>"20190630"</f>
        <v>20190630</v>
      </c>
      <c r="E2436" s="1" t="str">
        <f>"成都大学"</f>
        <v>成都大学</v>
      </c>
      <c r="F2436" s="1" t="str">
        <f>"视觉传达设计"</f>
        <v>视觉传达设计</v>
      </c>
      <c r="G2436" s="1" t="str">
        <f>"河南省安阳市广顺街1号元泰清华园"</f>
        <v>河南省安阳市广顺街1号元泰清华园</v>
      </c>
      <c r="H2436" s="1" t="str">
        <f>"美术教师资格证书"</f>
        <v>美术教师资格证书</v>
      </c>
      <c r="I2436" s="1" t="str">
        <f>"201509-201906  成都大学  就读视觉传达设计  全日制本科"</f>
        <v>201509-201906  成都大学  就读视觉传达设计  全日制本科</v>
      </c>
    </row>
    <row r="2437" spans="1:9">
      <c r="A2437" s="1" t="str">
        <f>"410324199801212826"</f>
        <v>410324199801212826</v>
      </c>
      <c r="B2437" s="1" t="str">
        <f>"共青团员"</f>
        <v>共青团员</v>
      </c>
      <c r="C2437" s="1" t="str">
        <f t="shared" si="1210"/>
        <v>硕士研究生</v>
      </c>
      <c r="D2437" s="1" t="str">
        <f>"20240612"</f>
        <v>20240612</v>
      </c>
      <c r="E2437" s="1" t="str">
        <f>"河南农业大学"</f>
        <v>河南农业大学</v>
      </c>
      <c r="F2437" s="1" t="str">
        <f>"095133畜牧"</f>
        <v>095133畜牧</v>
      </c>
      <c r="G2437" s="1" t="str">
        <f>"河南省洛阳市洛龙区金城寨街26号"</f>
        <v>河南省洛阳市洛龙区金城寨街26号</v>
      </c>
      <c r="H2437" s="1" t="str">
        <f t="shared" ref="H2437:H2445" si="1213">"无"</f>
        <v>无</v>
      </c>
      <c r="I2437" s="1" t="str">
        <f>"20160901-20200601 安徽农业大学 就读 在动物科技学院动物医学专业就读 是全日制学历
20200601-20210901在河南省洛阳市待业
20210901-20240612 河南农业大学 就读 在动物科技学院畜牧专业就读 是全日制学历
"</f>
        <v>20160901-20200601 安徽农业大学 就读 在动物科技学院动物医学专业就读 是全日制学历
20200601-20210901在河南省洛阳市待业
20210901-20240612 河南农业大学 就读 在动物科技学院畜牧专业就读 是全日制学历
</v>
      </c>
    </row>
    <row r="2438" spans="1:9">
      <c r="A2438" s="1" t="str">
        <f>"411321199909293623"</f>
        <v>411321199909293623</v>
      </c>
      <c r="B2438" s="1" t="str">
        <f t="shared" si="1212"/>
        <v>群众</v>
      </c>
      <c r="C2438" s="1" t="str">
        <f t="shared" si="1211"/>
        <v>本科</v>
      </c>
      <c r="D2438" s="1" t="str">
        <f>"20220701"</f>
        <v>20220701</v>
      </c>
      <c r="E2438" s="1" t="str">
        <f>"闽南理工学院"</f>
        <v>闽南理工学院</v>
      </c>
      <c r="F2438" s="1" t="str">
        <f>"经济学"</f>
        <v>经济学</v>
      </c>
      <c r="G2438" s="1" t="str">
        <f>"河南省南阳市桐柏县毛集镇田木湾村"</f>
        <v>河南省南阳市桐柏县毛集镇田木湾村</v>
      </c>
      <c r="H2438" s="1" t="str">
        <f t="shared" si="1213"/>
        <v>无</v>
      </c>
      <c r="I2438" s="1" t="str">
        <f>"2018.9-2022.7闽南理工学院 经济与管理学院 经济学专业
2022.7-2023.1晋江市梅岭多元游艺娱乐工作室
2023.1-2023.4待业
2023.5-至今 毛集司法所"</f>
        <v>2018.9-2022.7闽南理工学院 经济与管理学院 经济学专业
2022.7-2023.1晋江市梅岭多元游艺娱乐工作室
2023.1-2023.4待业
2023.5-至今 毛集司法所</v>
      </c>
    </row>
    <row r="2439" spans="1:9">
      <c r="A2439" s="1" t="str">
        <f>"411381200004233919"</f>
        <v>411381200004233919</v>
      </c>
      <c r="B2439" s="1" t="str">
        <f t="shared" si="1212"/>
        <v>群众</v>
      </c>
      <c r="C2439" s="1" t="str">
        <f t="shared" si="1210"/>
        <v>硕士研究生</v>
      </c>
      <c r="D2439" s="1" t="str">
        <f>"20250612"</f>
        <v>20250612</v>
      </c>
      <c r="E2439" s="1" t="str">
        <f>"青海大学"</f>
        <v>青海大学</v>
      </c>
      <c r="F2439" s="1" t="str">
        <f>"农艺与种业"</f>
        <v>农艺与种业</v>
      </c>
      <c r="G2439" s="1" t="str">
        <f>"河南省南阳市内乡县渚阳大街101号"</f>
        <v>河南省南阳市内乡县渚阳大街101号</v>
      </c>
      <c r="H2439" s="1" t="str">
        <f t="shared" si="1213"/>
        <v>无</v>
      </c>
      <c r="I2439" s="1" t="str">
        <f>"2018年9月-2022年7月就读于河南科技学院种子科学与工程专业，为全日制学士学历。
2022年9月-2025年6月就读于青海大学农艺与种业专业，为全日制硕士学历"</f>
        <v>2018年9月-2022年7月就读于河南科技学院种子科学与工程专业，为全日制学士学历。
2022年9月-2025年6月就读于青海大学农艺与种业专业，为全日制硕士学历</v>
      </c>
    </row>
    <row r="2440" spans="1:9">
      <c r="A2440" s="1" t="str">
        <f>"411327199909110020"</f>
        <v>411327199909110020</v>
      </c>
      <c r="B2440" s="1" t="str">
        <f t="shared" ref="B2440:B2445" si="1214">"共青团员"</f>
        <v>共青团员</v>
      </c>
      <c r="C2440" s="1" t="str">
        <f t="shared" si="1210"/>
        <v>硕士研究生</v>
      </c>
      <c r="D2440" s="1" t="str">
        <f>"20240627"</f>
        <v>20240627</v>
      </c>
      <c r="E2440" s="1" t="str">
        <f>"英国南安普顿大学"</f>
        <v>英国南安普顿大学</v>
      </c>
      <c r="F2440" s="1" t="str">
        <f>"教育学（教育实践与创新）"</f>
        <v>教育学（教育实践与创新）</v>
      </c>
      <c r="G2440" s="1" t="str">
        <f>"河南省内乡县城关镇县衙路12号"</f>
        <v>河南省内乡县城关镇县衙路12号</v>
      </c>
      <c r="H2440" s="1" t="str">
        <f t="shared" si="1213"/>
        <v>无</v>
      </c>
      <c r="I2440" s="1" t="str">
        <f>"201709-202106 河南科技学院就读
202107-202208 考研待业
202209-202406 英国南安普顿大学
202407-至今 待业"</f>
        <v>201709-202106 河南科技学院就读
202107-202208 考研待业
202209-202406 英国南安普顿大学
202407-至今 待业</v>
      </c>
    </row>
    <row r="2441" spans="1:9">
      <c r="A2441" s="1" t="str">
        <f>"411302199111241817"</f>
        <v>411302199111241817</v>
      </c>
      <c r="B2441" s="1" t="str">
        <f>"中共党员"</f>
        <v>中共党员</v>
      </c>
      <c r="C2441" s="1" t="str">
        <f t="shared" ref="C2441:C2446" si="1215">"专科"</f>
        <v>专科</v>
      </c>
      <c r="D2441" s="1" t="str">
        <f>"2012.07"</f>
        <v>2012.07</v>
      </c>
      <c r="E2441" s="1" t="str">
        <f>"开封大学"</f>
        <v>开封大学</v>
      </c>
      <c r="F2441" s="1" t="str">
        <f>"会计电算化"</f>
        <v>会计电算化</v>
      </c>
      <c r="G2441" s="1" t="str">
        <f>"南阳市长江路长江才苑7号楼1613户"</f>
        <v>南阳市长江路长江才苑7号楼1613户</v>
      </c>
      <c r="H2441" s="1" t="str">
        <f t="shared" si="1213"/>
        <v>无</v>
      </c>
      <c r="I2441" s="1" t="str">
        <f>"2010年9月-2012年7月就读于开封大学，学习会计电算化专业；
2011年9月-2013年12月就读于河南大学经济学院，学习经济学专业；
2013年10月-2017年10月工作于河南鸿德会计师事务所，从事审计、汇算等工作。2017年10月-至今工作于南阳市官庄工区财金事务局工作预算科、国库科、支付中心等局长安排的工作。"</f>
        <v>2010年9月-2012年7月就读于开封大学，学习会计电算化专业；
2011年9月-2013年12月就读于河南大学经济学院，学习经济学专业；
2013年10月-2017年10月工作于河南鸿德会计师事务所，从事审计、汇算等工作。2017年10月-至今工作于南阳市官庄工区财金事务局工作预算科、国库科、支付中心等局长安排的工作。</v>
      </c>
    </row>
    <row r="2442" spans="1:9">
      <c r="A2442" s="1" t="str">
        <f>"411327199701230023"</f>
        <v>411327199701230023</v>
      </c>
      <c r="B2442" s="1" t="str">
        <f>"群众"</f>
        <v>群众</v>
      </c>
      <c r="C2442" s="1" t="str">
        <f t="shared" ref="C2442:C2445" si="1216">"本科"</f>
        <v>本科</v>
      </c>
      <c r="D2442" s="1" t="str">
        <f>"20220701"</f>
        <v>20220701</v>
      </c>
      <c r="E2442" s="1" t="str">
        <f>"南阳师范学院"</f>
        <v>南阳师范学院</v>
      </c>
      <c r="F2442" s="1" t="str">
        <f>"汉语言文学"</f>
        <v>汉语言文学</v>
      </c>
      <c r="G2442" s="1" t="str">
        <f>"河南省南阳市内乡县宏达南路41巷"</f>
        <v>河南省南阳市内乡县宏达南路41巷</v>
      </c>
      <c r="H2442" s="1" t="str">
        <f t="shared" si="1213"/>
        <v>无</v>
      </c>
      <c r="I2442" s="1" t="str">
        <f>"202003-202207 南阳师范学院汉语言文学专业就读  非全日制"</f>
        <v>202003-202207 南阳师范学院汉语言文学专业就读  非全日制</v>
      </c>
    </row>
    <row r="2443" spans="1:9">
      <c r="A2443" s="1" t="str">
        <f>"411327200001183540"</f>
        <v>411327200001183540</v>
      </c>
      <c r="B2443" s="1" t="str">
        <f>"群众"</f>
        <v>群众</v>
      </c>
      <c r="C2443" s="1" t="str">
        <f t="shared" si="1215"/>
        <v>专科</v>
      </c>
      <c r="D2443" s="1" t="str">
        <f>"20210701"</f>
        <v>20210701</v>
      </c>
      <c r="E2443" s="1" t="str">
        <f>"三门峡职业技术学院"</f>
        <v>三门峡职业技术学院</v>
      </c>
      <c r="F2443" s="1" t="str">
        <f>"电子商务"</f>
        <v>电子商务</v>
      </c>
      <c r="G2443" s="1" t="str">
        <f>"内乡县菊城豪庭"</f>
        <v>内乡县菊城豪庭</v>
      </c>
      <c r="H2443" s="1" t="str">
        <f t="shared" si="1213"/>
        <v>无</v>
      </c>
      <c r="I2443" s="1" t="str">
        <f>"201809-202107 三门峡职业技术学院就读
202107-202412 南阳寅兴电子商务科技有限公司
202501至今 内乡县企业养老保险管理局"</f>
        <v>201809-202107 三门峡职业技术学院就读
202107-202412 南阳寅兴电子商务科技有限公司
202501至今 内乡县企业养老保险管理局</v>
      </c>
    </row>
    <row r="2444" spans="1:9">
      <c r="A2444" s="1" t="str">
        <f>"411381200210085929"</f>
        <v>411381200210085929</v>
      </c>
      <c r="B2444" s="1" t="str">
        <f t="shared" si="1214"/>
        <v>共青团员</v>
      </c>
      <c r="C2444" s="1" t="str">
        <f t="shared" si="1216"/>
        <v>本科</v>
      </c>
      <c r="D2444" s="1" t="str">
        <f>"20240630"</f>
        <v>20240630</v>
      </c>
      <c r="E2444" s="1" t="str">
        <f>"新乡学院"</f>
        <v>新乡学院</v>
      </c>
      <c r="F2444" s="1" t="str">
        <f>"化学"</f>
        <v>化学</v>
      </c>
      <c r="G2444" s="1" t="str">
        <f>"河南省南阳市邓州市金川盛世小区"</f>
        <v>河南省南阳市邓州市金川盛世小区</v>
      </c>
      <c r="H2444" s="1" t="str">
        <f t="shared" si="1213"/>
        <v>无</v>
      </c>
      <c r="I2444" s="1" t="str">
        <f>"202009-202406 新乡学院化学与材料工程学院化学专业就读，全日制学历
202406至今待业"</f>
        <v>202009-202406 新乡学院化学与材料工程学院化学专业就读，全日制学历
202406至今待业</v>
      </c>
    </row>
    <row r="2445" spans="1:9">
      <c r="A2445" s="1" t="str">
        <f>"410825200102177530"</f>
        <v>410825200102177530</v>
      </c>
      <c r="B2445" s="1" t="str">
        <f t="shared" si="1214"/>
        <v>共青团员</v>
      </c>
      <c r="C2445" s="1" t="str">
        <f t="shared" si="1216"/>
        <v>本科</v>
      </c>
      <c r="D2445" s="1" t="str">
        <f>"20250620"</f>
        <v>20250620</v>
      </c>
      <c r="E2445" s="1" t="str">
        <f>"长春师范大学"</f>
        <v>长春师范大学</v>
      </c>
      <c r="F2445" s="1" t="str">
        <f>"人工智能"</f>
        <v>人工智能</v>
      </c>
      <c r="G2445" s="1" t="str">
        <f>"河南省焦作市温县温泉街道育才街95号"</f>
        <v>河南省焦作市温县温泉街道育才街95号</v>
      </c>
      <c r="H2445" s="1" t="str">
        <f t="shared" si="1213"/>
        <v>无</v>
      </c>
      <c r="I2445" s="1" t="str">
        <f>"202109-202506在长春师范大学计算机科学与技术学院人工智能专业就读，全日制学历。"</f>
        <v>202109-202506在长春师范大学计算机科学与技术学院人工智能专业就读，全日制学历。</v>
      </c>
    </row>
    <row r="2446" spans="1:9">
      <c r="A2446" s="1" t="str">
        <f>"411326200307220029"</f>
        <v>411326200307220029</v>
      </c>
      <c r="B2446" s="1" t="str">
        <f t="shared" ref="B2446:B2451" si="1217">"中共党员"</f>
        <v>中共党员</v>
      </c>
      <c r="C2446" s="1" t="str">
        <f t="shared" si="1215"/>
        <v>专科</v>
      </c>
      <c r="D2446" s="1" t="str">
        <f>"20240701"</f>
        <v>20240701</v>
      </c>
      <c r="E2446" s="1" t="str">
        <f>"河南工程学院"</f>
        <v>河南工程学院</v>
      </c>
      <c r="F2446" s="1" t="str">
        <f>"现代纺织技术"</f>
        <v>现代纺织技术</v>
      </c>
      <c r="G2446" s="1" t="str">
        <f>"河南省南阳市南召县城郊乡南召县人民医院东门斜对面"</f>
        <v>河南省南阳市南召县城郊乡南召县人民医院东门斜对面</v>
      </c>
      <c r="H2446" s="1" t="str">
        <f>"职业技能等级证书纤维检验员三级/高级工"</f>
        <v>职业技能等级证书纤维检验员三级/高级工</v>
      </c>
      <c r="I2446" s="1" t="str">
        <f>"202109-202407 河南工程学院学校纺织工程院系现代纺织技术专业 就读，是全日制"</f>
        <v>202109-202407 河南工程学院学校纺织工程院系现代纺织技术专业 就读，是全日制</v>
      </c>
    </row>
    <row r="2447" spans="1:9">
      <c r="A2447" s="1" t="str">
        <f>"411081200306179026"</f>
        <v>411081200306179026</v>
      </c>
      <c r="B2447" s="1" t="str">
        <f t="shared" si="1217"/>
        <v>中共党员</v>
      </c>
      <c r="C2447" s="1" t="str">
        <f t="shared" ref="C2447:C2453" si="1218">"本科"</f>
        <v>本科</v>
      </c>
      <c r="D2447" s="1" t="str">
        <f>"20250701"</f>
        <v>20250701</v>
      </c>
      <c r="E2447" s="1" t="str">
        <f>"商丘学院"</f>
        <v>商丘学院</v>
      </c>
      <c r="F2447" s="1" t="str">
        <f>"小学教育（师范）"</f>
        <v>小学教育（师范）</v>
      </c>
      <c r="G2447" s="1" t="str">
        <f>"河南省禹州市鸿瑞花园"</f>
        <v>河南省禹州市鸿瑞花园</v>
      </c>
      <c r="H2447" s="1" t="str">
        <f t="shared" ref="H2447:H2459" si="1219">"无"</f>
        <v>无</v>
      </c>
      <c r="I2447" s="1" t="str">
        <f>"202109-202507 商丘学院人文学院小学教育（师范）专业就读"</f>
        <v>202109-202507 商丘学院人文学院小学教育（师范）专业就读</v>
      </c>
    </row>
    <row r="2448" spans="1:9">
      <c r="A2448" s="1" t="str">
        <f>"410782199110240479"</f>
        <v>410782199110240479</v>
      </c>
      <c r="B2448" s="1" t="str">
        <f t="shared" ref="B2448:B2456" si="1220">"群众"</f>
        <v>群众</v>
      </c>
      <c r="C2448" s="1" t="str">
        <f t="shared" si="1218"/>
        <v>本科</v>
      </c>
      <c r="D2448" s="1" t="str">
        <f>"20140701"</f>
        <v>20140701</v>
      </c>
      <c r="E2448" s="1" t="str">
        <f>"河南农业大学"</f>
        <v>河南农业大学</v>
      </c>
      <c r="F2448" s="1" t="str">
        <f>"国际经济与贸易"</f>
        <v>国际经济与贸易</v>
      </c>
      <c r="G2448" s="1" t="str">
        <f>"河南省新乡市辉县市百泉镇北关村690号"</f>
        <v>河南省新乡市辉县市百泉镇北关村690号</v>
      </c>
      <c r="H2448" s="1" t="str">
        <f t="shared" si="1219"/>
        <v>无</v>
      </c>
      <c r="I2448" s="1" t="str">
        <f>"20100917-20140701 河南农业大学，经济与管理学院，国际经济与贸易专业就读，全日制学历；
20140702-20150614 在河南新乡市辉县市待业；
20150615-20230514 在中国平安人寿保险股份有限公司新乡中心支公司工作；
20230515-至今 在河南新乡市红旗区待业；"</f>
        <v>20100917-20140701 河南农业大学，经济与管理学院，国际经济与贸易专业就读，全日制学历；
20140702-20150614 在河南新乡市辉县市待业；
20150615-20230514 在中国平安人寿保险股份有限公司新乡中心支公司工作；
20230515-至今 在河南新乡市红旗区待业；</v>
      </c>
    </row>
    <row r="2449" spans="1:9">
      <c r="A2449" s="1" t="str">
        <f>"411327200212163910"</f>
        <v>411327200212163910</v>
      </c>
      <c r="B2449" s="1" t="str">
        <f t="shared" si="1220"/>
        <v>群众</v>
      </c>
      <c r="C2449" s="1" t="str">
        <f>"专科"</f>
        <v>专科</v>
      </c>
      <c r="D2449" s="1" t="str">
        <f>"20220601"</f>
        <v>20220601</v>
      </c>
      <c r="E2449" s="1" t="str">
        <f>"郑州财税金融职业学院"</f>
        <v>郑州财税金融职业学院</v>
      </c>
      <c r="F2449" s="1" t="str">
        <f>"工程造价"</f>
        <v>工程造价</v>
      </c>
      <c r="G2449" s="1" t="str">
        <f>"河南南阳"</f>
        <v>河南南阳</v>
      </c>
      <c r="H2449" s="1" t="str">
        <f t="shared" si="1219"/>
        <v>无</v>
      </c>
      <c r="I2449" s="1" t="str">
        <f>"201909-202206  郑州财税金融职业学院 就读 全日制学历 202109-202309参军入伍"</f>
        <v>201909-202206  郑州财税金融职业学院 就读 全日制学历 202109-202309参军入伍</v>
      </c>
    </row>
    <row r="2450" spans="1:9">
      <c r="A2450" s="1" t="str">
        <f>"410324199505071432"</f>
        <v>410324199505071432</v>
      </c>
      <c r="B2450" s="1" t="str">
        <f t="shared" si="1217"/>
        <v>中共党员</v>
      </c>
      <c r="C2450" s="1" t="str">
        <f t="shared" si="1218"/>
        <v>本科</v>
      </c>
      <c r="D2450" s="1" t="str">
        <f>"20190701"</f>
        <v>20190701</v>
      </c>
      <c r="E2450" s="1" t="str">
        <f>"商丘学院"</f>
        <v>商丘学院</v>
      </c>
      <c r="F2450" s="1" t="str">
        <f>"土木工程"</f>
        <v>土木工程</v>
      </c>
      <c r="G2450" s="1" t="str">
        <f>"河南省洛阳市栾川县潭头镇"</f>
        <v>河南省洛阳市栾川县潭头镇</v>
      </c>
      <c r="H2450" s="1" t="str">
        <f t="shared" si="1219"/>
        <v>无</v>
      </c>
      <c r="I2450" s="1" t="str">
        <f>"201409-201707三门峡职业技术学院建筑工程学院建筑装饰工程技术专业就读，全日制
201709-201907商丘学院土木建筑系土木工程专业就读，全日制
201908-202007中国黄金集团第三工程有限公司
202008-202203河南聚百草商贸公司
202204-202302河南盛普建设工程有限公司
202303-至今栾川金鼎矿业有限公司"</f>
        <v>201409-201707三门峡职业技术学院建筑工程学院建筑装饰工程技术专业就读，全日制
201709-201907商丘学院土木建筑系土木工程专业就读，全日制
201908-202007中国黄金集团第三工程有限公司
202008-202203河南聚百草商贸公司
202204-202302河南盛普建设工程有限公司
202303-至今栾川金鼎矿业有限公司</v>
      </c>
    </row>
    <row r="2451" spans="1:9">
      <c r="A2451" s="1" t="str">
        <f>"411330200205314520"</f>
        <v>411330200205314520</v>
      </c>
      <c r="B2451" s="1" t="str">
        <f t="shared" si="1217"/>
        <v>中共党员</v>
      </c>
      <c r="C2451" s="1" t="str">
        <f t="shared" si="1218"/>
        <v>本科</v>
      </c>
      <c r="D2451" s="1" t="str">
        <f>"20240701"</f>
        <v>20240701</v>
      </c>
      <c r="E2451" s="1" t="str">
        <f>"郑州商学院"</f>
        <v>郑州商学院</v>
      </c>
      <c r="F2451" s="1" t="str">
        <f>"学前教育（师范）"</f>
        <v>学前教育（师范）</v>
      </c>
      <c r="G2451" s="1" t="str">
        <f>"河南省西峡县米坪镇堂坪村"</f>
        <v>河南省西峡县米坪镇堂坪村</v>
      </c>
      <c r="H2451" s="1" t="str">
        <f t="shared" si="1219"/>
        <v>无</v>
      </c>
      <c r="I2451" s="1" t="str">
        <f>"202009-202407在郑州商学院新闻与传播学院学前教育专业就读，是全日制学历。"</f>
        <v>202009-202407在郑州商学院新闻与传播学院学前教育专业就读，是全日制学历。</v>
      </c>
    </row>
    <row r="2452" spans="1:9">
      <c r="A2452" s="1" t="str">
        <f>"411327199611084528"</f>
        <v>411327199611084528</v>
      </c>
      <c r="B2452" s="1" t="str">
        <f t="shared" si="1220"/>
        <v>群众</v>
      </c>
      <c r="C2452" s="1" t="str">
        <f t="shared" si="1218"/>
        <v>本科</v>
      </c>
      <c r="D2452" s="1" t="str">
        <f>"20190607"</f>
        <v>20190607</v>
      </c>
      <c r="E2452" s="1" t="str">
        <f>"河南工程学院"</f>
        <v>河南工程学院</v>
      </c>
      <c r="F2452" s="1" t="str">
        <f>"软件工程"</f>
        <v>软件工程</v>
      </c>
      <c r="G2452" s="1" t="str">
        <f>"河南省南阳市内乡县湍东镇张岗村"</f>
        <v>河南省南阳市内乡县湍东镇张岗村</v>
      </c>
      <c r="H2452" s="1" t="str">
        <f t="shared" si="1219"/>
        <v>无</v>
      </c>
      <c r="I2452" s="1" t="str">
        <f>"201409-201706 安阳工学院计算机学院计算机应用技术专业 就读 全日制
201709-201906 河南工程学院计算机学院软件工程专业 就读 全日制
201906-202206 郑州金水耶鲁外语培训学校 就职
202206-至今 洛阳文都教育科技有限公司 就职"</f>
        <v>201409-201706 安阳工学院计算机学院计算机应用技术专业 就读 全日制
201709-201906 河南工程学院计算机学院软件工程专业 就读 全日制
201906-202206 郑州金水耶鲁外语培训学校 就职
202206-至今 洛阳文都教育科技有限公司 就职</v>
      </c>
    </row>
    <row r="2453" spans="1:9">
      <c r="A2453" s="1" t="str">
        <f>"410224199008130029"</f>
        <v>410224199008130029</v>
      </c>
      <c r="B2453" s="1" t="str">
        <f t="shared" si="1220"/>
        <v>群众</v>
      </c>
      <c r="C2453" s="1" t="str">
        <f t="shared" si="1218"/>
        <v>本科</v>
      </c>
      <c r="D2453" s="1" t="str">
        <f>"20230620"</f>
        <v>20230620</v>
      </c>
      <c r="E2453" s="1" t="str">
        <f>"河南大学"</f>
        <v>河南大学</v>
      </c>
      <c r="F2453" s="1" t="str">
        <f>"工商管理"</f>
        <v>工商管理</v>
      </c>
      <c r="G2453" s="1" t="str">
        <f>"河南省开封市郑开橄榄城1期"</f>
        <v>河南省开封市郑开橄榄城1期</v>
      </c>
      <c r="H2453" s="1" t="str">
        <f t="shared" si="1219"/>
        <v>无</v>
      </c>
      <c r="I2453" s="1" t="str">
        <f>"2021年3月-2023年6月 就读于河南大学工商管理专业 非全日制
2023年6月至今待业"</f>
        <v>2021年3月-2023年6月 就读于河南大学工商管理专业 非全日制
2023年6月至今待业</v>
      </c>
    </row>
    <row r="2454" spans="1:9">
      <c r="A2454" s="1" t="str">
        <f>"411528199409051615"</f>
        <v>411528199409051615</v>
      </c>
      <c r="B2454" s="1" t="str">
        <f t="shared" si="1220"/>
        <v>群众</v>
      </c>
      <c r="C2454" s="1" t="str">
        <f>"硕士研究生"</f>
        <v>硕士研究生</v>
      </c>
      <c r="D2454" s="1" t="str">
        <f>"2023-07-01"</f>
        <v>2023-07-01</v>
      </c>
      <c r="E2454" s="1" t="str">
        <f>"河南科技学院"</f>
        <v>河南科技学院</v>
      </c>
      <c r="F2454" s="1" t="str">
        <f>"农村发展"</f>
        <v>农村发展</v>
      </c>
      <c r="G2454" s="1" t="str">
        <f>"河南省信阳市息县杨店乡街村一组"</f>
        <v>河南省信阳市息县杨店乡街村一组</v>
      </c>
      <c r="H2454" s="1" t="str">
        <f t="shared" si="1219"/>
        <v>无</v>
      </c>
      <c r="I2454" s="1" t="str">
        <f>"2010.09-2013.07 息县一高
2013.09-2017.07 黄河科技学院
2017.09-2020.07 河南德汇投资集团有限公司
2020.09-2023.07 河南科技学院
2023至今 待业"</f>
        <v>2010.09-2013.07 息县一高
2013.09-2017.07 黄河科技学院
2017.09-2020.07 河南德汇投资集团有限公司
2020.09-2023.07 河南科技学院
2023至今 待业</v>
      </c>
    </row>
    <row r="2455" spans="1:9">
      <c r="A2455" s="1" t="str">
        <f>"411103200402190053"</f>
        <v>411103200402190053</v>
      </c>
      <c r="B2455" s="1" t="str">
        <f t="shared" si="1220"/>
        <v>群众</v>
      </c>
      <c r="C2455" s="1" t="str">
        <f t="shared" ref="C2455:C2460" si="1221">"本科"</f>
        <v>本科</v>
      </c>
      <c r="D2455" s="1" t="str">
        <f>"20250607"</f>
        <v>20250607</v>
      </c>
      <c r="E2455" s="1" t="str">
        <f>"信阳学院"</f>
        <v>信阳学院</v>
      </c>
      <c r="F2455" s="1" t="str">
        <f>"音乐学"</f>
        <v>音乐学</v>
      </c>
      <c r="G2455" s="1" t="str">
        <f>"河南省漯河市郾城区海河路种子公司家属院"</f>
        <v>河南省漯河市郾城区海河路种子公司家属院</v>
      </c>
      <c r="H2455" s="1" t="str">
        <f t="shared" si="1219"/>
        <v>无</v>
      </c>
      <c r="I2455" s="1" t="str">
        <f>"2019年09月-2025年06月 信阳学院音乐学院音乐学专业就读，是全日制学历。"</f>
        <v>2019年09月-2025年06月 信阳学院音乐学院音乐学专业就读，是全日制学历。</v>
      </c>
    </row>
    <row r="2456" spans="1:9">
      <c r="A2456" s="1" t="str">
        <f>"411528200401063369"</f>
        <v>411528200401063369</v>
      </c>
      <c r="B2456" s="1" t="str">
        <f t="shared" si="1220"/>
        <v>群众</v>
      </c>
      <c r="C2456" s="1" t="str">
        <f t="shared" ref="C2456:C2462" si="1222">"专科"</f>
        <v>专科</v>
      </c>
      <c r="D2456" s="1" t="str">
        <f>"2025年7月1日"</f>
        <v>2025年7月1日</v>
      </c>
      <c r="E2456" s="1" t="str">
        <f>"河南职业技术学院"</f>
        <v>河南职业技术学院</v>
      </c>
      <c r="F2456" s="1" t="str">
        <f>"大数据与会计"</f>
        <v>大数据与会计</v>
      </c>
      <c r="G2456" s="1" t="str">
        <f>"河南省信阳市"</f>
        <v>河南省信阳市</v>
      </c>
      <c r="H2456" s="1" t="str">
        <f t="shared" si="1219"/>
        <v>无</v>
      </c>
      <c r="I2456" s="1" t="str">
        <f>"2022年9月-2025年7月在河南职业技术学院学习"</f>
        <v>2022年9月-2025年7月在河南职业技术学院学习</v>
      </c>
    </row>
    <row r="2457" spans="1:9">
      <c r="A2457" s="1" t="str">
        <f>"371525200110025934"</f>
        <v>371525200110025934</v>
      </c>
      <c r="B2457" s="1" t="str">
        <f>"共青团员"</f>
        <v>共青团员</v>
      </c>
      <c r="C2457" s="1" t="str">
        <f t="shared" si="1221"/>
        <v>本科</v>
      </c>
      <c r="D2457" s="1" t="str">
        <f>"20230630"</f>
        <v>20230630</v>
      </c>
      <c r="E2457" s="1" t="str">
        <f>"新乡学院"</f>
        <v>新乡学院</v>
      </c>
      <c r="F2457" s="1" t="str">
        <f>"城乡规划"</f>
        <v>城乡规划</v>
      </c>
      <c r="G2457" s="1" t="str">
        <f>"山东省聊城市冠县"</f>
        <v>山东省聊城市冠县</v>
      </c>
      <c r="H2457" s="1" t="str">
        <f t="shared" si="1219"/>
        <v>无</v>
      </c>
      <c r="I2457" s="1" t="str">
        <f>"201909-202107 南阳职业学院建筑工程管理专业就读 全日制
202109-202306 新乡学院城乡规划专业就读 全日制
202306-至今 在家待业"</f>
        <v>201909-202107 南阳职业学院建筑工程管理专业就读 全日制
202109-202306 新乡学院城乡规划专业就读 全日制
202306-至今 在家待业</v>
      </c>
    </row>
    <row r="2458" spans="1:9">
      <c r="A2458" s="1" t="str">
        <f>"411381199910030026"</f>
        <v>411381199910030026</v>
      </c>
      <c r="B2458" s="1" t="str">
        <f>"共青团员"</f>
        <v>共青团员</v>
      </c>
      <c r="C2458" s="1" t="str">
        <f t="shared" si="1222"/>
        <v>专科</v>
      </c>
      <c r="D2458" s="1" t="str">
        <f>"20200701"</f>
        <v>20200701</v>
      </c>
      <c r="E2458" s="1" t="str">
        <f>"郑州升达经贸管理学院"</f>
        <v>郑州升达经贸管理学院</v>
      </c>
      <c r="F2458" s="1" t="str">
        <f>"酒店管理"</f>
        <v>酒店管理</v>
      </c>
      <c r="G2458" s="1" t="str">
        <f>"河南省南阳市内乡县"</f>
        <v>河南省南阳市内乡县</v>
      </c>
      <c r="H2458" s="1" t="str">
        <f t="shared" si="1219"/>
        <v>无</v>
      </c>
      <c r="I2458" s="1" t="str">
        <f>"201709-202007郑州升达经贸管理学院全日制就读酒店管理专业。毕业后于内乡县菊潭学校就业小学部六年级语文老师至2022年辞职，后就业于内乡县君诚商贸有限公司财务部至今。"</f>
        <v>201709-202007郑州升达经贸管理学院全日制就读酒店管理专业。毕业后于内乡县菊潭学校就业小学部六年级语文老师至2022年辞职，后就业于内乡县君诚商贸有限公司财务部至今。</v>
      </c>
    </row>
    <row r="2459" spans="1:9">
      <c r="A2459" s="1" t="str">
        <f>"412822199906225873"</f>
        <v>412822199906225873</v>
      </c>
      <c r="B2459" s="1" t="str">
        <f t="shared" ref="B2459:B2465" si="1223">"群众"</f>
        <v>群众</v>
      </c>
      <c r="C2459" s="1" t="str">
        <f>"硕士研究生"</f>
        <v>硕士研究生</v>
      </c>
      <c r="D2459" s="1" t="str">
        <f>"2024-06-12"</f>
        <v>2024-06-12</v>
      </c>
      <c r="E2459" s="1" t="str">
        <f>"河南农业大学"</f>
        <v>河南农业大学</v>
      </c>
      <c r="F2459" s="1" t="str">
        <f>"作物学"</f>
        <v>作物学</v>
      </c>
      <c r="G2459" s="1" t="str">
        <f>"河南省驻马店市泌阳县"</f>
        <v>河南省驻马店市泌阳县</v>
      </c>
      <c r="H2459" s="1" t="str">
        <f t="shared" si="1219"/>
        <v>无</v>
      </c>
      <c r="I2459" s="1" t="str">
        <f>"201709-202106  河南科技学院种子科学与工程专业就读 全日制本科学历
202109-202406   河南农业大学作物学专业就读   全日制硕士学历
202406-至今    无"</f>
        <v>201709-202106  河南科技学院种子科学与工程专业就读 全日制本科学历
202109-202406   河南农业大学作物学专业就读   全日制硕士学历
202406-至今    无</v>
      </c>
    </row>
    <row r="2460" spans="1:9">
      <c r="A2460" s="1" t="str">
        <f>"411327199411050040"</f>
        <v>411327199411050040</v>
      </c>
      <c r="B2460" s="1" t="str">
        <f>"中共党员"</f>
        <v>中共党员</v>
      </c>
      <c r="C2460" s="1" t="str">
        <f t="shared" si="1221"/>
        <v>本科</v>
      </c>
      <c r="D2460" s="1" t="str">
        <f>"20170623"</f>
        <v>20170623</v>
      </c>
      <c r="E2460" s="1" t="str">
        <f>"石河子大学"</f>
        <v>石河子大学</v>
      </c>
      <c r="F2460" s="1" t="str">
        <f>"审计学"</f>
        <v>审计学</v>
      </c>
      <c r="G2460" s="1" t="str">
        <f>"河南省内乡县城关镇县衙路菊西组"</f>
        <v>河南省内乡县城关镇县衙路菊西组</v>
      </c>
      <c r="H2460" s="1" t="str">
        <f>"中级会计师"</f>
        <v>中级会计师</v>
      </c>
      <c r="I2460" s="1" t="str">
        <f>"201309-201706 石河子大学 审计学 全日制"</f>
        <v>201309-201706 石河子大学 审计学 全日制</v>
      </c>
    </row>
    <row r="2461" spans="1:9">
      <c r="A2461" s="1" t="str">
        <f>"411523199611030437"</f>
        <v>411523199611030437</v>
      </c>
      <c r="B2461" s="1" t="str">
        <f t="shared" si="1223"/>
        <v>群众</v>
      </c>
      <c r="C2461" s="1" t="str">
        <f t="shared" si="1222"/>
        <v>专科</v>
      </c>
      <c r="D2461" s="1" t="str">
        <f>"20180610"</f>
        <v>20180610</v>
      </c>
      <c r="E2461" s="1" t="str">
        <f>"河南机电职业学院"</f>
        <v>河南机电职业学院</v>
      </c>
      <c r="F2461" s="1" t="str">
        <f>"计算机应用技术"</f>
        <v>计算机应用技术</v>
      </c>
      <c r="G2461" s="1" t="str">
        <f>"河南省信阳市新县京九路幸福家园"</f>
        <v>河南省信阳市新县京九路幸福家园</v>
      </c>
      <c r="H2461" s="1" t="str">
        <f t="shared" ref="H2461:H2479" si="1224">"无"</f>
        <v>无</v>
      </c>
      <c r="I2461" s="1" t="str">
        <f>"201509-201806   在河南机电职业学院信息工程学院计算机应用技术专业就读
201807-202506   在河南省信阳市新县司法局工作"</f>
        <v>201509-201806   在河南机电职业学院信息工程学院计算机应用技术专业就读
201807-202506   在河南省信阳市新县司法局工作</v>
      </c>
    </row>
    <row r="2462" spans="1:9">
      <c r="A2462" s="1" t="str">
        <f>"411302200212080157"</f>
        <v>411302200212080157</v>
      </c>
      <c r="B2462" s="1" t="str">
        <f>"中共党员"</f>
        <v>中共党员</v>
      </c>
      <c r="C2462" s="1" t="str">
        <f t="shared" si="1222"/>
        <v>专科</v>
      </c>
      <c r="D2462" s="1" t="str">
        <f>"2024620"</f>
        <v>2024620</v>
      </c>
      <c r="E2462" s="1" t="str">
        <f>"黄河科技学院"</f>
        <v>黄河科技学院</v>
      </c>
      <c r="F2462" s="1" t="str">
        <f>"视觉传达设计"</f>
        <v>视觉传达设计</v>
      </c>
      <c r="G2462" s="1" t="str">
        <f>"河南省南阳市"</f>
        <v>河南省南阳市</v>
      </c>
      <c r="H2462" s="1" t="str">
        <f t="shared" si="1224"/>
        <v>无</v>
      </c>
      <c r="I2462" s="1" t="str">
        <f>"20219-20246 黄河科技学院就读 是全日制学历"</f>
        <v>20219-20246 黄河科技学院就读 是全日制学历</v>
      </c>
    </row>
    <row r="2463" spans="1:9">
      <c r="A2463" s="1" t="str">
        <f>"411327199901240023"</f>
        <v>411327199901240023</v>
      </c>
      <c r="B2463" s="1" t="str">
        <f t="shared" si="1223"/>
        <v>群众</v>
      </c>
      <c r="C2463" s="1" t="str">
        <f t="shared" ref="C2463:C2471" si="1225">"本科"</f>
        <v>本科</v>
      </c>
      <c r="D2463" s="1" t="str">
        <f>"20220607"</f>
        <v>20220607</v>
      </c>
      <c r="E2463" s="1" t="str">
        <f>"新乡学院"</f>
        <v>新乡学院</v>
      </c>
      <c r="F2463" s="1" t="str">
        <f>"学前教育"</f>
        <v>学前教育</v>
      </c>
      <c r="G2463" s="1" t="str">
        <f>"河南省南阳市内乡县城关镇清心路四巷11号"</f>
        <v>河南省南阳市内乡县城关镇清心路四巷11号</v>
      </c>
      <c r="H2463" s="1" t="str">
        <f t="shared" si="1224"/>
        <v>无</v>
      </c>
      <c r="I2463" s="1" t="str">
        <f>"201709-202006 南阳师范学院 文史学院学前教育就读  全日制大专
202009-202206  新乡学院 教育科学学院学前教育就读  全日制本科"</f>
        <v>201709-202006 南阳师范学院 文史学院学前教育就读  全日制大专
202009-202206  新乡学院 教育科学学院学前教育就读  全日制本科</v>
      </c>
    </row>
    <row r="2464" spans="1:9">
      <c r="A2464" s="1" t="str">
        <f>"411324199902015523"</f>
        <v>411324199902015523</v>
      </c>
      <c r="B2464" s="1" t="str">
        <f t="shared" si="1223"/>
        <v>群众</v>
      </c>
      <c r="C2464" s="1" t="str">
        <f t="shared" si="1225"/>
        <v>本科</v>
      </c>
      <c r="D2464" s="1" t="str">
        <f>"202407"</f>
        <v>202407</v>
      </c>
      <c r="E2464" s="1" t="str">
        <f>"郑州师范学院"</f>
        <v>郑州师范学院</v>
      </c>
      <c r="F2464" s="1" t="str">
        <f>"小学教育"</f>
        <v>小学教育</v>
      </c>
      <c r="G2464" s="1" t="str">
        <f>"南阳市镇平县"</f>
        <v>南阳市镇平县</v>
      </c>
      <c r="H2464" s="1" t="str">
        <f t="shared" si="1224"/>
        <v>无</v>
      </c>
      <c r="I2464" s="1" t="str">
        <f>"201709-202007 商丘医学高等专科学校 临床专业就读 全日制
202203-202407 郑州师范学院   小学教育就读  非全日制"</f>
        <v>201709-202007 商丘医学高等专科学校 临床专业就读 全日制
202203-202407 郑州师范学院   小学教育就读  非全日制</v>
      </c>
    </row>
    <row r="2465" spans="1:9">
      <c r="A2465" s="1" t="str">
        <f>"411221200102076521"</f>
        <v>411221200102076521</v>
      </c>
      <c r="B2465" s="1" t="str">
        <f t="shared" si="1223"/>
        <v>群众</v>
      </c>
      <c r="C2465" s="1" t="str">
        <f t="shared" si="1225"/>
        <v>本科</v>
      </c>
      <c r="D2465" s="1" t="str">
        <f>"20250630"</f>
        <v>20250630</v>
      </c>
      <c r="E2465" s="1" t="str">
        <f>"广州理工学院"</f>
        <v>广州理工学院</v>
      </c>
      <c r="F2465" s="1" t="str">
        <f>"汉语言文学"</f>
        <v>汉语言文学</v>
      </c>
      <c r="G2465" s="1" t="str">
        <f>"河南省三门峡市渑池县黄河路花园新区"</f>
        <v>河南省三门峡市渑池县黄河路花园新区</v>
      </c>
      <c r="H2465" s="1" t="str">
        <f t="shared" si="1224"/>
        <v>无</v>
      </c>
      <c r="I2465" s="1" t="str">
        <f>"202309-202506 广州理工学院就读，汉语言文学专业，全日制学历
201909-202207 漯河医学高等专科学校就读，临床医学专业，全日制学历
"</f>
        <v>202309-202506 广州理工学院就读，汉语言文学专业，全日制学历
201909-202207 漯河医学高等专科学校就读，临床医学专业，全日制学历
</v>
      </c>
    </row>
    <row r="2466" spans="1:9">
      <c r="A2466" s="1" t="str">
        <f>"411327200210091562"</f>
        <v>411327200210091562</v>
      </c>
      <c r="B2466" s="1" t="str">
        <f>"共青团员"</f>
        <v>共青团员</v>
      </c>
      <c r="C2466" s="1" t="str">
        <f t="shared" si="1225"/>
        <v>本科</v>
      </c>
      <c r="D2466" s="1" t="str">
        <f>"2022-07-01"</f>
        <v>2022-07-01</v>
      </c>
      <c r="E2466" s="1" t="str">
        <f>"中原工学院"</f>
        <v>中原工学院</v>
      </c>
      <c r="F2466" s="1" t="str">
        <f>"信息与计算科学"</f>
        <v>信息与计算科学</v>
      </c>
      <c r="G2466" s="1" t="str">
        <f>"河南省内乡县湍东镇罗岗村罗东组"</f>
        <v>河南省内乡县湍东镇罗岗村罗东组</v>
      </c>
      <c r="H2466" s="1" t="str">
        <f t="shared" si="1224"/>
        <v>无</v>
      </c>
      <c r="I2466" s="1" t="str">
        <f>"201809-202206   于中原工学院    理学院    信息与计算科学 专业   就读
是全日制学历
202208-至今    于内乡复兴学校工作"</f>
        <v>201809-202206   于中原工学院    理学院    信息与计算科学 专业   就读
是全日制学历
202208-至今    于内乡复兴学校工作</v>
      </c>
    </row>
    <row r="2467" spans="1:9">
      <c r="A2467" s="1" t="str">
        <f>"411481200104019093"</f>
        <v>411481200104019093</v>
      </c>
      <c r="B2467" s="1" t="str">
        <f t="shared" ref="B2467:B2470" si="1226">"中共党员"</f>
        <v>中共党员</v>
      </c>
      <c r="C2467" s="1" t="str">
        <f t="shared" si="1225"/>
        <v>本科</v>
      </c>
      <c r="D2467" s="1" t="str">
        <f>"20240601"</f>
        <v>20240601</v>
      </c>
      <c r="E2467" s="1" t="str">
        <f>"南阳师范学院"</f>
        <v>南阳师范学院</v>
      </c>
      <c r="F2467" s="1" t="str">
        <f>"软件工程"</f>
        <v>软件工程</v>
      </c>
      <c r="G2467" s="1" t="str">
        <f>"河南省商丘市永城市东城区道北岚湾国际"</f>
        <v>河南省商丘市永城市东城区道北岚湾国际</v>
      </c>
      <c r="H2467" s="1" t="str">
        <f t="shared" si="1224"/>
        <v>无</v>
      </c>
      <c r="I2467" s="1" t="str">
        <f>"2020.09-2024.06南阳师范学院人工智能与软件工程学院软件工程专业就读"</f>
        <v>2020.09-2024.06南阳师范学院人工智能与软件工程学院软件工程专业就读</v>
      </c>
    </row>
    <row r="2468" spans="1:9">
      <c r="A2468" s="1" t="str">
        <f>"411303199609235920"</f>
        <v>411303199609235920</v>
      </c>
      <c r="B2468" s="1" t="str">
        <f t="shared" si="1226"/>
        <v>中共党员</v>
      </c>
      <c r="C2468" s="1" t="str">
        <f t="shared" si="1225"/>
        <v>本科</v>
      </c>
      <c r="D2468" s="1" t="str">
        <f>"20190701"</f>
        <v>20190701</v>
      </c>
      <c r="E2468" s="1" t="str">
        <f>"郑州科技学院"</f>
        <v>郑州科技学院</v>
      </c>
      <c r="F2468" s="1" t="str">
        <f>"财务管理"</f>
        <v>财务管理</v>
      </c>
      <c r="G2468" s="1" t="str">
        <f>"河南省南阳市卧龙区"</f>
        <v>河南省南阳市卧龙区</v>
      </c>
      <c r="H2468" s="1" t="str">
        <f t="shared" si="1224"/>
        <v>无</v>
      </c>
      <c r="I2468" s="1" t="str">
        <f>"201509-201907郑州科技学院就读
201907-202006郑州城轨交通中等专业学校辅导员
202007-202206郑州城轨交通中等专业学校年级主任
202207-至今郑州工业安全职业学院学管主任"</f>
        <v>201509-201907郑州科技学院就读
201907-202006郑州城轨交通中等专业学校辅导员
202007-202206郑州城轨交通中等专业学校年级主任
202207-至今郑州工业安全职业学院学管主任</v>
      </c>
    </row>
    <row r="2469" spans="1:9">
      <c r="A2469" s="1" t="str">
        <f>"230221199102045215"</f>
        <v>230221199102045215</v>
      </c>
      <c r="B2469" s="1" t="str">
        <f t="shared" ref="B2469:B2472" si="1227">"群众"</f>
        <v>群众</v>
      </c>
      <c r="C2469" s="1" t="str">
        <f t="shared" si="1225"/>
        <v>本科</v>
      </c>
      <c r="D2469" s="1" t="str">
        <f>"20160705"</f>
        <v>20160705</v>
      </c>
      <c r="E2469" s="1" t="str">
        <f>"内蒙古工业大学"</f>
        <v>内蒙古工业大学</v>
      </c>
      <c r="F2469" s="1" t="str">
        <f>"电气工程及其自动化"</f>
        <v>电气工程及其自动化</v>
      </c>
      <c r="G2469" s="1" t="str">
        <f>"陕西省西安市莲湖区枣园街道恒大翡翠华庭"</f>
        <v>陕西省西安市莲湖区枣园街道恒大翡翠华庭</v>
      </c>
      <c r="H2469" s="1" t="str">
        <f t="shared" si="1224"/>
        <v>无</v>
      </c>
      <c r="I2469" s="1" t="str">
        <f>"201209-201607  内蒙古工业大学  电气工程及其自动化
201607-至今       陕西厚和济健康产业有限公司  经理"</f>
        <v>201209-201607  内蒙古工业大学  电气工程及其自动化
201607-至今       陕西厚和济健康产业有限公司  经理</v>
      </c>
    </row>
    <row r="2470" spans="1:9">
      <c r="A2470" s="1" t="str">
        <f>"410726200008020028"</f>
        <v>410726200008020028</v>
      </c>
      <c r="B2470" s="1" t="str">
        <f t="shared" si="1226"/>
        <v>中共党员</v>
      </c>
      <c r="C2470" s="1" t="str">
        <f t="shared" si="1225"/>
        <v>本科</v>
      </c>
      <c r="D2470" s="1" t="str">
        <f>"20220630"</f>
        <v>20220630</v>
      </c>
      <c r="E2470" s="1" t="str">
        <f>"湖北工业大学工程技术学院"</f>
        <v>湖北工业大学工程技术学院</v>
      </c>
      <c r="F2470" s="1" t="str">
        <f>"环境设计"</f>
        <v>环境设计</v>
      </c>
      <c r="G2470" s="1" t="str">
        <f>"河南省新乡市延津县盛世华府"</f>
        <v>河南省新乡市延津县盛世华府</v>
      </c>
      <c r="H2470" s="1" t="str">
        <f t="shared" si="1224"/>
        <v>无</v>
      </c>
      <c r="I2470" s="1" t="str">
        <f>"201809-202206，就读于湖北工业大学工程技术学院，全日制学历
202206至今，待业"</f>
        <v>201809-202206，就读于湖北工业大学工程技术学院，全日制学历
202206至今，待业</v>
      </c>
    </row>
    <row r="2471" spans="1:9">
      <c r="A2471" s="1" t="str">
        <f>"411323199207184433"</f>
        <v>411323199207184433</v>
      </c>
      <c r="B2471" s="1" t="str">
        <f t="shared" si="1227"/>
        <v>群众</v>
      </c>
      <c r="C2471" s="1" t="str">
        <f t="shared" si="1225"/>
        <v>本科</v>
      </c>
      <c r="D2471" s="1" t="str">
        <f>"20150701"</f>
        <v>20150701</v>
      </c>
      <c r="E2471" s="1" t="str">
        <f>"中央民族大学"</f>
        <v>中央民族大学</v>
      </c>
      <c r="F2471" s="1" t="str">
        <f>"经济学"</f>
        <v>经济学</v>
      </c>
      <c r="G2471" s="1" t="str">
        <f>"南阳市淅川县方圆酒店对面"</f>
        <v>南阳市淅川县方圆酒店对面</v>
      </c>
      <c r="H2471" s="1" t="str">
        <f t="shared" si="1224"/>
        <v>无</v>
      </c>
      <c r="I2471" s="1" t="str">
        <f>"201109-201506中央民族大学就读 经济学院经济学 全日制"</f>
        <v>201109-201506中央民族大学就读 经济学院经济学 全日制</v>
      </c>
    </row>
    <row r="2472" spans="1:9">
      <c r="A2472" s="1" t="str">
        <f>"412828199009265419"</f>
        <v>412828199009265419</v>
      </c>
      <c r="B2472" s="1" t="str">
        <f t="shared" si="1227"/>
        <v>群众</v>
      </c>
      <c r="C2472" s="1" t="str">
        <f>"硕士研究生"</f>
        <v>硕士研究生</v>
      </c>
      <c r="D2472" s="1" t="str">
        <f>"2023-06-21"</f>
        <v>2023-06-21</v>
      </c>
      <c r="E2472" s="1" t="str">
        <f>"广东海洋大学"</f>
        <v>广东海洋大学</v>
      </c>
      <c r="F2472" s="1" t="str">
        <f>"渔业发展"</f>
        <v>渔业发展</v>
      </c>
      <c r="G2472" s="1" t="str">
        <f>"河南省驻马店市新蔡县佛阁寺镇展吴庄村委展吴庄"</f>
        <v>河南省驻马店市新蔡县佛阁寺镇展吴庄村委展吴庄</v>
      </c>
      <c r="H2472" s="1" t="str">
        <f t="shared" si="1224"/>
        <v>无</v>
      </c>
      <c r="I2472" s="1" t="str">
        <f>"201609-202006 河南师范大学水产学院水产养殖学专业就读，全日制学历；
202009-202306 广东海洋大学水产学院渔业发展专业就读，全日制学历；
202306-至今 在河南省驻马店市新蔡县佛阁寺镇展吴庄村委展吴庄待业"</f>
        <v>201609-202006 河南师范大学水产学院水产养殖学专业就读，全日制学历；
202009-202306 广东海洋大学水产学院渔业发展专业就读，全日制学历；
202306-至今 在河南省驻马店市新蔡县佛阁寺镇展吴庄村委展吴庄待业</v>
      </c>
    </row>
    <row r="2473" spans="1:9">
      <c r="A2473" s="1" t="str">
        <f>"411523199702180465"</f>
        <v>411523199702180465</v>
      </c>
      <c r="B2473" s="1" t="str">
        <f>"共青团员"</f>
        <v>共青团员</v>
      </c>
      <c r="C2473" s="1" t="str">
        <f t="shared" ref="C2473:C2477" si="1228">"专科"</f>
        <v>专科</v>
      </c>
      <c r="D2473" s="1" t="str">
        <f>"2018.07"</f>
        <v>2018.07</v>
      </c>
      <c r="E2473" s="1" t="str">
        <f>"信阳职业技术技术学院"</f>
        <v>信阳职业技术技术学院</v>
      </c>
      <c r="F2473" s="1" t="str">
        <f>"英语教育"</f>
        <v>英语教育</v>
      </c>
      <c r="G2473" s="1" t="str">
        <f>"河南省信阳市光山县城关二中附近"</f>
        <v>河南省信阳市光山县城关二中附近</v>
      </c>
      <c r="H2473" s="1" t="str">
        <f t="shared" si="1224"/>
        <v>无</v>
      </c>
      <c r="I2473" s="1" t="str">
        <f>"201509-201807  信阳职业技术学院 英语教育  全日制大专"</f>
        <v>201509-201807  信阳职业技术学院 英语教育  全日制大专</v>
      </c>
    </row>
    <row r="2474" spans="1:9">
      <c r="A2474" s="1" t="str">
        <f>"411327200208153808"</f>
        <v>411327200208153808</v>
      </c>
      <c r="B2474" s="1" t="str">
        <f t="shared" ref="B2474:B2476" si="1229">"群众"</f>
        <v>群众</v>
      </c>
      <c r="C2474" s="1" t="str">
        <f t="shared" si="1228"/>
        <v>专科</v>
      </c>
      <c r="D2474" s="1" t="str">
        <f>"20230701"</f>
        <v>20230701</v>
      </c>
      <c r="E2474" s="1" t="str">
        <f>"三门峡职业技术学院"</f>
        <v>三门峡职业技术学院</v>
      </c>
      <c r="F2474" s="1" t="str">
        <f>"语文教育"</f>
        <v>语文教育</v>
      </c>
      <c r="G2474" s="1" t="str">
        <f>"河南省南阳市淅川县"</f>
        <v>河南省南阳市淅川县</v>
      </c>
      <c r="H2474" s="1" t="str">
        <f t="shared" si="1224"/>
        <v>无</v>
      </c>
      <c r="I2474" s="1" t="str">
        <f>"202009–202306三门峡职业技术学院师范学院语文教育专业就读
202306–至今待业"</f>
        <v>202009–202306三门峡职业技术学院师范学院语文教育专业就读
202306–至今待业</v>
      </c>
    </row>
    <row r="2475" spans="1:9">
      <c r="A2475" s="1" t="str">
        <f>"411327200203284526"</f>
        <v>411327200203284526</v>
      </c>
      <c r="B2475" s="1" t="str">
        <f t="shared" si="1229"/>
        <v>群众</v>
      </c>
      <c r="C2475" s="1" t="str">
        <f t="shared" si="1228"/>
        <v>专科</v>
      </c>
      <c r="D2475" s="1" t="str">
        <f>"20230701"</f>
        <v>20230701</v>
      </c>
      <c r="E2475" s="1" t="str">
        <f>"焦作师范高等专科学校"</f>
        <v>焦作师范高等专科学校</v>
      </c>
      <c r="F2475" s="1" t="str">
        <f>"语文教育"</f>
        <v>语文教育</v>
      </c>
      <c r="G2475" s="1" t="str">
        <f>"河南省南阳市内乡县黄营村"</f>
        <v>河南省南阳市内乡县黄营村</v>
      </c>
      <c r="H2475" s="1" t="str">
        <f t="shared" si="1224"/>
        <v>无</v>
      </c>
      <c r="I2475" s="1" t="str">
        <f>"202009-202307焦作师范高等专科学校文学院语文教育专业就读"</f>
        <v>202009-202307焦作师范高等专科学校文学院语文教育专业就读</v>
      </c>
    </row>
    <row r="2476" spans="1:9">
      <c r="A2476" s="1" t="str">
        <f>"220221200208248911"</f>
        <v>220221200208248911</v>
      </c>
      <c r="B2476" s="1" t="str">
        <f t="shared" si="1229"/>
        <v>群众</v>
      </c>
      <c r="C2476" s="1" t="str">
        <f t="shared" si="1228"/>
        <v>专科</v>
      </c>
      <c r="D2476" s="1" t="str">
        <f>"20240612"</f>
        <v>20240612</v>
      </c>
      <c r="E2476" s="1" t="str">
        <f>"周口职业技术学院"</f>
        <v>周口职业技术学院</v>
      </c>
      <c r="F2476" s="1" t="str">
        <f>"医学影像技术"</f>
        <v>医学影像技术</v>
      </c>
      <c r="G2476" s="1" t="str">
        <f>"吉林省吉林市永吉县口前镇东方名苑11号楼1单元401"</f>
        <v>吉林省吉林市永吉县口前镇东方名苑11号楼1单元401</v>
      </c>
      <c r="H2476" s="1" t="str">
        <f t="shared" si="1224"/>
        <v>无</v>
      </c>
      <c r="I2476" s="1" t="str">
        <f>"202109-202406 周口职业技术学院 医学院 医学影像技术专业就读 全日制专科"</f>
        <v>202109-202406 周口职业技术学院 医学院 医学影像技术专业就读 全日制专科</v>
      </c>
    </row>
    <row r="2477" spans="1:9">
      <c r="A2477" s="1" t="str">
        <f>"411381200312284312"</f>
        <v>411381200312284312</v>
      </c>
      <c r="B2477" s="1" t="str">
        <f t="shared" ref="B2477:B2483" si="1230">"共青团员"</f>
        <v>共青团员</v>
      </c>
      <c r="C2477" s="1" t="str">
        <f t="shared" si="1228"/>
        <v>专科</v>
      </c>
      <c r="D2477" s="1" t="str">
        <f>"20250630"</f>
        <v>20250630</v>
      </c>
      <c r="E2477" s="1" t="str">
        <f>"南阳科技职业学院"</f>
        <v>南阳科技职业学院</v>
      </c>
      <c r="F2477" s="1" t="str">
        <f>"数字媒体技术"</f>
        <v>数字媒体技术</v>
      </c>
      <c r="G2477" s="1" t="str">
        <f>"河南省南阳市邓州市张村镇"</f>
        <v>河南省南阳市邓州市张村镇</v>
      </c>
      <c r="H2477" s="1" t="str">
        <f t="shared" si="1224"/>
        <v>无</v>
      </c>
      <c r="I2477" s="1" t="str">
        <f>"202209-202506南阳科技职业学院信息工程学院数字媒体技术，全日制学历"</f>
        <v>202209-202506南阳科技职业学院信息工程学院数字媒体技术，全日制学历</v>
      </c>
    </row>
    <row r="2478" spans="1:9">
      <c r="A2478" s="1" t="str">
        <f>"411330199605034848"</f>
        <v>411330199605034848</v>
      </c>
      <c r="B2478" s="1" t="str">
        <f t="shared" ref="B2478:B2481" si="1231">"群众"</f>
        <v>群众</v>
      </c>
      <c r="C2478" s="1" t="str">
        <f t="shared" ref="C2478:C2493" si="1232">"本科"</f>
        <v>本科</v>
      </c>
      <c r="D2478" s="1" t="str">
        <f>"20190701"</f>
        <v>20190701</v>
      </c>
      <c r="E2478" s="1" t="str">
        <f>"河南师范大学"</f>
        <v>河南师范大学</v>
      </c>
      <c r="F2478" s="1" t="str">
        <f>"思想政治教育专业"</f>
        <v>思想政治教育专业</v>
      </c>
      <c r="G2478" s="1" t="str">
        <f>"河南省内乡县建业森林半岛3期"</f>
        <v>河南省内乡县建业森林半岛3期</v>
      </c>
      <c r="H2478" s="1" t="str">
        <f t="shared" si="1224"/>
        <v>无</v>
      </c>
      <c r="I2478" s="1" t="str">
        <f>"201509-201907 河南师范大学政治与公共管理学院思想政治教育专业就读，全日制学历
201907-至今 内乡县职业中等专业学校任教"</f>
        <v>201509-201907 河南师范大学政治与公共管理学院思想政治教育专业就读，全日制学历
201907-至今 内乡县职业中等专业学校任教</v>
      </c>
    </row>
    <row r="2479" spans="1:9">
      <c r="A2479" s="1" t="str">
        <f>"41130319991013052X"</f>
        <v>41130319991013052X</v>
      </c>
      <c r="B2479" s="1" t="str">
        <f t="shared" si="1230"/>
        <v>共青团员</v>
      </c>
      <c r="C2479" s="1" t="str">
        <f>"专科"</f>
        <v>专科</v>
      </c>
      <c r="D2479" s="1" t="str">
        <f>"20210628"</f>
        <v>20210628</v>
      </c>
      <c r="E2479" s="1" t="str">
        <f>"四川司法警官职业学院"</f>
        <v>四川司法警官职业学院</v>
      </c>
      <c r="F2479" s="1" t="str">
        <f>"法律事务"</f>
        <v>法律事务</v>
      </c>
      <c r="G2479" s="1" t="str">
        <f>"河南省南阳市卧龙区"</f>
        <v>河南省南阳市卧龙区</v>
      </c>
      <c r="H2479" s="1" t="str">
        <f t="shared" si="1224"/>
        <v>无</v>
      </c>
      <c r="I2479" s="1" t="str">
        <f>"201809-202106 四川司法警官职业学院 法学系法律事务 全日制 就读
201810-202001 四川司法警官职业学院校图书馆志愿者
202107-至今 待业"</f>
        <v>201809-202106 四川司法警官职业学院 法学系法律事务 全日制 就读
201810-202001 四川司法警官职业学院校图书馆志愿者
202107-至今 待业</v>
      </c>
    </row>
    <row r="2480" spans="1:9">
      <c r="A2480" s="1" t="str">
        <f>"410411199808305527"</f>
        <v>410411199808305527</v>
      </c>
      <c r="B2480" s="1" t="str">
        <f t="shared" si="1231"/>
        <v>群众</v>
      </c>
      <c r="C2480" s="1" t="str">
        <f>"专科"</f>
        <v>专科</v>
      </c>
      <c r="D2480" s="1" t="str">
        <f>"2019.07.01"</f>
        <v>2019.07.01</v>
      </c>
      <c r="E2480" s="1" t="str">
        <f>"平顶山职业技术学院"</f>
        <v>平顶山职业技术学院</v>
      </c>
      <c r="F2480" s="1" t="str">
        <f>"美术教育"</f>
        <v>美术教育</v>
      </c>
      <c r="G2480" s="1" t="str">
        <f>"河南省平顶山市湛河区北渡镇北渡村14组"</f>
        <v>河南省平顶山市湛河区北渡镇北渡村14组</v>
      </c>
      <c r="H2480" s="1" t="str">
        <f>"教师资格证"</f>
        <v>教师资格证</v>
      </c>
      <c r="I2480" s="1" t="str">
        <f>"2016.9.1--2019.7.1  平顶山职业技术学院"</f>
        <v>2016.9.1--2019.7.1  平顶山职业技术学院</v>
      </c>
    </row>
    <row r="2481" spans="1:9">
      <c r="A2481" s="1" t="str">
        <f>"411324200103172720"</f>
        <v>411324200103172720</v>
      </c>
      <c r="B2481" s="1" t="str">
        <f t="shared" si="1231"/>
        <v>群众</v>
      </c>
      <c r="C2481" s="1" t="str">
        <f t="shared" si="1232"/>
        <v>本科</v>
      </c>
      <c r="D2481" s="1" t="str">
        <f>"20230630"</f>
        <v>20230630</v>
      </c>
      <c r="E2481" s="1" t="str">
        <f>"安阳工学院"</f>
        <v>安阳工学院</v>
      </c>
      <c r="F2481" s="1" t="str">
        <f>"视觉传达设计"</f>
        <v>视觉传达设计</v>
      </c>
      <c r="G2481" s="1" t="str">
        <f>"南阳市镇平县石佛寺镇榆树庄村"</f>
        <v>南阳市镇平县石佛寺镇榆树庄村</v>
      </c>
      <c r="H2481" s="1" t="str">
        <f t="shared" ref="H2481:H2492" si="1233">"无"</f>
        <v>无</v>
      </c>
      <c r="I2481" s="1" t="str">
        <f>"201909-202306在安阳工学院就读全日制本科"</f>
        <v>201909-202306在安阳工学院就读全日制本科</v>
      </c>
    </row>
    <row r="2482" spans="1:9">
      <c r="A2482" s="1" t="str">
        <f>"411327200008222522"</f>
        <v>411327200008222522</v>
      </c>
      <c r="B2482" s="1" t="str">
        <f t="shared" si="1230"/>
        <v>共青团员</v>
      </c>
      <c r="C2482" s="1" t="str">
        <f t="shared" si="1232"/>
        <v>本科</v>
      </c>
      <c r="D2482" s="1" t="str">
        <f>"20220701"</f>
        <v>20220701</v>
      </c>
      <c r="E2482" s="1" t="str">
        <f>"集美大学"</f>
        <v>集美大学</v>
      </c>
      <c r="F2482" s="1" t="str">
        <f>"地理信息科学"</f>
        <v>地理信息科学</v>
      </c>
      <c r="G2482" s="1" t="str">
        <f>"河南省南阳市内乡县城关镇碧桂园天麓府"</f>
        <v>河南省南阳市内乡县城关镇碧桂园天麓府</v>
      </c>
      <c r="H2482" s="1" t="str">
        <f t="shared" si="1233"/>
        <v>无</v>
      </c>
      <c r="I2482" s="1" t="str">
        <f>"201809-202207 集美大学港口与环境工程学院地理信息科学专业全日制就读；
202207-202301 尚萌（厦门）控股集团有限公司任职；
202302-202305 高途教育科技集团有限公司任职；
202306-202309 库课文化科技集团股份有限公司任职；
202310-至今 在河南省南阳市内乡县待业。"</f>
        <v>201809-202207 集美大学港口与环境工程学院地理信息科学专业全日制就读；
202207-202301 尚萌（厦门）控股集团有限公司任职；
202302-202305 高途教育科技集团有限公司任职；
202306-202309 库课文化科技集团股份有限公司任职；
202310-至今 在河南省南阳市内乡县待业。</v>
      </c>
    </row>
    <row r="2483" spans="1:9">
      <c r="A2483" s="1" t="str">
        <f>"412829200111123646"</f>
        <v>412829200111123646</v>
      </c>
      <c r="B2483" s="1" t="str">
        <f t="shared" si="1230"/>
        <v>共青团员</v>
      </c>
      <c r="C2483" s="1" t="str">
        <f t="shared" si="1232"/>
        <v>本科</v>
      </c>
      <c r="D2483" s="1" t="str">
        <f>"20240606"</f>
        <v>20240606</v>
      </c>
      <c r="E2483" s="1" t="str">
        <f>"信阳学院"</f>
        <v>信阳学院</v>
      </c>
      <c r="F2483" s="1" t="str">
        <f>"汉语言文学"</f>
        <v>汉语言文学</v>
      </c>
      <c r="G2483" s="1" t="str">
        <f>"河南省驻马店市正阳县张庄路阳光小区"</f>
        <v>河南省驻马店市正阳县张庄路阳光小区</v>
      </c>
      <c r="H2483" s="1" t="str">
        <f t="shared" si="1233"/>
        <v>无</v>
      </c>
      <c r="I2483" s="1" t="str">
        <f>"202009月-202406月信阳学院文学院汉语言文学专业就读，全日制学历 202406至今待业"</f>
        <v>202009月-202406月信阳学院文学院汉语言文学专业就读，全日制学历 202406至今待业</v>
      </c>
    </row>
    <row r="2484" spans="1:9">
      <c r="A2484" s="1" t="str">
        <f>"411327200202044942"</f>
        <v>411327200202044942</v>
      </c>
      <c r="B2484" s="1" t="str">
        <f>"群众"</f>
        <v>群众</v>
      </c>
      <c r="C2484" s="1" t="str">
        <f t="shared" si="1232"/>
        <v>本科</v>
      </c>
      <c r="D2484" s="1" t="str">
        <f>"20250606"</f>
        <v>20250606</v>
      </c>
      <c r="E2484" s="1" t="str">
        <f>"河南开封科技传媒学院"</f>
        <v>河南开封科技传媒学院</v>
      </c>
      <c r="F2484" s="1" t="str">
        <f>"环境设计"</f>
        <v>环境设计</v>
      </c>
      <c r="G2484" s="1" t="str">
        <f>"河南省南阳市内乡县大成相府12号楼2单元9"</f>
        <v>河南省南阳市内乡县大成相府12号楼2单元9</v>
      </c>
      <c r="H2484" s="1" t="str">
        <f t="shared" si="1233"/>
        <v>无</v>
      </c>
      <c r="I2484" s="1" t="str">
        <f>"202009-202306河南艺术职业学院 艺术设计学院油画专业就读 是全日制学历
202309-202506河南开封科技传媒学院 艺术设计学院环境设计专业就读 是全日制学历
202506-现在 待业"</f>
        <v>202009-202306河南艺术职业学院 艺术设计学院油画专业就读 是全日制学历
202309-202506河南开封科技传媒学院 艺术设计学院环境设计专业就读 是全日制学历
202506-现在 待业</v>
      </c>
    </row>
    <row r="2485" spans="1:9">
      <c r="A2485" s="1" t="str">
        <f>"410527199911138030"</f>
        <v>410527199911138030</v>
      </c>
      <c r="B2485" s="1" t="str">
        <f t="shared" ref="B2485:B2487" si="1234">"共青团员"</f>
        <v>共青团员</v>
      </c>
      <c r="C2485" s="1" t="str">
        <f t="shared" si="1232"/>
        <v>本科</v>
      </c>
      <c r="D2485" s="1" t="str">
        <f>"20230701"</f>
        <v>20230701</v>
      </c>
      <c r="E2485" s="1" t="str">
        <f>"信阳农林学院"</f>
        <v>信阳农林学院</v>
      </c>
      <c r="F2485" s="1" t="str">
        <f>"设施农业科学与工程"</f>
        <v>设施农业科学与工程</v>
      </c>
      <c r="G2485" s="1" t="str">
        <f>"河南省安阳市内黄县龙庆街道南张村"</f>
        <v>河南省安阳市内黄县龙庆街道南张村</v>
      </c>
      <c r="H2485" s="1" t="str">
        <f t="shared" si="1233"/>
        <v>无</v>
      </c>
      <c r="I2485" s="1" t="str">
        <f>"201909-202307 信阳农林学院园艺学院设施农业科学与工程专业就读
202408-至今  保定市农业发展集团有限公司  大学生农业职业经理人"</f>
        <v>201909-202307 信阳农林学院园艺学院设施农业科学与工程专业就读
202408-至今  保定市农业发展集团有限公司  大学生农业职业经理人</v>
      </c>
    </row>
    <row r="2486" spans="1:9">
      <c r="A2486" s="1" t="str">
        <f>"411621200102113013"</f>
        <v>411621200102113013</v>
      </c>
      <c r="B2486" s="1" t="str">
        <f t="shared" si="1234"/>
        <v>共青团员</v>
      </c>
      <c r="C2486" s="1" t="str">
        <f t="shared" si="1232"/>
        <v>本科</v>
      </c>
      <c r="D2486" s="1" t="str">
        <f>"2022-06-01"</f>
        <v>2022-06-01</v>
      </c>
      <c r="E2486" s="1" t="str">
        <f>"河南大学"</f>
        <v>河南大学</v>
      </c>
      <c r="F2486" s="1" t="str">
        <f>"软件工程"</f>
        <v>软件工程</v>
      </c>
      <c r="G2486" s="1" t="str">
        <f>"河南省周口市扶沟县韭园镇湾赵村"</f>
        <v>河南省周口市扶沟县韭园镇湾赵村</v>
      </c>
      <c r="H2486" s="1" t="str">
        <f t="shared" si="1233"/>
        <v>无</v>
      </c>
      <c r="I2486" s="1" t="str">
        <f>"201809-202206 河南大学软件学院就读 全日制
202207-202303 河南京润人力资源有限公司从事软件开发工作
202304-至今 在家待业"</f>
        <v>201809-202206 河南大学软件学院就读 全日制
202207-202303 河南京润人力资源有限公司从事软件开发工作
202304-至今 在家待业</v>
      </c>
    </row>
    <row r="2487" spans="1:9">
      <c r="A2487" s="1" t="str">
        <f>"411327199905071124"</f>
        <v>411327199905071124</v>
      </c>
      <c r="B2487" s="1" t="str">
        <f t="shared" si="1234"/>
        <v>共青团员</v>
      </c>
      <c r="C2487" s="1" t="str">
        <f t="shared" si="1232"/>
        <v>本科</v>
      </c>
      <c r="D2487" s="1" t="str">
        <f>"2021.07.01"</f>
        <v>2021.07.01</v>
      </c>
      <c r="E2487" s="1" t="str">
        <f>"商丘师范学院"</f>
        <v>商丘师范学院</v>
      </c>
      <c r="F2487" s="1" t="str">
        <f>"音乐学"</f>
        <v>音乐学</v>
      </c>
      <c r="G2487" s="1" t="str">
        <f>"河南省南阳市内乡县"</f>
        <v>河南省南阳市内乡县</v>
      </c>
      <c r="H2487" s="1" t="str">
        <f t="shared" si="1233"/>
        <v>无</v>
      </c>
      <c r="I2487" s="1" t="str">
        <f>"
2017.09--2021.07  商丘师范学院"</f>
        <v>
2017.09--2021.07  商丘师范学院</v>
      </c>
    </row>
    <row r="2488" spans="1:9">
      <c r="A2488" s="1" t="str">
        <f>"411327199304274911"</f>
        <v>411327199304274911</v>
      </c>
      <c r="B2488" s="1" t="str">
        <f t="shared" ref="B2488:B2495" si="1235">"群众"</f>
        <v>群众</v>
      </c>
      <c r="C2488" s="1" t="str">
        <f t="shared" si="1232"/>
        <v>本科</v>
      </c>
      <c r="D2488" s="1" t="str">
        <f>"2017-07-01"</f>
        <v>2017-07-01</v>
      </c>
      <c r="E2488" s="1" t="str">
        <f>"新乡学院"</f>
        <v>新乡学院</v>
      </c>
      <c r="F2488" s="1" t="str">
        <f>"园林"</f>
        <v>园林</v>
      </c>
      <c r="G2488" s="1" t="str">
        <f>"河南省南阳市内乡县城关镇"</f>
        <v>河南省南阳市内乡县城关镇</v>
      </c>
      <c r="H2488" s="1" t="str">
        <f t="shared" si="1233"/>
        <v>无</v>
      </c>
      <c r="I2488" s="1" t="str">
        <f>"2013年9月-2017年7月 新乡学院 生命科学技术系 园林专业 学生
2017年9月-2017年11月 中国美院风景建筑设计研究院 设计师助理
2018年3月-2019年10月 河南一同景观设计有限公司 景观设计师
2019年11月-2023年9月 牧原集团 规划设计师
2023年9月-2024年7月 河南省城乡建筑设计院有限公司 规划设计师
2024年7月-至今 无   内乡待业"</f>
        <v>2013年9月-2017年7月 新乡学院 生命科学技术系 园林专业 学生
2017年9月-2017年11月 中国美院风景建筑设计研究院 设计师助理
2018年3月-2019年10月 河南一同景观设计有限公司 景观设计师
2019年11月-2023年9月 牧原集团 规划设计师
2023年9月-2024年7月 河南省城乡建筑设计院有限公司 规划设计师
2024年7月-至今 无   内乡待业</v>
      </c>
    </row>
    <row r="2489" spans="1:9">
      <c r="A2489" s="1" t="str">
        <f>"411327200003303112"</f>
        <v>411327200003303112</v>
      </c>
      <c r="B2489" s="1" t="str">
        <f>"共青团员"</f>
        <v>共青团员</v>
      </c>
      <c r="C2489" s="1" t="str">
        <f t="shared" si="1232"/>
        <v>本科</v>
      </c>
      <c r="D2489" s="1" t="str">
        <f>"20240601"</f>
        <v>20240601</v>
      </c>
      <c r="E2489" s="1" t="str">
        <f>"南阳师范学院"</f>
        <v>南阳师范学院</v>
      </c>
      <c r="F2489" s="1" t="str">
        <f>"思想政治教育"</f>
        <v>思想政治教育</v>
      </c>
      <c r="G2489" s="1" t="str">
        <f>"南阳市内乡县夏馆镇"</f>
        <v>南阳市内乡县夏馆镇</v>
      </c>
      <c r="H2489" s="1" t="str">
        <f t="shared" si="1233"/>
        <v>无</v>
      </c>
      <c r="I2489" s="1" t="str">
        <f>"202209-202406南阳师范学院全日制"</f>
        <v>202209-202406南阳师范学院全日制</v>
      </c>
    </row>
    <row r="2490" spans="1:9">
      <c r="A2490" s="1" t="str">
        <f>"411282199909107015"</f>
        <v>411282199909107015</v>
      </c>
      <c r="B2490" s="1" t="str">
        <f t="shared" si="1235"/>
        <v>群众</v>
      </c>
      <c r="C2490" s="1" t="str">
        <f t="shared" si="1232"/>
        <v>本科</v>
      </c>
      <c r="D2490" s="1" t="str">
        <f>"20240620"</f>
        <v>20240620</v>
      </c>
      <c r="E2490" s="1" t="str">
        <f>"河北环境工程学院"</f>
        <v>河北环境工程学院</v>
      </c>
      <c r="F2490" s="1" t="str">
        <f>"环境工程"</f>
        <v>环境工程</v>
      </c>
      <c r="G2490" s="1" t="str">
        <f>"河南省三门峡市灵宝市购丰生活广场"</f>
        <v>河南省三门峡市灵宝市购丰生活广场</v>
      </c>
      <c r="H2490" s="1" t="str">
        <f t="shared" si="1233"/>
        <v>无</v>
      </c>
      <c r="I2490" s="1" t="str">
        <f>"201909-202206 河北环境工程学院 环境工程技术专业 全日制
202209-202406 河北环境工程学院 环境工程专业 全日制
202406-至今 待业"</f>
        <v>201909-202206 河北环境工程学院 环境工程技术专业 全日制
202209-202406 河北环境工程学院 环境工程专业 全日制
202406-至今 待业</v>
      </c>
    </row>
    <row r="2491" spans="1:9">
      <c r="A2491" s="1" t="str">
        <f>"412801200205142016"</f>
        <v>412801200205142016</v>
      </c>
      <c r="B2491" s="1" t="str">
        <f>"中共党员"</f>
        <v>中共党员</v>
      </c>
      <c r="C2491" s="1" t="str">
        <f t="shared" si="1232"/>
        <v>本科</v>
      </c>
      <c r="D2491" s="1" t="str">
        <f>"20250701"</f>
        <v>20250701</v>
      </c>
      <c r="E2491" s="1" t="str">
        <f>"信阳学院"</f>
        <v>信阳学院</v>
      </c>
      <c r="F2491" s="1" t="str">
        <f>"财务管理"</f>
        <v>财务管理</v>
      </c>
      <c r="G2491" s="1" t="str">
        <f>"驻马店市驿城区建业市场家属院"</f>
        <v>驻马店市驿城区建业市场家属院</v>
      </c>
      <c r="H2491" s="1" t="str">
        <f t="shared" si="1233"/>
        <v>无</v>
      </c>
      <c r="I2491" s="1" t="str">
        <f>"20200901-20230701在河南财政金融学院国际教育学院财务管理专业就读专科，是全日制
20230901-20250701在信阳学院商学院财务管理专业就读本科，是全日制"</f>
        <v>20200901-20230701在河南财政金融学院国际教育学院财务管理专业就读专科，是全日制
20230901-20250701在信阳学院商学院财务管理专业就读本科，是全日制</v>
      </c>
    </row>
    <row r="2492" spans="1:9">
      <c r="A2492" s="1" t="str">
        <f>"411324199909112828"</f>
        <v>411324199909112828</v>
      </c>
      <c r="B2492" s="1" t="str">
        <f t="shared" si="1235"/>
        <v>群众</v>
      </c>
      <c r="C2492" s="1" t="str">
        <f t="shared" si="1232"/>
        <v>本科</v>
      </c>
      <c r="D2492" s="1" t="str">
        <f>"20220702"</f>
        <v>20220702</v>
      </c>
      <c r="E2492" s="1" t="str">
        <f>"平顶山学院"</f>
        <v>平顶山学院</v>
      </c>
      <c r="F2492" s="1" t="str">
        <f>"汉语言文学"</f>
        <v>汉语言文学</v>
      </c>
      <c r="G2492" s="1" t="str">
        <f>"河南省镇平县卢医镇"</f>
        <v>河南省镇平县卢医镇</v>
      </c>
      <c r="H2492" s="1" t="str">
        <f t="shared" si="1233"/>
        <v>无</v>
      </c>
      <c r="I2492" s="1" t="str">
        <f>"201709-202007三门峡职业技术学院文学院语文教育专业就读
202009-202207平顶山学院文学院汉语言文学专业就读"</f>
        <v>201709-202007三门峡职业技术学院文学院语文教育专业就读
202009-202207平顶山学院文学院汉语言文学专业就读</v>
      </c>
    </row>
    <row r="2493" spans="1:9">
      <c r="A2493" s="1" t="str">
        <f>"411327199911151518"</f>
        <v>411327199911151518</v>
      </c>
      <c r="B2493" s="1" t="str">
        <f t="shared" si="1235"/>
        <v>群众</v>
      </c>
      <c r="C2493" s="1" t="str">
        <f t="shared" si="1232"/>
        <v>本科</v>
      </c>
      <c r="D2493" s="1" t="str">
        <f>"20240701"</f>
        <v>20240701</v>
      </c>
      <c r="E2493" s="1" t="str">
        <f>"郑州商学院"</f>
        <v>郑州商学院</v>
      </c>
      <c r="F2493" s="1" t="str">
        <f>"工程管理"</f>
        <v>工程管理</v>
      </c>
      <c r="G2493" s="1" t="str">
        <f>"河南省南阳市内乡县湍东镇东符营村"</f>
        <v>河南省南阳市内乡县湍东镇东符营村</v>
      </c>
      <c r="H2493" s="1" t="str">
        <f>"建筑信息模型技术员 三级/高级工"</f>
        <v>建筑信息模型技术员 三级/高级工</v>
      </c>
      <c r="I2493" s="1" t="str">
        <f>"201909-202206  郑州财经学院 土木工程学院 建筑工程技术（注册建造师方向）专业就读 全日制
202209-202407  郑州商学院  建筑工程学院 工程管理专业就读 全日制"</f>
        <v>201909-202206  郑州财经学院 土木工程学院 建筑工程技术（注册建造师方向）专业就读 全日制
202209-202407  郑州商学院  建筑工程学院 工程管理专业就读 全日制</v>
      </c>
    </row>
    <row r="2494" spans="1:9">
      <c r="A2494" s="1" t="str">
        <f>"411330200106210056"</f>
        <v>411330200106210056</v>
      </c>
      <c r="B2494" s="1" t="str">
        <f t="shared" si="1235"/>
        <v>群众</v>
      </c>
      <c r="C2494" s="1" t="str">
        <f>"专科"</f>
        <v>专科</v>
      </c>
      <c r="D2494" s="1" t="str">
        <f>"2022.7.01"</f>
        <v>2022.7.01</v>
      </c>
      <c r="E2494" s="1" t="str">
        <f>"河南质量工程职业学院"</f>
        <v>河南质量工程职业学院</v>
      </c>
      <c r="F2494" s="1" t="str">
        <f>"园林工程技术"</f>
        <v>园林工程技术</v>
      </c>
      <c r="G2494" s="1" t="str">
        <f>"河南省南阳市西峡县四环"</f>
        <v>河南省南阳市西峡县四环</v>
      </c>
      <c r="H2494" s="1" t="str">
        <f t="shared" ref="H2494:H2508" si="1236">"无"</f>
        <v>无</v>
      </c>
      <c r="I2494" s="1" t="str">
        <f>"2016.09—2019.06西峡县第二高级中学
2022.07—2024.11自由职业
2024.11—至今 西峡县明耀劳务派遣有限公司"</f>
        <v>2016.09—2019.06西峡县第二高级中学
2022.07—2024.11自由职业
2024.11—至今 西峡县明耀劳务派遣有限公司</v>
      </c>
    </row>
    <row r="2495" spans="1:9">
      <c r="A2495" s="1" t="str">
        <f>"41132320020126055X"</f>
        <v>41132320020126055X</v>
      </c>
      <c r="B2495" s="1" t="str">
        <f t="shared" si="1235"/>
        <v>群众</v>
      </c>
      <c r="C2495" s="1" t="str">
        <f t="shared" ref="C2495:C2499" si="1237">"本科"</f>
        <v>本科</v>
      </c>
      <c r="D2495" s="1" t="str">
        <f>"20230608"</f>
        <v>20230608</v>
      </c>
      <c r="E2495" s="1" t="str">
        <f>"新疆财经大学"</f>
        <v>新疆财经大学</v>
      </c>
      <c r="F2495" s="1" t="str">
        <f>"经济学"</f>
        <v>经济学</v>
      </c>
      <c r="G2495" s="1" t="str">
        <f>"河南省淅川县上集镇塘坊村魏坪组113"</f>
        <v>河南省淅川县上集镇塘坊村魏坪组113</v>
      </c>
      <c r="H2495" s="1" t="str">
        <f t="shared" si="1236"/>
        <v>无</v>
      </c>
      <c r="I2495" s="1" t="str">
        <f>"201909-202306 新疆财经大学 就读
202405-202507 河南农商银行 就业"</f>
        <v>201909-202306 新疆财经大学 就读
202405-202507 河南农商银行 就业</v>
      </c>
    </row>
    <row r="2496" spans="1:9">
      <c r="A2496" s="1" t="str">
        <f>"411302199809040013"</f>
        <v>411302199809040013</v>
      </c>
      <c r="B2496" s="1" t="str">
        <f>"共青团员"</f>
        <v>共青团员</v>
      </c>
      <c r="C2496" s="1" t="str">
        <f>"硕士研究生"</f>
        <v>硕士研究生</v>
      </c>
      <c r="D2496" s="1" t="str">
        <f>"2024-07-01"</f>
        <v>2024-07-01</v>
      </c>
      <c r="E2496" s="1" t="str">
        <f>"湖南工程学院"</f>
        <v>湖南工程学院</v>
      </c>
      <c r="F2496" s="1" t="str">
        <f>"电气工程"</f>
        <v>电气工程</v>
      </c>
      <c r="G2496" s="1" t="str">
        <f>"河南省南阳市宛城区张衡街道城市天地小区"</f>
        <v>河南省南阳市宛城区张衡街道城市天地小区</v>
      </c>
      <c r="H2496" s="1" t="str">
        <f t="shared" si="1236"/>
        <v>无</v>
      </c>
      <c r="I2496" s="1" t="str">
        <f>"201609-202006 华北水利水电大学 测绘与地理信息学院 人文地理与城乡规划专业
202109-202407 湖南工程学院 电气工程专业"</f>
        <v>201609-202006 华北水利水电大学 测绘与地理信息学院 人文地理与城乡规划专业
202109-202407 湖南工程学院 电气工程专业</v>
      </c>
    </row>
    <row r="2497" spans="1:9">
      <c r="A2497" s="1" t="str">
        <f>"411327199505300063"</f>
        <v>411327199505300063</v>
      </c>
      <c r="B2497" s="1" t="str">
        <f>"群众"</f>
        <v>群众</v>
      </c>
      <c r="C2497" s="1" t="str">
        <f t="shared" ref="C2497:C2501" si="1238">"专科"</f>
        <v>专科</v>
      </c>
      <c r="D2497" s="1" t="str">
        <f>"2016-07-01"</f>
        <v>2016-07-01</v>
      </c>
      <c r="E2497" s="1" t="str">
        <f>"郑州大学"</f>
        <v>郑州大学</v>
      </c>
      <c r="F2497" s="1" t="str">
        <f>"会计与审计"</f>
        <v>会计与审计</v>
      </c>
      <c r="G2497" s="1" t="str">
        <f>"河南省南阳市内乡县城关镇利民路23巷"</f>
        <v>河南省南阳市内乡县城关镇利民路23巷</v>
      </c>
      <c r="H2497" s="1" t="str">
        <f t="shared" si="1236"/>
        <v>无</v>
      </c>
      <c r="I2497" s="1" t="str">
        <f>"201309-201606 郑州大学西亚斯国际学院  会计与审计专业 就读  全日制
201712-至今 河南天成路桥建设有限公司内乡农路分公司
"</f>
        <v>201309-201606 郑州大学西亚斯国际学院  会计与审计专业 就读  全日制
201712-至今 河南天成路桥建设有限公司内乡农路分公司
</v>
      </c>
    </row>
    <row r="2498" spans="1:9">
      <c r="A2498" s="1" t="str">
        <f>"411221200004213529"</f>
        <v>411221200004213529</v>
      </c>
      <c r="B2498" s="1" t="str">
        <f t="shared" ref="B2498:B2500" si="1239">"中共党员"</f>
        <v>中共党员</v>
      </c>
      <c r="C2498" s="1" t="str">
        <f t="shared" si="1237"/>
        <v>本科</v>
      </c>
      <c r="D2498" s="1" t="str">
        <f>"20230626"</f>
        <v>20230626</v>
      </c>
      <c r="E2498" s="1" t="str">
        <f>"长春科技学院"</f>
        <v>长春科技学院</v>
      </c>
      <c r="F2498" s="1" t="str">
        <f>"应用化学"</f>
        <v>应用化学</v>
      </c>
      <c r="G2498" s="1" t="str">
        <f>"上海闵行区鑫泽阳光公寓"</f>
        <v>上海闵行区鑫泽阳光公寓</v>
      </c>
      <c r="H2498" s="1" t="str">
        <f t="shared" si="1236"/>
        <v>无</v>
      </c>
      <c r="I2498" s="1" t="str">
        <f>"201909到202306于长春科技学院就读所学专业为应用化学专业是全日制本科
202307至今旧业于上海英格尔检测服务有限公司是一要分析的实验员"</f>
        <v>201909到202306于长春科技学院就读所学专业为应用化学专业是全日制本科
202307至今旧业于上海英格尔检测服务有限公司是一要分析的实验员</v>
      </c>
    </row>
    <row r="2499" spans="1:9">
      <c r="A2499" s="1" t="str">
        <f>"41132420000707002X"</f>
        <v>41132420000707002X</v>
      </c>
      <c r="B2499" s="1" t="str">
        <f t="shared" si="1239"/>
        <v>中共党员</v>
      </c>
      <c r="C2499" s="1" t="str">
        <f t="shared" si="1237"/>
        <v>本科</v>
      </c>
      <c r="D2499" s="1" t="str">
        <f>"20230701"</f>
        <v>20230701</v>
      </c>
      <c r="E2499" s="1" t="str">
        <f>"郑州航空工业管理学院"</f>
        <v>郑州航空工业管理学院</v>
      </c>
      <c r="F2499" s="1" t="str">
        <f>"电气工程及其自动化"</f>
        <v>电气工程及其自动化</v>
      </c>
      <c r="G2499" s="1" t="str">
        <f>"河南省南阳市镇平县"</f>
        <v>河南省南阳市镇平县</v>
      </c>
      <c r="H2499" s="1" t="str">
        <f t="shared" si="1236"/>
        <v>无</v>
      </c>
      <c r="I2499" s="1" t="str">
        <f>"201809-202106 洛阳理工学院电气工程与自动化学院智能控制技术专业就读 是全日制学历
202109-202307 郑州航空工业管理学院航空宇航学院电气工程及其自动化专业就读 是全日制学历
202307-至今 待业"</f>
        <v>201809-202106 洛阳理工学院电气工程与自动化学院智能控制技术专业就读 是全日制学历
202109-202307 郑州航空工业管理学院航空宇航学院电气工程及其自动化专业就读 是全日制学历
202307-至今 待业</v>
      </c>
    </row>
    <row r="2500" spans="1:9">
      <c r="A2500" s="1" t="str">
        <f>"411327199602163515"</f>
        <v>411327199602163515</v>
      </c>
      <c r="B2500" s="1" t="str">
        <f t="shared" si="1239"/>
        <v>中共党员</v>
      </c>
      <c r="C2500" s="1" t="str">
        <f t="shared" si="1238"/>
        <v>专科</v>
      </c>
      <c r="D2500" s="1" t="str">
        <f>"20220630"</f>
        <v>20220630</v>
      </c>
      <c r="E2500" s="1" t="str">
        <f>"南阳农业职业学院"</f>
        <v>南阳农业职业学院</v>
      </c>
      <c r="F2500" s="1" t="str">
        <f>"计算机应用技术"</f>
        <v>计算机应用技术</v>
      </c>
      <c r="G2500" s="1" t="str">
        <f>"河南省南阳市内乡县板场乡"</f>
        <v>河南省南阳市内乡县板场乡</v>
      </c>
      <c r="H2500" s="1" t="str">
        <f t="shared" si="1236"/>
        <v>无</v>
      </c>
      <c r="I2500" s="1" t="str">
        <f>"201806-202102 内乡县板场乡龙凤村治保主任
201912-202206 南阳农业职业学院学生 全日制
202102至今  内乡县板场乡龙凤村支部委员、村委副主任"</f>
        <v>201806-202102 内乡县板场乡龙凤村治保主任
201912-202206 南阳农业职业学院学生 全日制
202102至今  内乡县板场乡龙凤村支部委员、村委副主任</v>
      </c>
    </row>
    <row r="2501" spans="1:9">
      <c r="A2501" s="1" t="str">
        <f>"411123200109083510"</f>
        <v>411123200109083510</v>
      </c>
      <c r="B2501" s="1" t="str">
        <f>"共青团员"</f>
        <v>共青团员</v>
      </c>
      <c r="C2501" s="1" t="str">
        <f t="shared" si="1238"/>
        <v>专科</v>
      </c>
      <c r="D2501" s="1" t="str">
        <f>"20230630"</f>
        <v>20230630</v>
      </c>
      <c r="E2501" s="1" t="str">
        <f>"闽江师范高等专科学校"</f>
        <v>闽江师范高等专科学校</v>
      </c>
      <c r="F2501" s="1" t="str">
        <f>"早期教育"</f>
        <v>早期教育</v>
      </c>
      <c r="G2501" s="1" t="str">
        <f>"河南省漯河市郾城区黄河路交警支队家属院"</f>
        <v>河南省漯河市郾城区黄河路交警支队家属院</v>
      </c>
      <c r="H2501" s="1" t="str">
        <f t="shared" si="1236"/>
        <v>无</v>
      </c>
      <c r="I2501" s="1" t="str">
        <f>"202011-202306 闽江师范高等专科学校学前教育系早期教育专业 就读是全日制学历
202306-202408 福建省福州市 小茉莉托育 就业
202408-202507 河南省漯河市 待业"</f>
        <v>202011-202306 闽江师范高等专科学校学前教育系早期教育专业 就读是全日制学历
202306-202408 福建省福州市 小茉莉托育 就业
202408-202507 河南省漯河市 待业</v>
      </c>
    </row>
    <row r="2502" spans="1:9">
      <c r="A2502" s="1" t="str">
        <f>"411330200311245127"</f>
        <v>411330200311245127</v>
      </c>
      <c r="B2502" s="1" t="str">
        <f>"中共党员"</f>
        <v>中共党员</v>
      </c>
      <c r="C2502" s="1" t="str">
        <f t="shared" ref="C2502:C2508" si="1240">"本科"</f>
        <v>本科</v>
      </c>
      <c r="D2502" s="1" t="str">
        <f>"20250701"</f>
        <v>20250701</v>
      </c>
      <c r="E2502" s="1" t="str">
        <f>"新乡学院"</f>
        <v>新乡学院</v>
      </c>
      <c r="F2502" s="1" t="str">
        <f>"信息与计算科学"</f>
        <v>信息与计算科学</v>
      </c>
      <c r="G2502" s="1" t="str">
        <f>"河南省南阳市西峡县双龙镇双龙街"</f>
        <v>河南省南阳市西峡县双龙镇双龙街</v>
      </c>
      <c r="H2502" s="1" t="str">
        <f t="shared" si="1236"/>
        <v>无</v>
      </c>
      <c r="I2502" s="1" t="str">
        <f>"202109-202506 新乡学院数学与统计学院信息与计算科学专业就读 是全日制学历"</f>
        <v>202109-202506 新乡学院数学与统计学院信息与计算科学专业就读 是全日制学历</v>
      </c>
    </row>
    <row r="2503" spans="1:9">
      <c r="A2503" s="1" t="str">
        <f>"411330200104062045"</f>
        <v>411330200104062045</v>
      </c>
      <c r="B2503" s="1" t="str">
        <f>"共青团员"</f>
        <v>共青团员</v>
      </c>
      <c r="C2503" s="1" t="str">
        <f t="shared" si="1240"/>
        <v>本科</v>
      </c>
      <c r="D2503" s="1" t="str">
        <f>"20250607"</f>
        <v>20250607</v>
      </c>
      <c r="E2503" s="1" t="str">
        <f>"郑州升达经贸管理学院"</f>
        <v>郑州升达经贸管理学院</v>
      </c>
      <c r="F2503" s="1" t="str">
        <f>"汉语言文学"</f>
        <v>汉语言文学</v>
      </c>
      <c r="G2503" s="1" t="str">
        <f>"河南省南阳市西峡县五里桥镇稻田沟"</f>
        <v>河南省南阳市西峡县五里桥镇稻田沟</v>
      </c>
      <c r="H2503" s="1" t="str">
        <f t="shared" si="1236"/>
        <v>无</v>
      </c>
      <c r="I2503" s="1" t="str">
        <f>"202309-202506郑州升达经贸管理学院文法学院汉语言文学专业就读，全日制学历。
202009-202306商丘学院人文学院语文教育专业就读，全日制学历。
201909-202006西峡一高
201609-201906西峡二高
201309-201606西峡县城区二中
200709-201306西峡县城区二小"</f>
        <v>202309-202506郑州升达经贸管理学院文法学院汉语言文学专业就读，全日制学历。
202009-202306商丘学院人文学院语文教育专业就读，全日制学历。
201909-202006西峡一高
201609-201906西峡二高
201309-201606西峡县城区二中
200709-201306西峡县城区二小</v>
      </c>
    </row>
    <row r="2504" spans="1:9">
      <c r="A2504" s="1" t="str">
        <f>"411323199602030012"</f>
        <v>411323199602030012</v>
      </c>
      <c r="B2504" s="1" t="str">
        <f t="shared" ref="B2504:B2509" si="1241">"群众"</f>
        <v>群众</v>
      </c>
      <c r="C2504" s="1" t="str">
        <f>"专科"</f>
        <v>专科</v>
      </c>
      <c r="D2504" s="1" t="str">
        <f>"20170701"</f>
        <v>20170701</v>
      </c>
      <c r="E2504" s="1" t="str">
        <f>"河南工业职业技术学院"</f>
        <v>河南工业职业技术学院</v>
      </c>
      <c r="F2504" s="1" t="str">
        <f>"电子信息工程"</f>
        <v>电子信息工程</v>
      </c>
      <c r="G2504" s="1" t="str">
        <f>"河南省淅川县上集镇"</f>
        <v>河南省淅川县上集镇</v>
      </c>
      <c r="H2504" s="1" t="str">
        <f t="shared" si="1236"/>
        <v>无</v>
      </c>
      <c r="I2504" s="1" t="str">
        <f>"201409-201707 河南工业职业技术学院 电子信息工程系 全日制学历
201708-202212 部队服役
202301-至今待业
"</f>
        <v>201409-201707 河南工业职业技术学院 电子信息工程系 全日制学历
201708-202212 部队服役
202301-至今待业
</v>
      </c>
    </row>
    <row r="2505" spans="1:9">
      <c r="A2505" s="1" t="str">
        <f>"411381200209268461"</f>
        <v>411381200209268461</v>
      </c>
      <c r="B2505" s="1" t="str">
        <f>"中共党员"</f>
        <v>中共党员</v>
      </c>
      <c r="C2505" s="1" t="str">
        <f t="shared" si="1240"/>
        <v>本科</v>
      </c>
      <c r="D2505" s="1" t="str">
        <f>"20250701"</f>
        <v>20250701</v>
      </c>
      <c r="E2505" s="1" t="str">
        <f>"新乡工程学院"</f>
        <v>新乡工程学院</v>
      </c>
      <c r="F2505" s="1" t="str">
        <f>"国际经济与贸易"</f>
        <v>国际经济与贸易</v>
      </c>
      <c r="G2505" s="1" t="str">
        <f>"河南省南阳市邓州市文渠乡岳洼村七组二号"</f>
        <v>河南省南阳市邓州市文渠乡岳洼村七组二号</v>
      </c>
      <c r="H2505" s="1" t="str">
        <f t="shared" si="1236"/>
        <v>无</v>
      </c>
      <c r="I2505" s="1" t="str">
        <f>"20210901——20250701 新乡工程学院经济与管理学院国际经济与贸易专业就读，为全日制本科学历"</f>
        <v>20210901——20250701 新乡工程学院经济与管理学院国际经济与贸易专业就读，为全日制本科学历</v>
      </c>
    </row>
    <row r="2506" spans="1:9">
      <c r="A2506" s="1" t="str">
        <f>"411381199505038438"</f>
        <v>411381199505038438</v>
      </c>
      <c r="B2506" s="1" t="str">
        <f t="shared" si="1241"/>
        <v>群众</v>
      </c>
      <c r="C2506" s="1" t="str">
        <f t="shared" si="1240"/>
        <v>本科</v>
      </c>
      <c r="D2506" s="1" t="str">
        <f>"20190607"</f>
        <v>20190607</v>
      </c>
      <c r="E2506" s="1" t="str">
        <f>"中原工学院信息商务学院"</f>
        <v>中原工学院信息商务学院</v>
      </c>
      <c r="F2506" s="1" t="str">
        <f>"电气工程及其自动化"</f>
        <v>电气工程及其自动化</v>
      </c>
      <c r="G2506" s="1" t="str">
        <f>"河南省邓州市人民路卢浮帝景对面天星名烟名酒"</f>
        <v>河南省邓州市人民路卢浮帝景对面天星名烟名酒</v>
      </c>
      <c r="H2506" s="1" t="str">
        <f t="shared" si="1236"/>
        <v>无</v>
      </c>
      <c r="I2506" s="1" t="str">
        <f>"201509-201906 在中原工学院信息商务学院；院系：电气工程系；专业：电气工程及其自动化（全日制学历） 就读。
201906-至今 在河南省邓州市待业。"</f>
        <v>201509-201906 在中原工学院信息商务学院；院系：电气工程系；专业：电气工程及其自动化（全日制学历） 就读。
201906-至今 在河南省邓州市待业。</v>
      </c>
    </row>
    <row r="2507" spans="1:9">
      <c r="A2507" s="1" t="str">
        <f>"41052219990926938X"</f>
        <v>41052219990926938X</v>
      </c>
      <c r="B2507" s="1" t="str">
        <f>"共青团员"</f>
        <v>共青团员</v>
      </c>
      <c r="C2507" s="1" t="str">
        <f t="shared" si="1240"/>
        <v>本科</v>
      </c>
      <c r="D2507" s="1" t="str">
        <f>"20210701"</f>
        <v>20210701</v>
      </c>
      <c r="E2507" s="1" t="str">
        <f>"河南科技学院"</f>
        <v>河南科技学院</v>
      </c>
      <c r="F2507" s="1" t="str">
        <f>"机械设计制造及其自动化（中外合作办学）"</f>
        <v>机械设计制造及其自动化（中外合作办学）</v>
      </c>
      <c r="G2507" s="1" t="str">
        <f>"河南省内乡县国税花苑小区四号楼一单元五楼东户"</f>
        <v>河南省内乡县国税花苑小区四号楼一单元五楼东户</v>
      </c>
      <c r="H2507" s="1" t="str">
        <f t="shared" si="1236"/>
        <v>无</v>
      </c>
      <c r="I2507" s="1" t="str">
        <f>"201709-202107 河南科技学院 经济与管理学院 会计学专业就读 全日制学历
202107-202204 牧原肉食品有限公司 职员
202204-202210 河南省内乡县国税花园待业
202210至今 内乡县师岗镇财政所 会计"</f>
        <v>201709-202107 河南科技学院 经济与管理学院 会计学专业就读 全日制学历
202107-202204 牧原肉食品有限公司 职员
202204-202210 河南省内乡县国税花园待业
202210至今 内乡县师岗镇财政所 会计</v>
      </c>
    </row>
    <row r="2508" spans="1:9">
      <c r="A2508" s="1" t="str">
        <f>"410325199810052103"</f>
        <v>410325199810052103</v>
      </c>
      <c r="B2508" s="1" t="str">
        <f t="shared" si="1241"/>
        <v>群众</v>
      </c>
      <c r="C2508" s="1" t="str">
        <f t="shared" si="1240"/>
        <v>本科</v>
      </c>
      <c r="D2508" s="1" t="str">
        <f>"2022.07"</f>
        <v>2022.07</v>
      </c>
      <c r="E2508" s="1" t="str">
        <f>"郑州经贸学院"</f>
        <v>郑州经贸学院</v>
      </c>
      <c r="F2508" s="1" t="str">
        <f>"财务管理"</f>
        <v>财务管理</v>
      </c>
      <c r="G2508" s="1" t="str">
        <f>"嵩县鹤鸣小区"</f>
        <v>嵩县鹤鸣小区</v>
      </c>
      <c r="H2508" s="1" t="str">
        <f t="shared" si="1236"/>
        <v>无</v>
      </c>
      <c r="I2508" s="1" t="str">
        <f>"2017年9月-2020年7月 河南财政金融学院  专科 会计
2020年9月-2022年7月 郑州经贸学院         本科 财务管理"</f>
        <v>2017年9月-2020年7月 河南财政金融学院  专科 会计
2020年9月-2022年7月 郑州经贸学院         本科 财务管理</v>
      </c>
    </row>
    <row r="2509" spans="1:9">
      <c r="A2509" s="1" t="str">
        <f>"411326200011175513"</f>
        <v>411326200011175513</v>
      </c>
      <c r="B2509" s="1" t="str">
        <f t="shared" si="1241"/>
        <v>群众</v>
      </c>
      <c r="C2509" s="1" t="str">
        <f>"专科"</f>
        <v>专科</v>
      </c>
      <c r="D2509" s="1" t="str">
        <f>"20220701"</f>
        <v>20220701</v>
      </c>
      <c r="E2509" s="1" t="str">
        <f>"河南应用技术职业学院"</f>
        <v>河南应用技术职业学院</v>
      </c>
      <c r="F2509" s="1" t="str">
        <f>"财务管理"</f>
        <v>财务管理</v>
      </c>
      <c r="G2509" s="1" t="str">
        <f>"河南省南阳市南召县城郊乡天富广场"</f>
        <v>河南省南阳市南召县城郊乡天富广场</v>
      </c>
      <c r="H2509" s="1" t="str">
        <f>"初级会计证"</f>
        <v>初级会计证</v>
      </c>
      <c r="I2509" s="1" t="str">
        <f>"201909-202207河南应用技术职业学院
202210-202501南召县公安局辅警"</f>
        <v>201909-202207河南应用技术职业学院
202210-202501南召县公安局辅警</v>
      </c>
    </row>
    <row r="2510" spans="1:9">
      <c r="A2510" s="1" t="str">
        <f>"411327200103220023"</f>
        <v>411327200103220023</v>
      </c>
      <c r="B2510" s="1" t="str">
        <f>"共青团员"</f>
        <v>共青团员</v>
      </c>
      <c r="C2510" s="1" t="str">
        <f t="shared" ref="C2510:C2514" si="1242">"本科"</f>
        <v>本科</v>
      </c>
      <c r="D2510" s="1" t="str">
        <f>"20230630"</f>
        <v>20230630</v>
      </c>
      <c r="E2510" s="1" t="str">
        <f>"新乡学院"</f>
        <v>新乡学院</v>
      </c>
      <c r="F2510" s="1" t="str">
        <f>"会计学"</f>
        <v>会计学</v>
      </c>
      <c r="G2510" s="1" t="str">
        <f>"河南省南阳市内乡县城关镇韩井南巷"</f>
        <v>河南省南阳市内乡县城关镇韩井南巷</v>
      </c>
      <c r="H2510" s="1" t="str">
        <f t="shared" ref="H2510:H2513" si="1243">"无"</f>
        <v>无</v>
      </c>
      <c r="I2510" s="1" t="str">
        <f>"201909-202306  新乡学院  商学院  会计学专业  是全日制"</f>
        <v>201909-202306  新乡学院  商学院  会计学专业  是全日制</v>
      </c>
    </row>
    <row r="2511" spans="1:9">
      <c r="A2511" s="1" t="str">
        <f>"411327200105050312"</f>
        <v>411327200105050312</v>
      </c>
      <c r="B2511" s="1" t="str">
        <f t="shared" ref="B2511:B2514" si="1244">"群众"</f>
        <v>群众</v>
      </c>
      <c r="C2511" s="1" t="str">
        <f t="shared" si="1242"/>
        <v>本科</v>
      </c>
      <c r="D2511" s="1" t="str">
        <f>"20230607"</f>
        <v>20230607</v>
      </c>
      <c r="E2511" s="1" t="str">
        <f>"河南工学院"</f>
        <v>河南工学院</v>
      </c>
      <c r="F2511" s="1" t="str">
        <f>"金融数学"</f>
        <v>金融数学</v>
      </c>
      <c r="G2511" s="1" t="str">
        <f>"河南省南阳市内乡县"</f>
        <v>河南省南阳市内乡县</v>
      </c>
      <c r="H2511" s="1" t="str">
        <f t="shared" si="1243"/>
        <v>无</v>
      </c>
      <c r="I2511" s="1" t="str">
        <f>"201909-202306 河南工学院就读金融数学，全日制学历。
202306-202309在家待业
202310-202312在广发银行就业
202312-202403在家待业
202404-202411在深圳地铁就业
202412-202507在家待业"</f>
        <v>201909-202306 河南工学院就读金融数学，全日制学历。
202306-202309在家待业
202310-202312在广发银行就业
202312-202403在家待业
202404-202411在深圳地铁就业
202412-202507在家待业</v>
      </c>
    </row>
    <row r="2512" spans="1:9">
      <c r="A2512" s="1" t="str">
        <f>"411327199610120013"</f>
        <v>411327199610120013</v>
      </c>
      <c r="B2512" s="1" t="str">
        <f t="shared" si="1244"/>
        <v>群众</v>
      </c>
      <c r="C2512" s="1" t="str">
        <f t="shared" si="1242"/>
        <v>本科</v>
      </c>
      <c r="D2512" s="1" t="str">
        <f>"20240701"</f>
        <v>20240701</v>
      </c>
      <c r="E2512" s="1" t="str">
        <f>"武汉科技大学"</f>
        <v>武汉科技大学</v>
      </c>
      <c r="F2512" s="1" t="str">
        <f>"行政管理"</f>
        <v>行政管理</v>
      </c>
      <c r="G2512" s="1" t="str">
        <f>"南阳市内乡县湍东镇龙湖一号十号楼一单元201"</f>
        <v>南阳市内乡县湍东镇龙湖一号十号楼一单元201</v>
      </c>
      <c r="H2512" s="1" t="str">
        <f t="shared" si="1243"/>
        <v>无</v>
      </c>
      <c r="I2512" s="1" t="str">
        <f>"202111-202507在内乡县发展和改革委员会任办公室职员，政府购岗身份，期间，202203-202407在武汉科技大学取得本科行政管理专业函授学历，非全日制"</f>
        <v>202111-202507在内乡县发展和改革委员会任办公室职员，政府购岗身份，期间，202203-202407在武汉科技大学取得本科行政管理专业函授学历，非全日制</v>
      </c>
    </row>
    <row r="2513" spans="1:9">
      <c r="A2513" s="1" t="str">
        <f>"412701200110252524"</f>
        <v>412701200110252524</v>
      </c>
      <c r="B2513" s="1" t="str">
        <f>"共青团员"</f>
        <v>共青团员</v>
      </c>
      <c r="C2513" s="1" t="str">
        <f t="shared" si="1242"/>
        <v>本科</v>
      </c>
      <c r="D2513" s="1" t="str">
        <f>"20240620"</f>
        <v>20240620</v>
      </c>
      <c r="E2513" s="1" t="str">
        <f>"上海建桥学院"</f>
        <v>上海建桥学院</v>
      </c>
      <c r="F2513" s="1" t="str">
        <f>"工商管理"</f>
        <v>工商管理</v>
      </c>
      <c r="G2513" s="1" t="str">
        <f>"河南省周口市川汇区高庄东路7号"</f>
        <v>河南省周口市川汇区高庄东路7号</v>
      </c>
      <c r="H2513" s="1" t="str">
        <f t="shared" si="1243"/>
        <v>无</v>
      </c>
      <c r="I2513" s="1" t="str">
        <f>"202009-202406 上海建桥学院商学院工商管理专业 全日制 就读"</f>
        <v>202009-202406 上海建桥学院商学院工商管理专业 全日制 就读</v>
      </c>
    </row>
    <row r="2514" spans="1:9">
      <c r="A2514" s="1" t="str">
        <f>"411327200109251525"</f>
        <v>411327200109251525</v>
      </c>
      <c r="B2514" s="1" t="str">
        <f t="shared" si="1244"/>
        <v>群众</v>
      </c>
      <c r="C2514" s="1" t="str">
        <f t="shared" si="1242"/>
        <v>本科</v>
      </c>
      <c r="D2514" s="1" t="str">
        <f>"20240607"</f>
        <v>20240607</v>
      </c>
      <c r="E2514" s="1" t="str">
        <f>"郑州商学院"</f>
        <v>郑州商学院</v>
      </c>
      <c r="F2514" s="1" t="str">
        <f>"英语"</f>
        <v>英语</v>
      </c>
      <c r="G2514" s="1" t="str">
        <f>"河南省南阳市内乡县园丁苑小区"</f>
        <v>河南省南阳市内乡县园丁苑小区</v>
      </c>
      <c r="H2514" s="1" t="str">
        <f>"英语四级"</f>
        <v>英语四级</v>
      </c>
      <c r="I2514" s="1" t="str">
        <f>"201909-202206河南职业技术学院电商物流学院商务英语专业就读全日制学历
202209-202406郑州商学院外国语学院英语专业就读全日制学历"</f>
        <v>201909-202206河南职业技术学院电商物流学院商务英语专业就读全日制学历
202209-202406郑州商学院外国语学院英语专业就读全日制学历</v>
      </c>
    </row>
    <row r="2515" spans="1:9">
      <c r="A2515" s="1" t="str">
        <f>"411324199910090531"</f>
        <v>411324199910090531</v>
      </c>
      <c r="B2515" s="1" t="str">
        <f>"中共党员"</f>
        <v>中共党员</v>
      </c>
      <c r="C2515" s="1" t="str">
        <f>"专科"</f>
        <v>专科</v>
      </c>
      <c r="D2515" s="1" t="str">
        <f>"20200701"</f>
        <v>20200701</v>
      </c>
      <c r="E2515" s="1" t="str">
        <f>"南阳医学高等专科学校"</f>
        <v>南阳医学高等专科学校</v>
      </c>
      <c r="F2515" s="1" t="str">
        <f>"卫生信息管理"</f>
        <v>卫生信息管理</v>
      </c>
      <c r="G2515" s="1" t="str">
        <f>"河南省南阳市镇平县东科技村"</f>
        <v>河南省南阳市镇平县东科技村</v>
      </c>
      <c r="H2515" s="1" t="str">
        <f t="shared" ref="H2515:H2524" si="1245">"无"</f>
        <v>无</v>
      </c>
      <c r="I2515" s="1" t="str">
        <f>"201707-202007 南阳医学高等专科学校就读卫生信息管理专业全日制
202007-202207 镇平待业
202208至今 镇平县信访局办公室工作人员"</f>
        <v>201707-202007 南阳医学高等专科学校就读卫生信息管理专业全日制
202007-202207 镇平待业
202208至今 镇平县信访局办公室工作人员</v>
      </c>
    </row>
    <row r="2516" spans="1:9">
      <c r="A2516" s="1" t="str">
        <f>"411327199509180679"</f>
        <v>411327199509180679</v>
      </c>
      <c r="B2516" s="1" t="str">
        <f t="shared" ref="B2516:B2520" si="1246">"群众"</f>
        <v>群众</v>
      </c>
      <c r="C2516" s="1" t="str">
        <f t="shared" ref="C2516:C2520" si="1247">"本科"</f>
        <v>本科</v>
      </c>
      <c r="D2516" s="1" t="str">
        <f>"20180701"</f>
        <v>20180701</v>
      </c>
      <c r="E2516" s="1" t="str">
        <f>"云南师范大学商学院"</f>
        <v>云南师范大学商学院</v>
      </c>
      <c r="F2516" s="1" t="str">
        <f>"广告学"</f>
        <v>广告学</v>
      </c>
      <c r="G2516" s="1" t="str">
        <f>"南阳市内乡县郦都花园"</f>
        <v>南阳市内乡县郦都花园</v>
      </c>
      <c r="H2516" s="1" t="str">
        <f t="shared" si="1245"/>
        <v>无</v>
      </c>
      <c r="I2516" s="1" t="str">
        <f>"201709-201807 云南师范大学商学院 语言文学学院 广告学专业就读
全日制学历
201807-202101 内乡县待业
202101-至今 南阳市卧龙区融媒体中心 记者"</f>
        <v>201709-201807 云南师范大学商学院 语言文学学院 广告学专业就读
全日制学历
201807-202101 内乡县待业
202101-至今 南阳市卧龙区融媒体中心 记者</v>
      </c>
    </row>
    <row r="2517" spans="1:9">
      <c r="A2517" s="1" t="str">
        <f>"411381200304276742"</f>
        <v>411381200304276742</v>
      </c>
      <c r="B2517" s="1" t="str">
        <f>"共青团员"</f>
        <v>共青团员</v>
      </c>
      <c r="C2517" s="1" t="str">
        <f>"专科"</f>
        <v>专科</v>
      </c>
      <c r="D2517" s="1" t="str">
        <f>"20250601"</f>
        <v>20250601</v>
      </c>
      <c r="E2517" s="1" t="str">
        <f>"河南医学高等专科学校"</f>
        <v>河南医学高等专科学校</v>
      </c>
      <c r="F2517" s="1" t="str">
        <f>"冷链物流技术与管理"</f>
        <v>冷链物流技术与管理</v>
      </c>
      <c r="G2517" s="1" t="str">
        <f>"河南南阳市邓州市花洲街道"</f>
        <v>河南南阳市邓州市花洲街道</v>
      </c>
      <c r="H2517" s="1" t="str">
        <f t="shared" si="1245"/>
        <v>无</v>
      </c>
      <c r="I2517" s="1" t="str">
        <f>"202209-202506河南医学高等专科学校检验学院冷链物流技术与管理专业全日制"</f>
        <v>202209-202506河南医学高等专科学校检验学院冷链物流技术与管理专业全日制</v>
      </c>
    </row>
    <row r="2518" spans="1:9">
      <c r="A2518" s="1" t="str">
        <f>"411327199709073122"</f>
        <v>411327199709073122</v>
      </c>
      <c r="B2518" s="1" t="str">
        <f t="shared" si="1246"/>
        <v>群众</v>
      </c>
      <c r="C2518" s="1" t="str">
        <f t="shared" si="1247"/>
        <v>本科</v>
      </c>
      <c r="D2518" s="1" t="str">
        <f>"20200920"</f>
        <v>20200920</v>
      </c>
      <c r="E2518" s="1" t="str">
        <f>"河南大学"</f>
        <v>河南大学</v>
      </c>
      <c r="F2518" s="1" t="str">
        <f>"计算机科学与技术"</f>
        <v>计算机科学与技术</v>
      </c>
      <c r="G2518" s="1" t="str">
        <f>"河南省南阳市内乡县宏达南路"</f>
        <v>河南省南阳市内乡县宏达南路</v>
      </c>
      <c r="H2518" s="1" t="str">
        <f t="shared" si="1245"/>
        <v>无</v>
      </c>
      <c r="I2518" s="1" t="str">
        <f>"201509-202009  河南大学计算机与信息工程学院计算机科学与技术就读 ，全日制学历
202010-202204 成都竞悦网络科技有限公司工作
202205-202406  夏馆镇家中待业
202407-202504  河南省南阳市内乡县内乡复兴学校工作
202504-202507  夏馆镇家中待业"</f>
        <v>201509-202009  河南大学计算机与信息工程学院计算机科学与技术就读 ，全日制学历
202010-202204 成都竞悦网络科技有限公司工作
202205-202406  夏馆镇家中待业
202407-202504  河南省南阳市内乡县内乡复兴学校工作
202504-202507  夏馆镇家中待业</v>
      </c>
    </row>
    <row r="2519" spans="1:9">
      <c r="A2519" s="1" t="str">
        <f>"411327200202034226"</f>
        <v>411327200202034226</v>
      </c>
      <c r="B2519" s="1" t="str">
        <f>"中共党员"</f>
        <v>中共党员</v>
      </c>
      <c r="C2519" s="1" t="str">
        <f t="shared" si="1247"/>
        <v>本科</v>
      </c>
      <c r="D2519" s="1" t="str">
        <f t="shared" ref="D2519:D2522" si="1248">"20250701"</f>
        <v>20250701</v>
      </c>
      <c r="E2519" s="1" t="str">
        <f>"洛阳师范学院"</f>
        <v>洛阳师范学院</v>
      </c>
      <c r="F2519" s="1" t="str">
        <f>"学前教育"</f>
        <v>学前教育</v>
      </c>
      <c r="G2519" s="1" t="str">
        <f>"河南省内乡县余关乡石庙村"</f>
        <v>河南省内乡县余关乡石庙村</v>
      </c>
      <c r="H2519" s="1" t="str">
        <f t="shared" si="1245"/>
        <v>无</v>
      </c>
      <c r="I2519" s="1" t="str">
        <f>"202109-202506 洛阳师范学院学前教育学院学前教育专业 就读 全日制学历"</f>
        <v>202109-202506 洛阳师范学院学前教育学院学前教育专业 就读 全日制学历</v>
      </c>
    </row>
    <row r="2520" spans="1:9">
      <c r="A2520" s="1" t="str">
        <f>"411502200009200564"</f>
        <v>411502200009200564</v>
      </c>
      <c r="B2520" s="1" t="str">
        <f t="shared" si="1246"/>
        <v>群众</v>
      </c>
      <c r="C2520" s="1" t="str">
        <f t="shared" si="1247"/>
        <v>本科</v>
      </c>
      <c r="D2520" s="1" t="str">
        <f>"20230601"</f>
        <v>20230601</v>
      </c>
      <c r="E2520" s="1" t="str">
        <f>"新疆师范大学"</f>
        <v>新疆师范大学</v>
      </c>
      <c r="F2520" s="1" t="str">
        <f>"环境工程"</f>
        <v>环境工程</v>
      </c>
      <c r="G2520" s="1" t="str">
        <f>"河南省信阳市浉河区南湖路供水公司家属院"</f>
        <v>河南省信阳市浉河区南湖路供水公司家属院</v>
      </c>
      <c r="H2520" s="1" t="str">
        <f t="shared" si="1245"/>
        <v>无</v>
      </c>
      <c r="I2520" s="1" t="str">
        <f>"20180901-20210601新疆师范高等专科学校就读。20210901-20230601新疆师范大学就读。20230601至今待业。"</f>
        <v>20180901-20210601新疆师范高等专科学校就读。20210901-20230601新疆师范大学就读。20230601至今待业。</v>
      </c>
    </row>
    <row r="2521" spans="1:9">
      <c r="A2521" s="1" t="str">
        <f>"411321199911121513"</f>
        <v>411321199911121513</v>
      </c>
      <c r="B2521" s="1" t="str">
        <f>"共青团员"</f>
        <v>共青团员</v>
      </c>
      <c r="C2521" s="1" t="str">
        <f>"硕士研究生"</f>
        <v>硕士研究生</v>
      </c>
      <c r="D2521" s="1" t="str">
        <f t="shared" si="1248"/>
        <v>20250701</v>
      </c>
      <c r="E2521" s="1" t="str">
        <f>"重庆工商大学"</f>
        <v>重庆工商大学</v>
      </c>
      <c r="F2521" s="1" t="str">
        <f>"审计"</f>
        <v>审计</v>
      </c>
      <c r="G2521" s="1" t="str">
        <f>"河南省南阳市桐柏县双北区"</f>
        <v>河南省南阳市桐柏县双北区</v>
      </c>
      <c r="H2521" s="1" t="str">
        <f t="shared" si="1245"/>
        <v>无</v>
      </c>
      <c r="I2521" s="1" t="str">
        <f>"201809-202206 珠海科技学院 会计学院会计学 就读 全日制学历
202209-202507 重庆工商大学 会计学院审计    就读  全日制学历"</f>
        <v>201809-202206 珠海科技学院 会计学院会计学 就读 全日制学历
202209-202507 重庆工商大学 会计学院审计    就读  全日制学历</v>
      </c>
    </row>
    <row r="2522" spans="1:9">
      <c r="A2522" s="1" t="str">
        <f>"411327199108110055"</f>
        <v>411327199108110055</v>
      </c>
      <c r="B2522" s="1" t="str">
        <f t="shared" ref="B2522:B2527" si="1249">"群众"</f>
        <v>群众</v>
      </c>
      <c r="C2522" s="1" t="str">
        <f t="shared" ref="C2522:C2525" si="1250">"本科"</f>
        <v>本科</v>
      </c>
      <c r="D2522" s="1" t="str">
        <f t="shared" si="1248"/>
        <v>20250701</v>
      </c>
      <c r="E2522" s="1" t="str">
        <f>"郑州轻工业大学"</f>
        <v>郑州轻工业大学</v>
      </c>
      <c r="F2522" s="1" t="str">
        <f>"电子商务"</f>
        <v>电子商务</v>
      </c>
      <c r="G2522" s="1" t="str">
        <f>"河南省南阳市内乡县城关镇广源小区"</f>
        <v>河南省南阳市内乡县城关镇广源小区</v>
      </c>
      <c r="H2522" s="1" t="str">
        <f t="shared" si="1245"/>
        <v>无</v>
      </c>
      <c r="I2522" s="1" t="str">
        <f>"201009-201307 河南牧业经济学院电商专业就读 全日制
201308-202002 自由职业
202003-202207 洛阳科技职业学院建设工程管理专业就读 非全日制
202208-202303 自由职业
202304-202507 郑州轻工业大学电子商务专业就读 非全日制"</f>
        <v>201009-201307 河南牧业经济学院电商专业就读 全日制
201308-202002 自由职业
202003-202207 洛阳科技职业学院建设工程管理专业就读 非全日制
202208-202303 自由职业
202304-202507 郑州轻工业大学电子商务专业就读 非全日制</v>
      </c>
    </row>
    <row r="2523" spans="1:9">
      <c r="A2523" s="1" t="str">
        <f>"411303199403151035"</f>
        <v>411303199403151035</v>
      </c>
      <c r="B2523" s="1" t="str">
        <f t="shared" si="1249"/>
        <v>群众</v>
      </c>
      <c r="C2523" s="1" t="str">
        <f t="shared" si="1250"/>
        <v>本科</v>
      </c>
      <c r="D2523" s="1" t="str">
        <f>"20160616"</f>
        <v>20160616</v>
      </c>
      <c r="E2523" s="1" t="str">
        <f>"河北传媒学院"</f>
        <v>河北传媒学院</v>
      </c>
      <c r="F2523" s="1" t="str">
        <f>"广播电视编导"</f>
        <v>广播电视编导</v>
      </c>
      <c r="G2523" s="1" t="str">
        <f>"河南省南阳市宛城区建设中路289号"</f>
        <v>河南省南阳市宛城区建设中路289号</v>
      </c>
      <c r="H2523" s="1" t="str">
        <f t="shared" si="1245"/>
        <v>无</v>
      </c>
      <c r="I2523" s="1" t="str">
        <f>"201209-201606 河北传媒学院就读 广播电视编导 全日制
201606—201701 北京完美动力教育 影视后期专业
201703—201805 北京点构视效文化传播有限公司 模型师
201910—202506 南阳市行政审批服务中心"</f>
        <v>201209-201606 河北传媒学院就读 广播电视编导 全日制
201606—201701 北京完美动力教育 影视后期专业
201703—201805 北京点构视效文化传播有限公司 模型师
201910—202506 南阳市行政审批服务中心</v>
      </c>
    </row>
    <row r="2524" spans="1:9">
      <c r="A2524" s="1" t="str">
        <f>"41058120020502905X"</f>
        <v>41058120020502905X</v>
      </c>
      <c r="B2524" s="1" t="str">
        <f t="shared" ref="B2524:B2529" si="1251">"共青团员"</f>
        <v>共青团员</v>
      </c>
      <c r="C2524" s="1" t="str">
        <f t="shared" ref="C2524:C2527" si="1252">"专科"</f>
        <v>专科</v>
      </c>
      <c r="D2524" s="1" t="str">
        <f>"20240701"</f>
        <v>20240701</v>
      </c>
      <c r="E2524" s="1" t="str">
        <f>"信阳航空职业学院"</f>
        <v>信阳航空职业学院</v>
      </c>
      <c r="F2524" s="1" t="str">
        <f>"无人机应用技术"</f>
        <v>无人机应用技术</v>
      </c>
      <c r="G2524" s="1" t="str">
        <f>"河南省安阳市林州市富苑港湾"</f>
        <v>河南省安阳市林州市富苑港湾</v>
      </c>
      <c r="H2524" s="1" t="str">
        <f t="shared" si="1245"/>
        <v>无</v>
      </c>
      <c r="I2524" s="1" t="str">
        <f>"202109-202407 信阳航空职业学院 飞行学院 无人机应用技术 就读 全日制
202407-至今 待业"</f>
        <v>202109-202407 信阳航空职业学院 飞行学院 无人机应用技术 就读 全日制
202407-至今 待业</v>
      </c>
    </row>
    <row r="2525" spans="1:9">
      <c r="A2525" s="1" t="str">
        <f>"410622200008090017"</f>
        <v>410622200008090017</v>
      </c>
      <c r="B2525" s="1" t="str">
        <f>"中共党员"</f>
        <v>中共党员</v>
      </c>
      <c r="C2525" s="1" t="str">
        <f t="shared" si="1250"/>
        <v>本科</v>
      </c>
      <c r="D2525" s="1" t="str">
        <f>"20220601"</f>
        <v>20220601</v>
      </c>
      <c r="E2525" s="1" t="str">
        <f>"平顶山学院"</f>
        <v>平顶山学院</v>
      </c>
      <c r="F2525" s="1" t="str">
        <f>"视觉传达设计"</f>
        <v>视觉传达设计</v>
      </c>
      <c r="G2525" s="1" t="str">
        <f>"河南省鹤壁市淇滨区凯旋广场"</f>
        <v>河南省鹤壁市淇滨区凯旋广场</v>
      </c>
      <c r="H2525" s="1" t="str">
        <f>"平面设计师"</f>
        <v>平面设计师</v>
      </c>
      <c r="I2525" s="1" t="str">
        <f>"201809-202206 平顶山学院 就读"</f>
        <v>201809-202206 平顶山学院 就读</v>
      </c>
    </row>
    <row r="2526" spans="1:9">
      <c r="A2526" s="1" t="str">
        <f>"142729199206093316"</f>
        <v>142729199206093316</v>
      </c>
      <c r="B2526" s="1" t="str">
        <f t="shared" si="1249"/>
        <v>群众</v>
      </c>
      <c r="C2526" s="1" t="str">
        <f t="shared" si="1252"/>
        <v>专科</v>
      </c>
      <c r="D2526" s="1" t="str">
        <f>"20130701"</f>
        <v>20130701</v>
      </c>
      <c r="E2526" s="1" t="str">
        <f>"太原科技大学"</f>
        <v>太原科技大学</v>
      </c>
      <c r="F2526" s="1" t="str">
        <f>"机电一体化技术"</f>
        <v>机电一体化技术</v>
      </c>
      <c r="G2526" s="1" t="str">
        <f>"山西省闻喜县桐城镇乔鑫苑北一巷"</f>
        <v>山西省闻喜县桐城镇乔鑫苑北一巷</v>
      </c>
      <c r="H2526" s="1" t="str">
        <f t="shared" ref="H2526:H2532" si="1253">"无"</f>
        <v>无</v>
      </c>
      <c r="I2526" s="1" t="str">
        <f>"201009-201307在太原科技大学机电一体化专业就读；
201308-201311在太原市晋源区打零工；
201312-201402在际华三五三四制衣有限公司任维修工；
201403-201705在运城市华洋泵业有限公司任质检员；
201706-201707在家中待业；
201708-201710在绿点科技（无锡）有限公司任操作工；
201711-至今在山西建龙实业有限公司任排产计划管理师。"</f>
        <v>201009-201307在太原科技大学机电一体化专业就读；
201308-201311在太原市晋源区打零工；
201312-201402在际华三五三四制衣有限公司任维修工；
201403-201705在运城市华洋泵业有限公司任质检员；
201706-201707在家中待业；
201708-201710在绿点科技（无锡）有限公司任操作工；
201711-至今在山西建龙实业有限公司任排产计划管理师。</v>
      </c>
    </row>
    <row r="2527" spans="1:9">
      <c r="A2527" s="1" t="str">
        <f>"411327199609260326"</f>
        <v>411327199609260326</v>
      </c>
      <c r="B2527" s="1" t="str">
        <f t="shared" si="1249"/>
        <v>群众</v>
      </c>
      <c r="C2527" s="1" t="str">
        <f t="shared" si="1252"/>
        <v>专科</v>
      </c>
      <c r="D2527" s="1" t="str">
        <f>"20160701"</f>
        <v>20160701</v>
      </c>
      <c r="E2527" s="1" t="str">
        <f>"华北水利水电大学"</f>
        <v>华北水利水电大学</v>
      </c>
      <c r="F2527" s="1" t="str">
        <f>"会计电算化"</f>
        <v>会计电算化</v>
      </c>
      <c r="G2527" s="1" t="str">
        <f>"河南省南阳市内乡县西城花苑"</f>
        <v>河南省南阳市内乡县西城花苑</v>
      </c>
      <c r="H2527" s="1" t="str">
        <f t="shared" si="1253"/>
        <v>无</v>
      </c>
      <c r="I2527" s="1" t="str">
        <f>"201109-201607   华北水利水电大学就读会计电算化
201608-202211   牧原食品股份有限公司    采购
202303-202506   南阳昇辉网络有限公司    采购"</f>
        <v>201109-201607   华北水利水电大学就读会计电算化
201608-202211   牧原食品股份有限公司    采购
202303-202506   南阳昇辉网络有限公司    采购</v>
      </c>
    </row>
    <row r="2528" spans="1:9">
      <c r="A2528" s="1" t="str">
        <f>"411327200111100320"</f>
        <v>411327200111100320</v>
      </c>
      <c r="B2528" s="1" t="str">
        <f t="shared" si="1251"/>
        <v>共青团员</v>
      </c>
      <c r="C2528" s="1" t="str">
        <f>"本科"</f>
        <v>本科</v>
      </c>
      <c r="D2528" s="1" t="str">
        <f>"20240701"</f>
        <v>20240701</v>
      </c>
      <c r="E2528" s="1" t="str">
        <f>"新乡医学院三全学院"</f>
        <v>新乡医学院三全学院</v>
      </c>
      <c r="F2528" s="1" t="str">
        <f>"数据科学与大数据技术"</f>
        <v>数据科学与大数据技术</v>
      </c>
      <c r="G2528" s="1" t="str">
        <f>"南阳市独山大道与张衡路交叉口中景门国贸11号楼2单元1902"</f>
        <v>南阳市独山大道与张衡路交叉口中景门国贸11号楼2单元1902</v>
      </c>
      <c r="H2528" s="1" t="str">
        <f t="shared" si="1253"/>
        <v>无</v>
      </c>
      <c r="I2528" s="1" t="str">
        <f>"202009-202407 新乡医学院三全学院 智能医学工程学院 数据科学与大数据技术专业就读 是全日制学历"</f>
        <v>202009-202407 新乡医学院三全学院 智能医学工程学院 数据科学与大数据技术专业就读 是全日制学历</v>
      </c>
    </row>
    <row r="2529" spans="1:9">
      <c r="A2529" s="1" t="str">
        <f>"411327199805161528"</f>
        <v>411327199805161528</v>
      </c>
      <c r="B2529" s="1" t="str">
        <f t="shared" si="1251"/>
        <v>共青团员</v>
      </c>
      <c r="C2529" s="1" t="str">
        <f>"硕士研究生"</f>
        <v>硕士研究生</v>
      </c>
      <c r="D2529" s="1" t="str">
        <f>"20250618"</f>
        <v>20250618</v>
      </c>
      <c r="E2529" s="1" t="str">
        <f>"西北大学"</f>
        <v>西北大学</v>
      </c>
      <c r="F2529" s="1" t="str">
        <f>"应用经济学"</f>
        <v>应用经济学</v>
      </c>
      <c r="G2529" s="1" t="str">
        <f>"河南省南阳市内乡县"</f>
        <v>河南省南阳市内乡县</v>
      </c>
      <c r="H2529" s="1" t="str">
        <f t="shared" si="1253"/>
        <v>无</v>
      </c>
      <c r="I2529" s="1" t="str">
        <f>"201609-202007 河南财经政法大学  数学与信息科学学院 数学与应用数学专业就读 全日制
202008-202208 内乡待业
202209-202507 西北大学 经济管理学院 应用经济学就读 全日制"</f>
        <v>201609-202007 河南财经政法大学  数学与信息科学学院 数学与应用数学专业就读 全日制
202008-202208 内乡待业
202209-202507 西北大学 经济管理学院 应用经济学就读 全日制</v>
      </c>
    </row>
    <row r="2530" spans="1:9">
      <c r="A2530" s="1" t="str">
        <f>"411324200009010039"</f>
        <v>411324200009010039</v>
      </c>
      <c r="B2530" s="1" t="str">
        <f t="shared" ref="B2530:B2532" si="1254">"群众"</f>
        <v>群众</v>
      </c>
      <c r="C2530" s="1" t="str">
        <f t="shared" ref="C2530:C2532" si="1255">"专科"</f>
        <v>专科</v>
      </c>
      <c r="D2530" s="1" t="str">
        <f>"20220601"</f>
        <v>20220601</v>
      </c>
      <c r="E2530" s="1" t="str">
        <f>"武汉工商学院"</f>
        <v>武汉工商学院</v>
      </c>
      <c r="F2530" s="1" t="str">
        <f>"电子信息工程技术"</f>
        <v>电子信息工程技术</v>
      </c>
      <c r="G2530" s="1" t="str">
        <f>"河南省南阳市镇平县东科技村43号"</f>
        <v>河南省南阳市镇平县东科技村43号</v>
      </c>
      <c r="H2530" s="1" t="str">
        <f t="shared" si="1253"/>
        <v>无</v>
      </c>
      <c r="I2530" s="1" t="str">
        <f>"201909-202106 武汉工商学院电子信息工程技术大专
201609-201906 镇平县第一高级中学
201309-201606 镇平县第二初级中学"</f>
        <v>201909-202106 武汉工商学院电子信息工程技术大专
201609-201906 镇平县第一高级中学
201309-201606 镇平县第二初级中学</v>
      </c>
    </row>
    <row r="2531" spans="1:9">
      <c r="A2531" s="1" t="str">
        <f>"41130319990926677X"</f>
        <v>41130319990926677X</v>
      </c>
      <c r="B2531" s="1" t="str">
        <f t="shared" si="1254"/>
        <v>群众</v>
      </c>
      <c r="C2531" s="1" t="str">
        <f t="shared" si="1255"/>
        <v>专科</v>
      </c>
      <c r="D2531" s="1" t="str">
        <f>"2021.07"</f>
        <v>2021.07</v>
      </c>
      <c r="E2531" s="1" t="str">
        <f>"郑州工程技术学院"</f>
        <v>郑州工程技术学院</v>
      </c>
      <c r="F2531" s="1" t="str">
        <f>"统计与会计核算"</f>
        <v>统计与会计核算</v>
      </c>
      <c r="G2531" s="1" t="str">
        <f>"河南省南阳市内乡县郦都花园小区"</f>
        <v>河南省南阳市内乡县郦都花园小区</v>
      </c>
      <c r="H2531" s="1" t="str">
        <f t="shared" si="1253"/>
        <v>无</v>
      </c>
      <c r="I2531" s="1" t="str">
        <f>"2018.09-2021.07郑州工程技术学院管理学院统计与会计核算专业全日制
2021.07-2022.12待业
2023.01-至今 内乡县余关商贸合作社"</f>
        <v>2018.09-2021.07郑州工程技术学院管理学院统计与会计核算专业全日制
2021.07-2022.12待业
2023.01-至今 内乡县余关商贸合作社</v>
      </c>
    </row>
    <row r="2532" spans="1:9">
      <c r="A2532" s="1" t="str">
        <f>"411381200211060424"</f>
        <v>411381200211060424</v>
      </c>
      <c r="B2532" s="1" t="str">
        <f t="shared" si="1254"/>
        <v>群众</v>
      </c>
      <c r="C2532" s="1" t="str">
        <f t="shared" si="1255"/>
        <v>专科</v>
      </c>
      <c r="D2532" s="1" t="str">
        <f>"20230631"</f>
        <v>20230631</v>
      </c>
      <c r="E2532" s="1" t="str">
        <f>"郑州升达经贸管理学院"</f>
        <v>郑州升达经贸管理学院</v>
      </c>
      <c r="F2532" s="1" t="str">
        <f>"空中乘务"</f>
        <v>空中乘务</v>
      </c>
      <c r="G2532" s="1" t="str">
        <f>"河南省南阳市邓州市"</f>
        <v>河南省南阳市邓州市</v>
      </c>
      <c r="H2532" s="1" t="str">
        <f t="shared" si="1253"/>
        <v>无</v>
      </c>
      <c r="I2532" s="1" t="str">
        <f>"202009-202306郑州升达经贸管理学院就读。全日制学历。"</f>
        <v>202009-202306郑州升达经贸管理学院就读。全日制学历。</v>
      </c>
    </row>
    <row r="2533" spans="1:9">
      <c r="A2533" s="1" t="str">
        <f>"410327200112130010"</f>
        <v>410327200112130010</v>
      </c>
      <c r="B2533" s="1" t="str">
        <f t="shared" ref="B2533:B2537" si="1256">"中共党员"</f>
        <v>中共党员</v>
      </c>
      <c r="C2533" s="1" t="str">
        <f t="shared" ref="C2533:C2546" si="1257">"本科"</f>
        <v>本科</v>
      </c>
      <c r="D2533" s="1" t="str">
        <f>"20240622"</f>
        <v>20240622</v>
      </c>
      <c r="E2533" s="1" t="str">
        <f>"辽宁对外经贸学院"</f>
        <v>辽宁对外经贸学院</v>
      </c>
      <c r="F2533" s="1" t="str">
        <f>"会计学"</f>
        <v>会计学</v>
      </c>
      <c r="G2533" s="1" t="str">
        <f>"河南省洛阳市宜阳县水晶城"</f>
        <v>河南省洛阳市宜阳县水晶城</v>
      </c>
      <c r="H2533" s="1" t="str">
        <f>"初级会计专业技术资格证书"</f>
        <v>初级会计专业技术资格证书</v>
      </c>
      <c r="I2533" s="1" t="str">
        <f>"202009-202406 辽宁对外经贸学院会计学院2020级会计学1班就读 全日制学历"</f>
        <v>202009-202406 辽宁对外经贸学院会计学院2020级会计学1班就读 全日制学历</v>
      </c>
    </row>
    <row r="2534" spans="1:9">
      <c r="A2534" s="1" t="str">
        <f>"411327200201032915"</f>
        <v>411327200201032915</v>
      </c>
      <c r="B2534" s="1" t="str">
        <f t="shared" ref="B2534:B2539" si="1258">"群众"</f>
        <v>群众</v>
      </c>
      <c r="C2534" s="1" t="str">
        <f>"专科"</f>
        <v>专科</v>
      </c>
      <c r="D2534" s="1" t="str">
        <f>"20230713"</f>
        <v>20230713</v>
      </c>
      <c r="E2534" s="1" t="str">
        <f>"河南农业职业学院"</f>
        <v>河南农业职业学院</v>
      </c>
      <c r="F2534" s="1" t="str">
        <f>"畜牧兽医"</f>
        <v>畜牧兽医</v>
      </c>
      <c r="G2534" s="1" t="str">
        <f>"河南省南阳市内乡县"</f>
        <v>河南省南阳市内乡县</v>
      </c>
      <c r="H2534" s="1" t="str">
        <f>"草食家畜饲养三级证书"</f>
        <v>草食家畜饲养三级证书</v>
      </c>
      <c r="I2534" s="1" t="str">
        <f>"2017.06.30——2020.7.10毕业于内乡职业中等学院就读畜牧兽医
2020.9.12——2023.7.13毕业于河南农业职业学院就读畜牧兽医"</f>
        <v>2017.06.30——2020.7.10毕业于内乡职业中等学院就读畜牧兽医
2020.9.12——2023.7.13毕业于河南农业职业学院就读畜牧兽医</v>
      </c>
    </row>
    <row r="2535" spans="1:9">
      <c r="A2535" s="1" t="str">
        <f>"411330200201174014"</f>
        <v>411330200201174014</v>
      </c>
      <c r="B2535" s="1" t="str">
        <f t="shared" si="1256"/>
        <v>中共党员</v>
      </c>
      <c r="C2535" s="1" t="str">
        <f>"专科"</f>
        <v>专科</v>
      </c>
      <c r="D2535" s="1" t="str">
        <f>"2023.06"</f>
        <v>2023.06</v>
      </c>
      <c r="E2535" s="1" t="str">
        <f>"南阳农业职业学院"</f>
        <v>南阳农业职业学院</v>
      </c>
      <c r="F2535" s="1" t="str">
        <f>"机电一体化"</f>
        <v>机电一体化</v>
      </c>
      <c r="G2535" s="1" t="str">
        <f>"河南省南阳市内乡县"</f>
        <v>河南省南阳市内乡县</v>
      </c>
      <c r="H2535" s="1" t="str">
        <f t="shared" ref="H2535:H2547" si="1259">"无"</f>
        <v>无</v>
      </c>
      <c r="I2535" s="1" t="str">
        <f>"2018年9月——2023年6月在南阳农业职业学院机电工程学院机电一体化专业就读全日制学历
2023年6月——2023年9月在家待业
2023年9月至今在内乡县农业农村局执法大队开展为期两年的西部计划志愿服务工作"</f>
        <v>2018年9月——2023年6月在南阳农业职业学院机电工程学院机电一体化专业就读全日制学历
2023年6月——2023年9月在家待业
2023年9月至今在内乡县农业农村局执法大队开展为期两年的西部计划志愿服务工作</v>
      </c>
    </row>
    <row r="2536" spans="1:9">
      <c r="A2536" s="1" t="str">
        <f>"411327200307250048"</f>
        <v>411327200307250048</v>
      </c>
      <c r="B2536" s="1" t="str">
        <f>"共青团员"</f>
        <v>共青团员</v>
      </c>
      <c r="C2536" s="1" t="str">
        <f t="shared" si="1257"/>
        <v>本科</v>
      </c>
      <c r="D2536" s="1" t="str">
        <f>"20260607"</f>
        <v>20260607</v>
      </c>
      <c r="E2536" s="1" t="str">
        <f>"江西农业大学南昌商学院"</f>
        <v>江西农业大学南昌商学院</v>
      </c>
      <c r="F2536" s="1" t="str">
        <f>"广播电视编导"</f>
        <v>广播电视编导</v>
      </c>
      <c r="G2536" s="1" t="str">
        <f>"河南省南阳市内乡县城关镇菊潭大街196号"</f>
        <v>河南省南阳市内乡县城关镇菊潭大街196号</v>
      </c>
      <c r="H2536" s="1" t="str">
        <f t="shared" si="1259"/>
        <v>无</v>
      </c>
      <c r="I2536" s="1" t="str">
        <f>"2021.9-2025.9 江西农业大学南昌商学院 广播电视编导专业就读，全日制学历
●主修课程：摄影、纪录片创作、剧本创作、电视栏目策划、新闻采访、微电影创
作、中外电影史、宣传片拍摄
●个人技能: 熟练掌握摄影、ps、pr、word办公软件，独立完成PPT制作
2022.06-2024.09 江西农业大学南昌商学院 学生助理 辅导员助理
●负责协助老师完成工作，传达信息
●协助辅导员老师做好学生管理工作
●负责学院活动的赞助拉取，制作活动的赞助方案，联系相关负责人拉取赞助"</f>
        <v>2021.9-2025.9 江西农业大学南昌商学院 广播电视编导专业就读，全日制学历
●主修课程：摄影、纪录片创作、剧本创作、电视栏目策划、新闻采访、微电影创
作、中外电影史、宣传片拍摄
●个人技能: 熟练掌握摄影、ps、pr、word办公软件，独立完成PPT制作
2022.06-2024.09 江西农业大学南昌商学院 学生助理 辅导员助理
●负责协助老师完成工作，传达信息
●协助辅导员老师做好学生管理工作
●负责学院活动的赞助拉取，制作活动的赞助方案，联系相关负责人拉取赞助</v>
      </c>
    </row>
    <row r="2537" spans="1:9">
      <c r="A2537" s="1" t="str">
        <f>"410823200110130043"</f>
        <v>410823200110130043</v>
      </c>
      <c r="B2537" s="1" t="str">
        <f t="shared" si="1256"/>
        <v>中共党员</v>
      </c>
      <c r="C2537" s="1" t="str">
        <f t="shared" si="1257"/>
        <v>本科</v>
      </c>
      <c r="D2537" s="1" t="str">
        <f>"20240701"</f>
        <v>20240701</v>
      </c>
      <c r="E2537" s="1" t="str">
        <f>"郑州经贸学院"</f>
        <v>郑州经贸学院</v>
      </c>
      <c r="F2537" s="1" t="str">
        <f>"市场营销专业"</f>
        <v>市场营销专业</v>
      </c>
      <c r="G2537" s="1" t="str">
        <f>"河南省焦作市武陟县"</f>
        <v>河南省焦作市武陟县</v>
      </c>
      <c r="H2537" s="1" t="str">
        <f t="shared" si="1259"/>
        <v>无</v>
      </c>
      <c r="I2537" s="1" t="str">
        <f>"201909-202206在新乡学院管理学院旅游管理专业就读是全日制学历
202209-202406在郑州经贸学院商学院市场营销专业就读是全日制学历
202309-202403在武陟县实验中学（实习）初一数学老师兼副班主任
202406-至今在开封职业学院任职思政老师"</f>
        <v>201909-202206在新乡学院管理学院旅游管理专业就读是全日制学历
202209-202406在郑州经贸学院商学院市场营销专业就读是全日制学历
202309-202403在武陟县实验中学（实习）初一数学老师兼副班主任
202406-至今在开封职业学院任职思政老师</v>
      </c>
    </row>
    <row r="2538" spans="1:9">
      <c r="A2538" s="1" t="str">
        <f>"411327200304180048"</f>
        <v>411327200304180048</v>
      </c>
      <c r="B2538" s="1" t="str">
        <f t="shared" si="1258"/>
        <v>群众</v>
      </c>
      <c r="C2538" s="1" t="str">
        <f t="shared" si="1257"/>
        <v>本科</v>
      </c>
      <c r="D2538" s="1" t="str">
        <f>"2025-07-01"</f>
        <v>2025-07-01</v>
      </c>
      <c r="E2538" s="1" t="str">
        <f>"河南农业大学"</f>
        <v>河南农业大学</v>
      </c>
      <c r="F2538" s="1" t="str">
        <f>"城乡规划（美丽乡村方向）"</f>
        <v>城乡规划（美丽乡村方向）</v>
      </c>
      <c r="G2538" s="1" t="str">
        <f>"河南省南阳市内乡县菊韵花苑"</f>
        <v>河南省南阳市内乡县菊韵花苑</v>
      </c>
      <c r="H2538" s="1" t="str">
        <f t="shared" si="1259"/>
        <v>无</v>
      </c>
      <c r="I2538" s="1" t="str">
        <f>"202109-202507河南农业大学学校就读；全日制学历"</f>
        <v>202109-202507河南农业大学学校就读；全日制学历</v>
      </c>
    </row>
    <row r="2539" spans="1:9">
      <c r="A2539" s="1" t="str">
        <f>"429004199208270935"</f>
        <v>429004199208270935</v>
      </c>
      <c r="B2539" s="1" t="str">
        <f t="shared" si="1258"/>
        <v>群众</v>
      </c>
      <c r="C2539" s="1" t="str">
        <f t="shared" si="1257"/>
        <v>本科</v>
      </c>
      <c r="D2539" s="1" t="str">
        <f>"20160601"</f>
        <v>20160601</v>
      </c>
      <c r="E2539" s="1" t="str">
        <f>"湖北科技学院"</f>
        <v>湖北科技学院</v>
      </c>
      <c r="F2539" s="1" t="str">
        <f>"经济学"</f>
        <v>经济学</v>
      </c>
      <c r="G2539" s="1" t="str">
        <f>"湖北省仙桃市金港瑞景"</f>
        <v>湖北省仙桃市金港瑞景</v>
      </c>
      <c r="H2539" s="1" t="str">
        <f t="shared" si="1259"/>
        <v>无</v>
      </c>
      <c r="I2539" s="1" t="str">
        <f>"201209-201606 湖北科技学院就读经管院经济学全日制学历
201606-201708北京链家地产综合经纪人
201708-201804东莞立德电子有限公司品管助理工程师
201804-202507群达纱窗业务员"</f>
        <v>201209-201606 湖北科技学院就读经管院经济学全日制学历
201606-201708北京链家地产综合经纪人
201708-201804东莞立德电子有限公司品管助理工程师
201804-202507群达纱窗业务员</v>
      </c>
    </row>
    <row r="2540" spans="1:9">
      <c r="A2540" s="1" t="str">
        <f>"410928199810185426"</f>
        <v>410928199810185426</v>
      </c>
      <c r="B2540" s="1" t="str">
        <f>"中共党员"</f>
        <v>中共党员</v>
      </c>
      <c r="C2540" s="1" t="str">
        <f t="shared" si="1257"/>
        <v>本科</v>
      </c>
      <c r="D2540" s="1" t="str">
        <f>"20220701"</f>
        <v>20220701</v>
      </c>
      <c r="E2540" s="1" t="str">
        <f>"河南牧业经济学院"</f>
        <v>河南牧业经济学院</v>
      </c>
      <c r="F2540" s="1" t="str">
        <f>"市场营销（市场数据分析营销方向）"</f>
        <v>市场营销（市场数据分析营销方向）</v>
      </c>
      <c r="G2540" s="1" t="str">
        <f>"河南省濮阳市濮阳县铁丘路盛世佳苑"</f>
        <v>河南省濮阳市濮阳县铁丘路盛世佳苑</v>
      </c>
      <c r="H2540" s="1" t="str">
        <f t="shared" si="1259"/>
        <v>无</v>
      </c>
      <c r="I2540" s="1" t="str">
        <f>"201809-202207 河南牧业经济学院 工商管理学院 市场营销学专业 就读
全日制学历
"</f>
        <v>201809-202207 河南牧业经济学院 工商管理学院 市场营销学专业 就读
全日制学历
</v>
      </c>
    </row>
    <row r="2541" spans="1:9">
      <c r="A2541" s="1" t="str">
        <f>"41282320020815482X"</f>
        <v>41282320020815482X</v>
      </c>
      <c r="B2541" s="1" t="str">
        <f t="shared" ref="B2541:B2543" si="1260">"群众"</f>
        <v>群众</v>
      </c>
      <c r="C2541" s="1" t="str">
        <f t="shared" si="1257"/>
        <v>本科</v>
      </c>
      <c r="D2541" s="1" t="str">
        <f>"20240630"</f>
        <v>20240630</v>
      </c>
      <c r="E2541" s="1" t="str">
        <f>"南京农业大学"</f>
        <v>南京农业大学</v>
      </c>
      <c r="F2541" s="1" t="str">
        <f>"草业科学"</f>
        <v>草业科学</v>
      </c>
      <c r="G2541" s="1" t="str">
        <f>"河南省驻马店市遂平县瑞富华庭小区"</f>
        <v>河南省驻马店市遂平县瑞富华庭小区</v>
      </c>
      <c r="H2541" s="1" t="str">
        <f t="shared" si="1259"/>
        <v>无</v>
      </c>
      <c r="I2541" s="1" t="str">
        <f>"202009-202406 南京农业大学草业学院草业科学专业就读，为全日制本科学历。
202407-202507 在河南省驻马店市遂平县待业。"</f>
        <v>202009-202406 南京农业大学草业学院草业科学专业就读，为全日制本科学历。
202407-202507 在河南省驻马店市遂平县待业。</v>
      </c>
    </row>
    <row r="2542" spans="1:9">
      <c r="A2542" s="1" t="str">
        <f>"411327199609270022"</f>
        <v>411327199609270022</v>
      </c>
      <c r="B2542" s="1" t="str">
        <f t="shared" si="1260"/>
        <v>群众</v>
      </c>
      <c r="C2542" s="1" t="str">
        <f t="shared" si="1257"/>
        <v>本科</v>
      </c>
      <c r="D2542" s="1" t="str">
        <f>"20210701"</f>
        <v>20210701</v>
      </c>
      <c r="E2542" s="1" t="str">
        <f>"新乡学院"</f>
        <v>新乡学院</v>
      </c>
      <c r="F2542" s="1" t="str">
        <f>"学前教育"</f>
        <v>学前教育</v>
      </c>
      <c r="G2542" s="1" t="str">
        <f>"内乡县实验幼儿园"</f>
        <v>内乡县实验幼儿园</v>
      </c>
      <c r="H2542" s="1" t="str">
        <f t="shared" si="1259"/>
        <v>无</v>
      </c>
      <c r="I2542" s="1" t="str">
        <f>"201409-201707河南农业大学就读人力资源管理专业
201707-201902在家待业
201903-202107新乡学院函数学习学前教育专业
202108至今家中待业"</f>
        <v>201409-201707河南农业大学就读人力资源管理专业
201707-201902在家待业
201903-202107新乡学院函数学习学前教育专业
202108至今家中待业</v>
      </c>
    </row>
    <row r="2543" spans="1:9">
      <c r="A2543" s="1" t="str">
        <f>"411081200307211606"</f>
        <v>411081200307211606</v>
      </c>
      <c r="B2543" s="1" t="str">
        <f t="shared" si="1260"/>
        <v>群众</v>
      </c>
      <c r="C2543" s="1" t="str">
        <f t="shared" si="1257"/>
        <v>本科</v>
      </c>
      <c r="D2543" s="1" t="str">
        <f>"20250607"</f>
        <v>20250607</v>
      </c>
      <c r="E2543" s="1" t="str">
        <f>"黄淮学院"</f>
        <v>黄淮学院</v>
      </c>
      <c r="F2543" s="1" t="str">
        <f>"数学与应用数学"</f>
        <v>数学与应用数学</v>
      </c>
      <c r="G2543" s="1" t="str">
        <f>"河南省许昌市禹州市"</f>
        <v>河南省许昌市禹州市</v>
      </c>
      <c r="H2543" s="1" t="str">
        <f t="shared" si="1259"/>
        <v>无</v>
      </c>
      <c r="I2543" s="1" t="str">
        <f>"202109-202506 黄淮学院 数学与统计学院 数学与应用数学 全日制
202506至今河南省许昌市待业"</f>
        <v>202109-202506 黄淮学院 数学与统计学院 数学与应用数学 全日制
202506至今河南省许昌市待业</v>
      </c>
    </row>
    <row r="2544" spans="1:9">
      <c r="A2544" s="1" t="str">
        <f>"411323200208266380"</f>
        <v>411323200208266380</v>
      </c>
      <c r="B2544" s="1" t="str">
        <f t="shared" ref="B2544:B2547" si="1261">"共青团员"</f>
        <v>共青团员</v>
      </c>
      <c r="C2544" s="1" t="str">
        <f t="shared" si="1257"/>
        <v>本科</v>
      </c>
      <c r="D2544" s="1" t="str">
        <f>"2024.06"</f>
        <v>2024.06</v>
      </c>
      <c r="E2544" s="1" t="str">
        <f>"昌吉学院"</f>
        <v>昌吉学院</v>
      </c>
      <c r="F2544" s="1" t="str">
        <f>"英语"</f>
        <v>英语</v>
      </c>
      <c r="G2544" s="1" t="str">
        <f>"河南省南阳市内乡县瓦亭镇杨沟村庞北4号"</f>
        <v>河南省南阳市内乡县瓦亭镇杨沟村庞北4号</v>
      </c>
      <c r="H2544" s="1" t="str">
        <f t="shared" si="1259"/>
        <v>无</v>
      </c>
      <c r="I2544" s="1" t="str">
        <f>"202010-202406 昌吉学院 外国语学院 英语专业就读 全日制本科
2024.06-至今 待业"</f>
        <v>202010-202406 昌吉学院 外国语学院 英语专业就读 全日制本科
2024.06-至今 待业</v>
      </c>
    </row>
    <row r="2545" spans="1:9">
      <c r="A2545" s="1" t="str">
        <f>"411327200310162014"</f>
        <v>411327200310162014</v>
      </c>
      <c r="B2545" s="1" t="str">
        <f t="shared" ref="B2545:B2549" si="1262">"群众"</f>
        <v>群众</v>
      </c>
      <c r="C2545" s="1" t="str">
        <f t="shared" si="1257"/>
        <v>本科</v>
      </c>
      <c r="D2545" s="1" t="str">
        <f>"20250620"</f>
        <v>20250620</v>
      </c>
      <c r="E2545" s="1" t="str">
        <f>"河南财政金融学院"</f>
        <v>河南财政金融学院</v>
      </c>
      <c r="F2545" s="1" t="str">
        <f>"审计学"</f>
        <v>审计学</v>
      </c>
      <c r="G2545" s="1" t="str">
        <f>"河南省南阳市内乡县"</f>
        <v>河南省南阳市内乡县</v>
      </c>
      <c r="H2545" s="1" t="str">
        <f t="shared" si="1259"/>
        <v>无</v>
      </c>
      <c r="I2545" s="1" t="str">
        <f>"202109-202506在河南财政金融学院会计学院审计学就读，全日制学历。"</f>
        <v>202109-202506在河南财政金融学院会计学院审计学就读，全日制学历。</v>
      </c>
    </row>
    <row r="2546" spans="1:9">
      <c r="A2546" s="1" t="str">
        <f>"411327200011124229"</f>
        <v>411327200011124229</v>
      </c>
      <c r="B2546" s="1" t="str">
        <f t="shared" si="1261"/>
        <v>共青团员</v>
      </c>
      <c r="C2546" s="1" t="str">
        <f t="shared" si="1257"/>
        <v>本科</v>
      </c>
      <c r="D2546" s="1" t="str">
        <f>"2023年6月12日"</f>
        <v>2023年6月12日</v>
      </c>
      <c r="E2546" s="1" t="str">
        <f>"周口师范学院"</f>
        <v>周口师范学院</v>
      </c>
      <c r="F2546" s="1" t="str">
        <f>"学前教育"</f>
        <v>学前教育</v>
      </c>
      <c r="G2546" s="1" t="str">
        <f>"河南省南阳市内乡县余关镇"</f>
        <v>河南省南阳市内乡县余关镇</v>
      </c>
      <c r="H2546" s="1" t="str">
        <f t="shared" si="1259"/>
        <v>无</v>
      </c>
      <c r="I2546" s="1" t="str">
        <f>"201809-202106 安阳幼儿师范高等专科学校 就读
202109-202306 周口师范学院 就读
"</f>
        <v>201809-202106 安阳幼儿师范高等专科学校 就读
202109-202306 周口师范学院 就读
</v>
      </c>
    </row>
    <row r="2547" spans="1:9">
      <c r="A2547" s="1" t="str">
        <f>"411327200007160016"</f>
        <v>411327200007160016</v>
      </c>
      <c r="B2547" s="1" t="str">
        <f t="shared" si="1261"/>
        <v>共青团员</v>
      </c>
      <c r="C2547" s="1" t="str">
        <f t="shared" ref="C2547:C2551" si="1263">"专科"</f>
        <v>专科</v>
      </c>
      <c r="D2547" s="1" t="str">
        <f>"20210701"</f>
        <v>20210701</v>
      </c>
      <c r="E2547" s="1" t="str">
        <f>"濮阳职业技术学院"</f>
        <v>濮阳职业技术学院</v>
      </c>
      <c r="F2547" s="1" t="str">
        <f>"语文教育"</f>
        <v>语文教育</v>
      </c>
      <c r="G2547" s="1" t="str">
        <f>"河南省南阳市内乡县金城花园"</f>
        <v>河南省南阳市内乡县金城花园</v>
      </c>
      <c r="H2547" s="1" t="str">
        <f t="shared" si="1259"/>
        <v>无</v>
      </c>
      <c r="I2547" s="1" t="str">
        <f>"2018.09.01—2021.07濮阳职业技术学院人文学院语文教育专业就读
2021.08—2025.07至今未就业"</f>
        <v>2018.09.01—2021.07濮阳职业技术学院人文学院语文教育专业就读
2021.08—2025.07至今未就业</v>
      </c>
    </row>
    <row r="2548" spans="1:9">
      <c r="A2548" s="1" t="str">
        <f>"411326200309192818"</f>
        <v>411326200309192818</v>
      </c>
      <c r="B2548" s="1" t="str">
        <f t="shared" si="1262"/>
        <v>群众</v>
      </c>
      <c r="C2548" s="1" t="str">
        <f t="shared" ref="C2548:C2565" si="1264">"本科"</f>
        <v>本科</v>
      </c>
      <c r="D2548" s="1" t="str">
        <f>"2025-07-01"</f>
        <v>2025-07-01</v>
      </c>
      <c r="E2548" s="1" t="str">
        <f>"河南工程学院"</f>
        <v>河南工程学院</v>
      </c>
      <c r="F2548" s="1" t="str">
        <f>"会计学（注册会计师方向）"</f>
        <v>会计学（注册会计师方向）</v>
      </c>
      <c r="G2548" s="1" t="str">
        <f>"河南省南阳市南召县皇路店镇"</f>
        <v>河南省南阳市南召县皇路店镇</v>
      </c>
      <c r="H2548" s="1" t="str">
        <f>"初级会计职业资格证书"</f>
        <v>初级会计职业资格证书</v>
      </c>
      <c r="I2548" s="1" t="str">
        <f>"202109-202506 河南工程学院 就读 全日制学历"</f>
        <v>202109-202506 河南工程学院 就读 全日制学历</v>
      </c>
    </row>
    <row r="2549" spans="1:9">
      <c r="A2549" s="1" t="str">
        <f>"411327199811180012"</f>
        <v>411327199811180012</v>
      </c>
      <c r="B2549" s="1" t="str">
        <f t="shared" si="1262"/>
        <v>群众</v>
      </c>
      <c r="C2549" s="1" t="str">
        <f t="shared" si="1264"/>
        <v>本科</v>
      </c>
      <c r="D2549" s="1" t="str">
        <f>"20200701"</f>
        <v>20200701</v>
      </c>
      <c r="E2549" s="1" t="str">
        <f>"洛阳师范学院"</f>
        <v>洛阳师范学院</v>
      </c>
      <c r="F2549" s="1" t="str">
        <f>"环境设计"</f>
        <v>环境设计</v>
      </c>
      <c r="G2549" s="1" t="str">
        <f>"河南省内乡县大成路白云小区"</f>
        <v>河南省内乡县大成路白云小区</v>
      </c>
      <c r="H2549" s="1" t="str">
        <f t="shared" ref="H2549:H2551" si="1265">"无"</f>
        <v>无</v>
      </c>
      <c r="I2549" s="1" t="str">
        <f>"2016.09--2020.07   洛阳师范学院学校就读
2020.09—2021.09   河南牧原农牧设备有限公司职工
2022.05--2023.07   陕西尚华工程造价咨询有限公司职员
2023.08--今        内乡县人力资源和社会保障局劳动仲裁股公益岗"</f>
        <v>2016.09--2020.07   洛阳师范学院学校就读
2020.09—2021.09   河南牧原农牧设备有限公司职工
2022.05--2023.07   陕西尚华工程造价咨询有限公司职员
2023.08--今        内乡县人力资源和社会保障局劳动仲裁股公益岗</v>
      </c>
    </row>
    <row r="2550" spans="1:9">
      <c r="A2550" s="1" t="str">
        <f>"411323200110171412"</f>
        <v>411323200110171412</v>
      </c>
      <c r="B2550" s="1" t="str">
        <f>"中共党员"</f>
        <v>中共党员</v>
      </c>
      <c r="C2550" s="1" t="str">
        <f t="shared" si="1263"/>
        <v>专科</v>
      </c>
      <c r="D2550" s="1" t="str">
        <f>"20240621"</f>
        <v>20240621</v>
      </c>
      <c r="E2550" s="1" t="str">
        <f>"吉林司法警官职业学院"</f>
        <v>吉林司法警官职业学院</v>
      </c>
      <c r="F2550" s="1" t="str">
        <f>"安全防范技术"</f>
        <v>安全防范技术</v>
      </c>
      <c r="G2550" s="1" t="str">
        <f>"河南省淅川县西簧乡穆家沟村穆家沟组85号"</f>
        <v>河南省淅川县西簧乡穆家沟村穆家沟组85号</v>
      </c>
      <c r="H2550" s="1" t="str">
        <f t="shared" si="1265"/>
        <v>无</v>
      </c>
      <c r="I2550" s="1" t="str">
        <f>"20210901-20240621 吉林司法警官职业学院 安全防范技术 就读 全日制学历，20240621-至今  在淅川县待业"</f>
        <v>20210901-20240621 吉林司法警官职业学院 安全防范技术 就读 全日制学历，20240621-至今  在淅川县待业</v>
      </c>
    </row>
    <row r="2551" spans="1:9">
      <c r="A2551" s="1" t="str">
        <f>"412821199605270228"</f>
        <v>412821199605270228</v>
      </c>
      <c r="B2551" s="1" t="str">
        <f>"中共党员"</f>
        <v>中共党员</v>
      </c>
      <c r="C2551" s="1" t="str">
        <f t="shared" si="1263"/>
        <v>专科</v>
      </c>
      <c r="D2551" s="1" t="str">
        <f>"20170701"</f>
        <v>20170701</v>
      </c>
      <c r="E2551" s="1" t="str">
        <f>"河南司法警官职业学院"</f>
        <v>河南司法警官职业学院</v>
      </c>
      <c r="F2551" s="1" t="str">
        <f>"警察管理"</f>
        <v>警察管理</v>
      </c>
      <c r="G2551" s="1" t="str">
        <f>"河南省驻马店市确山县盘龙镇街道郑武路北段17号"</f>
        <v>河南省驻马店市确山县盘龙镇街道郑武路北段17号</v>
      </c>
      <c r="H2551" s="1" t="str">
        <f t="shared" si="1265"/>
        <v>无</v>
      </c>
      <c r="I2551" s="1" t="str">
        <f>"2014年9月至2017年7月河南司法警官职业学院
2017年9月至2024年4月确山县公安局铁东派出所辅警
2024年4月至至今确山县公安局朗陵派出所辅警"</f>
        <v>2014年9月至2017年7月河南司法警官职业学院
2017年9月至2024年4月确山县公安局铁东派出所辅警
2024年4月至至今确山县公安局朗陵派出所辅警</v>
      </c>
    </row>
    <row r="2552" spans="1:9">
      <c r="A2552" s="1" t="str">
        <f>"41062119950719357X"</f>
        <v>41062119950719357X</v>
      </c>
      <c r="B2552" s="1" t="str">
        <f t="shared" ref="B2552:B2557" si="1266">"群众"</f>
        <v>群众</v>
      </c>
      <c r="C2552" s="1" t="str">
        <f t="shared" si="1264"/>
        <v>本科</v>
      </c>
      <c r="D2552" s="1" t="str">
        <f>"20180701"</f>
        <v>20180701</v>
      </c>
      <c r="E2552" s="1" t="str">
        <f>"河南大学民生学院"</f>
        <v>河南大学民生学院</v>
      </c>
      <c r="F2552" s="1" t="str">
        <f>"土木工程"</f>
        <v>土木工程</v>
      </c>
      <c r="G2552" s="1" t="str">
        <f>"河南省鹤壁市淇滨区"</f>
        <v>河南省鹤壁市淇滨区</v>
      </c>
      <c r="H2552" s="1" t="str">
        <f>"二级建造师（建筑）"</f>
        <v>二级建造师（建筑）</v>
      </c>
      <c r="I2552" s="1" t="str">
        <f>"2023年8月~2024年7月 工作于河南垂天科技有限公司       
2020年5月~2023年6月工作于中建一局集团安装工程有限公司   
2018年7月~2020年5月工作于郑州一建集团    
2014年9月~2018年7月学习于河南大学民生学院
2011年9月~2014年6月学习于鹤壁高中老校区"</f>
        <v>2023年8月~2024年7月 工作于河南垂天科技有限公司       
2020年5月~2023年6月工作于中建一局集团安装工程有限公司   
2018年7月~2020年5月工作于郑州一建集团    
2014年9月~2018年7月学习于河南大学民生学院
2011年9月~2014年6月学习于鹤壁高中老校区</v>
      </c>
    </row>
    <row r="2553" ht="121.5" spans="1:9">
      <c r="A2553" s="1" t="str">
        <f>"622627199503163014"</f>
        <v>622627199503163014</v>
      </c>
      <c r="B2553" s="1" t="str">
        <f t="shared" si="1266"/>
        <v>群众</v>
      </c>
      <c r="C2553" s="1" t="str">
        <f t="shared" si="1264"/>
        <v>本科</v>
      </c>
      <c r="D2553" s="1" t="str">
        <f>"20190610"</f>
        <v>20190610</v>
      </c>
      <c r="E2553" s="1" t="str">
        <f>"兰州财经大学长青学院"</f>
        <v>兰州财经大学长青学院</v>
      </c>
      <c r="F2553" s="1" t="str">
        <f>"工商管理"</f>
        <v>工商管理</v>
      </c>
      <c r="G2553" s="1" t="str">
        <f>"陕西省西安市雁塔区科技路徐家庄村"</f>
        <v>陕西省西安市雁塔区科技路徐家庄村</v>
      </c>
      <c r="H2553" s="1" t="str">
        <f t="shared" ref="H2553:H2566" si="1267">"无"</f>
        <v>无</v>
      </c>
      <c r="I2553" s="3" t="s">
        <v>251</v>
      </c>
    </row>
    <row r="2554" spans="1:9">
      <c r="A2554" s="1" t="str">
        <f>"140481199808094428"</f>
        <v>140481199808094428</v>
      </c>
      <c r="B2554" s="1" t="str">
        <f>"中共预备党员"</f>
        <v>中共预备党员</v>
      </c>
      <c r="C2554" s="1" t="str">
        <f t="shared" si="1264"/>
        <v>本科</v>
      </c>
      <c r="D2554" s="1" t="str">
        <f>"20170618"</f>
        <v>20170618</v>
      </c>
      <c r="E2554" s="1" t="str">
        <f>"济宁学院"</f>
        <v>济宁学院</v>
      </c>
      <c r="F2554" s="1" t="str">
        <f>"行政管理"</f>
        <v>行政管理</v>
      </c>
      <c r="G2554" s="1" t="str">
        <f>"山西省长治市潞城区惠民苑"</f>
        <v>山西省长治市潞城区惠民苑</v>
      </c>
      <c r="H2554" s="1" t="str">
        <f t="shared" si="1267"/>
        <v>无</v>
      </c>
      <c r="I2554" s="1" t="str">
        <f>"201709-202106 济宁学院经济与管理系行政管理专业就读  全日制学历
202106至今  在山西省长治市待业"</f>
        <v>201709-202106 济宁学院经济与管理系行政管理专业就读  全日制学历
202106至今  在山西省长治市待业</v>
      </c>
    </row>
    <row r="2555" spans="1:9">
      <c r="A2555" s="1" t="str">
        <f>"411302200004090027"</f>
        <v>411302200004090027</v>
      </c>
      <c r="B2555" s="1" t="str">
        <f t="shared" si="1266"/>
        <v>群众</v>
      </c>
      <c r="C2555" s="1" t="str">
        <f t="shared" si="1264"/>
        <v>本科</v>
      </c>
      <c r="D2555" s="1" t="str">
        <f>"20220630"</f>
        <v>20220630</v>
      </c>
      <c r="E2555" s="1" t="str">
        <f>"河南财经政法大学"</f>
        <v>河南财经政法大学</v>
      </c>
      <c r="F2555" s="1" t="str">
        <f>"物业管理"</f>
        <v>物业管理</v>
      </c>
      <c r="G2555" s="1" t="str">
        <f>"河南省南阳市宛城区五里堡街道滨河园丁苑"</f>
        <v>河南省南阳市宛城区五里堡街道滨河园丁苑</v>
      </c>
      <c r="H2555" s="1" t="str">
        <f t="shared" si="1267"/>
        <v>无</v>
      </c>
      <c r="I2555" s="1" t="str">
        <f>"本人于20180-202206在河南财经政法大学就读，在校期间主修物业管理专业，辅修英语专业，均取得相应的学位证书，为全日制学历。"</f>
        <v>本人于20180-202206在河南财经政法大学就读，在校期间主修物业管理专业，辅修英语专业，均取得相应的学位证书，为全日制学历。</v>
      </c>
    </row>
    <row r="2556" spans="1:9">
      <c r="A2556" s="1" t="str">
        <f>"411327200206070013"</f>
        <v>411327200206070013</v>
      </c>
      <c r="B2556" s="1" t="str">
        <f t="shared" si="1266"/>
        <v>群众</v>
      </c>
      <c r="C2556" s="1" t="str">
        <f t="shared" si="1264"/>
        <v>本科</v>
      </c>
      <c r="D2556" s="1" t="str">
        <f t="shared" ref="D2556:D2561" si="1268">"20250701"</f>
        <v>20250701</v>
      </c>
      <c r="E2556" s="1" t="str">
        <f>"黄淮学院"</f>
        <v>黄淮学院</v>
      </c>
      <c r="F2556" s="1" t="str">
        <f>"市场营销"</f>
        <v>市场营销</v>
      </c>
      <c r="G2556" s="1" t="str">
        <f>"河南省南阳市内乡县城关镇郦都大道52号"</f>
        <v>河南省南阳市内乡县城关镇郦都大道52号</v>
      </c>
      <c r="H2556" s="1" t="str">
        <f t="shared" si="1267"/>
        <v>无</v>
      </c>
      <c r="I2556" s="1" t="str">
        <f>"202009-202306在河南财政金融学院国际教育学院金融管理专业就读，全日制专科
202309-202506在黄淮学院经济与管理学院市场营销专业就读，全日制本科"</f>
        <v>202009-202306在河南财政金融学院国际教育学院金融管理专业就读，全日制专科
202309-202506在黄淮学院经济与管理学院市场营销专业就读，全日制本科</v>
      </c>
    </row>
    <row r="2557" spans="1:9">
      <c r="A2557" s="1" t="str">
        <f>"411102200302220028"</f>
        <v>411102200302220028</v>
      </c>
      <c r="B2557" s="1" t="str">
        <f t="shared" si="1266"/>
        <v>群众</v>
      </c>
      <c r="C2557" s="1" t="str">
        <f t="shared" si="1264"/>
        <v>本科</v>
      </c>
      <c r="D2557" s="1" t="str">
        <f>"20250606"</f>
        <v>20250606</v>
      </c>
      <c r="E2557" s="1" t="str">
        <f>"河南开封科技传媒学院"</f>
        <v>河南开封科技传媒学院</v>
      </c>
      <c r="F2557" s="1" t="str">
        <f>"广播电视编导"</f>
        <v>广播电视编导</v>
      </c>
      <c r="G2557" s="1" t="str">
        <f>"河南省漯河市召陵区万祥街39号"</f>
        <v>河南省漯河市召陵区万祥街39号</v>
      </c>
      <c r="H2557" s="1" t="str">
        <f t="shared" si="1267"/>
        <v>无</v>
      </c>
      <c r="I2557" s="1" t="str">
        <f>"202109-202506河南开封科技传媒学院广播电视编导专业就读，全日制"</f>
        <v>202109-202506河南开封科技传媒学院广播电视编导专业就读，全日制</v>
      </c>
    </row>
    <row r="2558" spans="1:9">
      <c r="A2558" s="1" t="str">
        <f>"412822200112300021"</f>
        <v>412822200112300021</v>
      </c>
      <c r="B2558" s="1" t="str">
        <f t="shared" ref="B2558:B2562" si="1269">"共青团员"</f>
        <v>共青团员</v>
      </c>
      <c r="C2558" s="1" t="str">
        <f t="shared" si="1264"/>
        <v>本科</v>
      </c>
      <c r="D2558" s="1" t="str">
        <f>"20230701"</f>
        <v>20230701</v>
      </c>
      <c r="E2558" s="1" t="str">
        <f>"南昌工程学院"</f>
        <v>南昌工程学院</v>
      </c>
      <c r="F2558" s="1" t="str">
        <f>"视觉传达设计"</f>
        <v>视觉传达设计</v>
      </c>
      <c r="G2558" s="1" t="str">
        <f>"河南省驻马店市泌阳县中泓小区"</f>
        <v>河南省驻马店市泌阳县中泓小区</v>
      </c>
      <c r="H2558" s="1" t="str">
        <f t="shared" si="1267"/>
        <v>无</v>
      </c>
      <c r="I2558" s="1" t="str">
        <f>"201909-202307在南昌工程学院人文与艺术学院视觉传达设计专业就读，是全日制学历
202307-至今在家待业"</f>
        <v>201909-202307在南昌工程学院人文与艺术学院视觉传达设计专业就读，是全日制学历
202307-至今在家待业</v>
      </c>
    </row>
    <row r="2559" spans="1:9">
      <c r="A2559" s="1" t="str">
        <f>"411002199712244013"</f>
        <v>411002199712244013</v>
      </c>
      <c r="B2559" s="1" t="str">
        <f>"群众"</f>
        <v>群众</v>
      </c>
      <c r="C2559" s="1" t="str">
        <f t="shared" si="1264"/>
        <v>本科</v>
      </c>
      <c r="D2559" s="1" t="str">
        <f>"20200701"</f>
        <v>20200701</v>
      </c>
      <c r="E2559" s="1" t="str">
        <f>"郑州科技学院"</f>
        <v>郑州科技学院</v>
      </c>
      <c r="F2559" s="1" t="str">
        <f>"土木工程"</f>
        <v>土木工程</v>
      </c>
      <c r="G2559" s="1" t="str">
        <f>"河南省许昌市东城区学府街"</f>
        <v>河南省许昌市东城区学府街</v>
      </c>
      <c r="H2559" s="1" t="str">
        <f t="shared" si="1267"/>
        <v>无</v>
      </c>
      <c r="I2559" s="1" t="str">
        <f>"201509-201807 河南交通职业技术学院 道路与桥梁工程技术
201809-202007 郑州科技学院 土木工程
2020-07-至今 待业 许昌"</f>
        <v>201509-201807 河南交通职业技术学院 道路与桥梁工程技术
201809-202007 郑州科技学院 土木工程
2020-07-至今 待业 许昌</v>
      </c>
    </row>
    <row r="2560" spans="1:9">
      <c r="A2560" s="1" t="str">
        <f>"411326200106080023"</f>
        <v>411326200106080023</v>
      </c>
      <c r="B2560" s="1" t="str">
        <f t="shared" si="1269"/>
        <v>共青团员</v>
      </c>
      <c r="C2560" s="1" t="str">
        <f t="shared" si="1264"/>
        <v>本科</v>
      </c>
      <c r="D2560" s="1" t="str">
        <f t="shared" si="1268"/>
        <v>20250701</v>
      </c>
      <c r="E2560" s="1" t="str">
        <f>"安阳学院"</f>
        <v>安阳学院</v>
      </c>
      <c r="F2560" s="1" t="str">
        <f>"汉语言文学"</f>
        <v>汉语言文学</v>
      </c>
      <c r="G2560" s="1" t="str">
        <f>"河南省南阳市南召县黄洋路北住建局家属院"</f>
        <v>河南省南阳市南召县黄洋路北住建局家属院</v>
      </c>
      <c r="H2560" s="1" t="str">
        <f t="shared" si="1267"/>
        <v>无</v>
      </c>
      <c r="I2560" s="1" t="str">
        <f>"202109-202507在安阳学院文法学院汉语言文学专业就读，是全日制学历。"</f>
        <v>202109-202507在安阳学院文法学院汉语言文学专业就读，是全日制学历。</v>
      </c>
    </row>
    <row r="2561" spans="1:9">
      <c r="A2561" s="1" t="str">
        <f>"411221200310236526"</f>
        <v>411221200310236526</v>
      </c>
      <c r="B2561" s="1" t="str">
        <f>"中共党员"</f>
        <v>中共党员</v>
      </c>
      <c r="C2561" s="1" t="str">
        <f t="shared" si="1264"/>
        <v>本科</v>
      </c>
      <c r="D2561" s="1" t="str">
        <f t="shared" si="1268"/>
        <v>20250701</v>
      </c>
      <c r="E2561" s="1" t="str">
        <f>"平顶山学院"</f>
        <v>平顶山学院</v>
      </c>
      <c r="F2561" s="1" t="str">
        <f>"汉语言文学"</f>
        <v>汉语言文学</v>
      </c>
      <c r="G2561" s="1" t="str">
        <f>"河南省三门峡市渑池县黄花康乐园二期"</f>
        <v>河南省三门峡市渑池县黄花康乐园二期</v>
      </c>
      <c r="H2561" s="1" t="str">
        <f t="shared" si="1267"/>
        <v>无</v>
      </c>
      <c r="I2561" s="1" t="str">
        <f>"202109-202507 平顶山学院文学院汉语言文学专业就读 全日制"</f>
        <v>202109-202507 平顶山学院文学院汉语言文学专业就读 全日制</v>
      </c>
    </row>
    <row r="2562" spans="1:9">
      <c r="A2562" s="1" t="str">
        <f>"411327200007260025"</f>
        <v>411327200007260025</v>
      </c>
      <c r="B2562" s="1" t="str">
        <f t="shared" si="1269"/>
        <v>共青团员</v>
      </c>
      <c r="C2562" s="1" t="str">
        <f t="shared" si="1264"/>
        <v>本科</v>
      </c>
      <c r="D2562" s="1" t="str">
        <f>"20220701"</f>
        <v>20220701</v>
      </c>
      <c r="E2562" s="1" t="str">
        <f>"太原师范学院"</f>
        <v>太原师范学院</v>
      </c>
      <c r="F2562" s="1" t="str">
        <f>"音乐学"</f>
        <v>音乐学</v>
      </c>
      <c r="G2562" s="1" t="str">
        <f>"河南省南阳市内乡县赤眉镇赤眉村"</f>
        <v>河南省南阳市内乡县赤眉镇赤眉村</v>
      </c>
      <c r="H2562" s="1" t="str">
        <f t="shared" si="1267"/>
        <v>无</v>
      </c>
      <c r="I2562" s="1" t="str">
        <f>"201909-202207 太原师范学院音乐系音乐学专业就读
202207-202307 赤眉镇待业
202308-202310 郑州猿辅导公司任职
202311-202403 郑州市待业
202404-至今 郑州市管城回族区紫东路小学任代课教师一职"</f>
        <v>201909-202207 太原师范学院音乐系音乐学专业就读
202207-202307 赤眉镇待业
202308-202310 郑州猿辅导公司任职
202311-202403 郑州市待业
202404-至今 郑州市管城回族区紫东路小学任代课教师一职</v>
      </c>
    </row>
    <row r="2563" spans="1:9">
      <c r="A2563" s="1" t="str">
        <f>"41282519970814027X"</f>
        <v>41282519970814027X</v>
      </c>
      <c r="B2563" s="1" t="str">
        <f t="shared" ref="B2563:B2567" si="1270">"群众"</f>
        <v>群众</v>
      </c>
      <c r="C2563" s="1" t="str">
        <f t="shared" si="1264"/>
        <v>本科</v>
      </c>
      <c r="D2563" s="1" t="str">
        <f>"20220607"</f>
        <v>20220607</v>
      </c>
      <c r="E2563" s="1" t="str">
        <f>"黄河科技学院"</f>
        <v>黄河科技学院</v>
      </c>
      <c r="F2563" s="1" t="str">
        <f>"市场营销"</f>
        <v>市场营销</v>
      </c>
      <c r="G2563" s="1" t="str">
        <f>"河南省驻马店市上蔡县金叶花园"</f>
        <v>河南省驻马店市上蔡县金叶花园</v>
      </c>
      <c r="H2563" s="1" t="str">
        <f t="shared" si="1267"/>
        <v>无</v>
      </c>
      <c r="I2563" s="1" t="str">
        <f>"201709-202006河南财经政法大学国际教育学院会计学专业就读 全日制（专科）
202009-202206黄河科技学院商学院市场营销专业就读 全日制（本科）
202206至今待业"</f>
        <v>201709-202006河南财经政法大学国际教育学院会计学专业就读 全日制（专科）
202009-202206黄河科技学院商学院市场营销专业就读 全日制（本科）
202206至今待业</v>
      </c>
    </row>
    <row r="2564" spans="1:9">
      <c r="A2564" s="1" t="str">
        <f>"372923200010292330"</f>
        <v>372923200010292330</v>
      </c>
      <c r="B2564" s="1" t="str">
        <f>"共青团员"</f>
        <v>共青团员</v>
      </c>
      <c r="C2564" s="1" t="str">
        <f t="shared" si="1264"/>
        <v>本科</v>
      </c>
      <c r="D2564" s="1" t="str">
        <f>"20240614"</f>
        <v>20240614</v>
      </c>
      <c r="E2564" s="1" t="str">
        <f>"哈尔滨学院"</f>
        <v>哈尔滨学院</v>
      </c>
      <c r="F2564" s="1" t="str">
        <f>"环境设计"</f>
        <v>环境设计</v>
      </c>
      <c r="G2564" s="1" t="str">
        <f>"河南省驻马店市平舆县清河大道2号"</f>
        <v>河南省驻马店市平舆县清河大道2号</v>
      </c>
      <c r="H2564" s="1" t="str">
        <f t="shared" si="1267"/>
        <v>无</v>
      </c>
      <c r="I2564" s="1" t="str">
        <f>"2016年9月至2020年6月在定陶区第二中学学习
2020年9月至2024年6月在哈尔滨学院学习环境设计
2024年8月至今在平舆县人民政府办公室工作西部计划志愿者"</f>
        <v>2016年9月至2020年6月在定陶区第二中学学习
2020年9月至2024年6月在哈尔滨学院学习环境设计
2024年8月至今在平舆县人民政府办公室工作西部计划志愿者</v>
      </c>
    </row>
    <row r="2565" ht="94.5" spans="1:9">
      <c r="A2565" s="1" t="str">
        <f>"410105199003210033"</f>
        <v>410105199003210033</v>
      </c>
      <c r="B2565" s="1" t="str">
        <f>"中共党员"</f>
        <v>中共党员</v>
      </c>
      <c r="C2565" s="1" t="str">
        <f t="shared" si="1264"/>
        <v>本科</v>
      </c>
      <c r="D2565" s="1" t="str">
        <f>"20130701"</f>
        <v>20130701</v>
      </c>
      <c r="E2565" s="1" t="str">
        <f>"中原工学院信息商务学院"</f>
        <v>中原工学院信息商务学院</v>
      </c>
      <c r="F2565" s="1" t="str">
        <f>"工商管理"</f>
        <v>工商管理</v>
      </c>
      <c r="G2565" s="1" t="str">
        <f>"河南省郑州市管城回族区商城东路34号院6号楼2单元15号"</f>
        <v>河南省郑州市管城回族区商城东路34号院6号楼2单元15号</v>
      </c>
      <c r="H2565" s="1" t="str">
        <f t="shared" si="1267"/>
        <v>无</v>
      </c>
      <c r="I2565" s="3" t="s">
        <v>252</v>
      </c>
    </row>
    <row r="2566" spans="1:9">
      <c r="A2566" s="1" t="str">
        <f>"411381200202033918"</f>
        <v>411381200202033918</v>
      </c>
      <c r="B2566" s="1" t="str">
        <f t="shared" si="1270"/>
        <v>群众</v>
      </c>
      <c r="C2566" s="1" t="str">
        <f>"专科"</f>
        <v>专科</v>
      </c>
      <c r="D2566" s="1" t="str">
        <f>"20240701"</f>
        <v>20240701</v>
      </c>
      <c r="E2566" s="1" t="str">
        <f>"兰州外语职业学院"</f>
        <v>兰州外语职业学院</v>
      </c>
      <c r="F2566" s="1" t="str">
        <f>"计算机应用技术"</f>
        <v>计算机应用技术</v>
      </c>
      <c r="G2566" s="1" t="str">
        <f>"邓州市罗庄镇青冢村"</f>
        <v>邓州市罗庄镇青冢村</v>
      </c>
      <c r="H2566" s="1" t="str">
        <f t="shared" si="1267"/>
        <v>无</v>
      </c>
      <c r="I2566" s="1" t="str">
        <f>"202111—202407在兰州外语职业学院就读"</f>
        <v>202111—202407在兰州外语职业学院就读</v>
      </c>
    </row>
    <row r="2567" spans="1:9">
      <c r="A2567" s="1" t="str">
        <f>"411321200311195143"</f>
        <v>411321200311195143</v>
      </c>
      <c r="B2567" s="1" t="str">
        <f t="shared" si="1270"/>
        <v>群众</v>
      </c>
      <c r="C2567" s="1" t="str">
        <f t="shared" ref="C2567:C2574" si="1271">"本科"</f>
        <v>本科</v>
      </c>
      <c r="D2567" s="1" t="str">
        <f>"20250606"</f>
        <v>20250606</v>
      </c>
      <c r="E2567" s="1" t="str">
        <f>"信阳学院"</f>
        <v>信阳学院</v>
      </c>
      <c r="F2567" s="1" t="str">
        <f>"音乐学"</f>
        <v>音乐学</v>
      </c>
      <c r="G2567" s="1" t="str">
        <f>"河南省南召县世纪大道"</f>
        <v>河南省南召县世纪大道</v>
      </c>
      <c r="H2567" s="1" t="str">
        <f>"教师资格证"</f>
        <v>教师资格证</v>
      </c>
      <c r="I2567" s="1" t="str">
        <f>"202109-202506 信阳学院音乐学院音乐学专业"</f>
        <v>202109-202506 信阳学院音乐学院音乐学专业</v>
      </c>
    </row>
    <row r="2568" spans="1:9">
      <c r="A2568" s="1" t="str">
        <f>"411327199709291541"</f>
        <v>411327199709291541</v>
      </c>
      <c r="B2568" s="1" t="str">
        <f>"中共党员"</f>
        <v>中共党员</v>
      </c>
      <c r="C2568" s="1" t="str">
        <f t="shared" si="1271"/>
        <v>本科</v>
      </c>
      <c r="D2568" s="1" t="str">
        <f>"20190701"</f>
        <v>20190701</v>
      </c>
      <c r="E2568" s="1" t="str">
        <f>"西藏民族大学"</f>
        <v>西藏民族大学</v>
      </c>
      <c r="F2568" s="1" t="str">
        <f>"学前教育"</f>
        <v>学前教育</v>
      </c>
      <c r="G2568" s="1" t="str">
        <f>"河南省南阳市内乡县湍东镇下洼村下南13号"</f>
        <v>河南省南阳市内乡县湍东镇下洼村下南13号</v>
      </c>
      <c r="H2568" s="1" t="str">
        <f>"中小学二级"</f>
        <v>中小学二级</v>
      </c>
      <c r="I2568" s="1" t="str">
        <f>"201506-201907西藏民族大学学前教育专业就读
201908-202008内乡县郦都学校就职
202009-至今内乡县七里坪乡靳河村小学就职"</f>
        <v>201506-201907西藏民族大学学前教育专业就读
201908-202008内乡县郦都学校就职
202009-至今内乡县七里坪乡靳河村小学就职</v>
      </c>
    </row>
    <row r="2569" spans="1:9">
      <c r="A2569" s="1" t="str">
        <f>"411327199403254940"</f>
        <v>411327199403254940</v>
      </c>
      <c r="B2569" s="1" t="str">
        <f t="shared" ref="B2569:B2574" si="1272">"群众"</f>
        <v>群众</v>
      </c>
      <c r="C2569" s="1" t="str">
        <f t="shared" si="1271"/>
        <v>本科</v>
      </c>
      <c r="D2569" s="1" t="str">
        <f>"20170701"</f>
        <v>20170701</v>
      </c>
      <c r="E2569" s="1" t="str">
        <f>"郑州大学"</f>
        <v>郑州大学</v>
      </c>
      <c r="F2569" s="1" t="str">
        <f>"计算机科学与技术（金融信息化方向）"</f>
        <v>计算机科学与技术（金融信息化方向）</v>
      </c>
      <c r="G2569" s="1" t="str">
        <f>"河南省南阳市内乡县清华园小区"</f>
        <v>河南省南阳市内乡县清华园小区</v>
      </c>
      <c r="H2569" s="1" t="str">
        <f t="shared" ref="H2569:H2571" si="1273">"无"</f>
        <v>无</v>
      </c>
      <c r="I2569" s="1" t="str">
        <f>"201309-201707 郑州大学计算机科学与技术（金融信息化方向）就读全日制。201708-201712待业。201801-201811就业于河南托特教育科技有限公司。201912-202507就业于南阳村镇银行。"</f>
        <v>201309-201707 郑州大学计算机科学与技术（金融信息化方向）就读全日制。201708-201712待业。201801-201811就业于河南托特教育科技有限公司。201912-202507就业于南阳村镇银行。</v>
      </c>
    </row>
    <row r="2570" spans="1:9">
      <c r="A2570" s="1" t="str">
        <f>"411326200012114413"</f>
        <v>411326200012114413</v>
      </c>
      <c r="B2570" s="1" t="str">
        <f>"共青团员"</f>
        <v>共青团员</v>
      </c>
      <c r="C2570" s="1" t="str">
        <f t="shared" si="1271"/>
        <v>本科</v>
      </c>
      <c r="D2570" s="1" t="str">
        <f>"20240617"</f>
        <v>20240617</v>
      </c>
      <c r="E2570" s="1" t="str">
        <f>"信阳师范大学"</f>
        <v>信阳师范大学</v>
      </c>
      <c r="F2570" s="1" t="str">
        <f>"计算机科学与技术"</f>
        <v>计算机科学与技术</v>
      </c>
      <c r="G2570" s="1" t="str">
        <f>"河南省南阳市南召县古城路"</f>
        <v>河南省南阳市南召县古城路</v>
      </c>
      <c r="H2570" s="1" t="str">
        <f t="shared" si="1273"/>
        <v>无</v>
      </c>
      <c r="I2570" s="1" t="str">
        <f>"202009-202406 信阳师范大学 计算机与信息技术学院 计算机科学与技术专业 就读 全日制学历
202406-至今 待业"</f>
        <v>202009-202406 信阳师范大学 计算机与信息技术学院 计算机科学与技术专业 就读 全日制学历
202406-至今 待业</v>
      </c>
    </row>
    <row r="2571" spans="1:9">
      <c r="A2571" s="1" t="str">
        <f>"411327200106043923"</f>
        <v>411327200106043923</v>
      </c>
      <c r="B2571" s="1" t="str">
        <f>"共青团员"</f>
        <v>共青团员</v>
      </c>
      <c r="C2571" s="1" t="str">
        <f t="shared" si="1271"/>
        <v>本科</v>
      </c>
      <c r="D2571" s="1" t="str">
        <f>"20240630"</f>
        <v>20240630</v>
      </c>
      <c r="E2571" s="1" t="str">
        <f>"新乡学院"</f>
        <v>新乡学院</v>
      </c>
      <c r="F2571" s="1" t="str">
        <f>"数据科学与大数据技术"</f>
        <v>数据科学与大数据技术</v>
      </c>
      <c r="G2571" s="1" t="str">
        <f>"河南省南阳市内乡县乍曲乡魏营村"</f>
        <v>河南省南阳市内乡县乍曲乡魏营村</v>
      </c>
      <c r="H2571" s="1" t="str">
        <f t="shared" si="1273"/>
        <v>无</v>
      </c>
      <c r="I2571" s="1" t="str">
        <f>"202209-202406新乡学院学校计算机与信息工程学院数据科学与大数据技术专业就读是全日制学历"</f>
        <v>202209-202406新乡学院学校计算机与信息工程学院数据科学与大数据技术专业就读是全日制学历</v>
      </c>
    </row>
    <row r="2572" spans="1:9">
      <c r="A2572" s="1" t="str">
        <f>"411327199701123324"</f>
        <v>411327199701123324</v>
      </c>
      <c r="B2572" s="1" t="str">
        <f t="shared" si="1272"/>
        <v>群众</v>
      </c>
      <c r="C2572" s="1" t="str">
        <f t="shared" si="1271"/>
        <v>本科</v>
      </c>
      <c r="D2572" s="1" t="str">
        <f>"20190701"</f>
        <v>20190701</v>
      </c>
      <c r="E2572" s="1" t="str">
        <f>"洛阳师范学院"</f>
        <v>洛阳师范学院</v>
      </c>
      <c r="F2572" s="1" t="str">
        <f>"学前教育"</f>
        <v>学前教育</v>
      </c>
      <c r="G2572" s="1" t="str">
        <f>"河南省南阳市内乡县城关镇金河家园"</f>
        <v>河南省南阳市内乡县城关镇金河家园</v>
      </c>
      <c r="H2572" s="1" t="str">
        <f>"幼儿园教师资格证"</f>
        <v>幼儿园教师资格证</v>
      </c>
      <c r="I2572" s="1" t="str">
        <f>"201703-201907洛阳师范学院学前教育专业就读，非全日制学历。
201908-202304就职于浙江新和成生物化工有限公司
202305-202408父亲身体不适，在河南省南阳市内乡县七里坪乡待业
202409-202506就职于七里坪乡政府公益岗
202507至今在河南省南阳市内乡县七里坪乡待业
"</f>
        <v>201703-201907洛阳师范学院学前教育专业就读，非全日制学历。
201908-202304就职于浙江新和成生物化工有限公司
202305-202408父亲身体不适，在河南省南阳市内乡县七里坪乡待业
202409-202506就职于七里坪乡政府公益岗
202507至今在河南省南阳市内乡县七里坪乡待业
</v>
      </c>
    </row>
    <row r="2573" spans="1:9">
      <c r="A2573" s="1" t="str">
        <f>"142622199102240027"</f>
        <v>142622199102240027</v>
      </c>
      <c r="B2573" s="1" t="str">
        <f t="shared" si="1272"/>
        <v>群众</v>
      </c>
      <c r="C2573" s="1" t="str">
        <f t="shared" si="1271"/>
        <v>本科</v>
      </c>
      <c r="D2573" s="1" t="str">
        <f>"20140630"</f>
        <v>20140630</v>
      </c>
      <c r="E2573" s="1" t="str">
        <f>"山西省忻州师范学院"</f>
        <v>山西省忻州师范学院</v>
      </c>
      <c r="F2573" s="1" t="str">
        <f>"电子信息科学与技术"</f>
        <v>电子信息科学与技术</v>
      </c>
      <c r="G2573" s="1" t="str">
        <f>"河南省南阳市镇平县将军路财富世家10-1-1201"</f>
        <v>河南省南阳市镇平县将军路财富世家10-1-1201</v>
      </c>
      <c r="H2573" s="1" t="str">
        <f>"中小学二级教师（数学专业）"</f>
        <v>中小学二级教师（数学专业）</v>
      </c>
      <c r="I2573" s="1" t="str">
        <f>"201009-201406  忻州师范学院 电子信息科学与技术专业就读，为全日制学历；
201407-201708待业；
201709-202307镇平县第五小学任教
202308-至今待业"</f>
        <v>201009-201406  忻州师范学院 电子信息科学与技术专业就读，为全日制学历；
201407-201708待业；
201709-202307镇平县第五小学任教
202308-至今待业</v>
      </c>
    </row>
    <row r="2574" spans="1:9">
      <c r="A2574" s="1" t="str">
        <f>"411327199806120023"</f>
        <v>411327199806120023</v>
      </c>
      <c r="B2574" s="1" t="str">
        <f t="shared" si="1272"/>
        <v>群众</v>
      </c>
      <c r="C2574" s="1" t="str">
        <f t="shared" si="1271"/>
        <v>本科</v>
      </c>
      <c r="D2574" s="1" t="str">
        <f>"20240701"</f>
        <v>20240701</v>
      </c>
      <c r="E2574" s="1" t="str">
        <f>"南阳师范学院"</f>
        <v>南阳师范学院</v>
      </c>
      <c r="F2574" s="1" t="str">
        <f>"汉语言文学"</f>
        <v>汉语言文学</v>
      </c>
      <c r="G2574" s="1" t="str">
        <f>"河南省南阳市内乡县城关镇南关二小对面"</f>
        <v>河南省南阳市内乡县城关镇南关二小对面</v>
      </c>
      <c r="H2574" s="1" t="str">
        <f t="shared" ref="H2574:H2599" si="1274">"无"</f>
        <v>无</v>
      </c>
      <c r="I2574" s="1" t="str">
        <f>"202203-202407 南阳师范学院 就读 
非全日制 在这期间在复兴学校工作 教语文 时长两年
现打算考取事业单位"</f>
        <v>202203-202407 南阳师范学院 就读 
非全日制 在这期间在复兴学校工作 教语文 时长两年
现打算考取事业单位</v>
      </c>
    </row>
    <row r="2575" spans="1:9">
      <c r="A2575" s="1" t="str">
        <f>"411327199711081156"</f>
        <v>411327199711081156</v>
      </c>
      <c r="B2575" s="1" t="str">
        <f>"中共党员"</f>
        <v>中共党员</v>
      </c>
      <c r="C2575" s="1" t="str">
        <f>"硕士研究生"</f>
        <v>硕士研究生</v>
      </c>
      <c r="D2575" s="1" t="str">
        <f>"20240623"</f>
        <v>20240623</v>
      </c>
      <c r="E2575" s="1" t="str">
        <f>"辽宁科技大学"</f>
        <v>辽宁科技大学</v>
      </c>
      <c r="F2575" s="1" t="str">
        <f>"环境工程"</f>
        <v>环境工程</v>
      </c>
      <c r="G2575" s="1" t="str">
        <f>"河南省南阳市内乡县赤眉镇韩岗村"</f>
        <v>河南省南阳市内乡县赤眉镇韩岗村</v>
      </c>
      <c r="H2575" s="1" t="str">
        <f t="shared" si="1274"/>
        <v>无</v>
      </c>
      <c r="I2575" s="1" t="str">
        <f>"201609-202006 辽宁科技大学 环境工程 就读
202006-202109 河南省南阳市内乡县 待业
202109-202406 辽宁科技大学 环境工程 就读"</f>
        <v>201609-202006 辽宁科技大学 环境工程 就读
202006-202109 河南省南阳市内乡县 待业
202109-202406 辽宁科技大学 环境工程 就读</v>
      </c>
    </row>
    <row r="2576" spans="1:9">
      <c r="A2576" s="1" t="str">
        <f>"411327200101220062"</f>
        <v>411327200101220062</v>
      </c>
      <c r="B2576" s="1" t="str">
        <f t="shared" ref="B2576:B2580" si="1275">"群众"</f>
        <v>群众</v>
      </c>
      <c r="C2576" s="1" t="str">
        <f t="shared" ref="C2576:C2579" si="1276">"本科"</f>
        <v>本科</v>
      </c>
      <c r="D2576" s="1" t="str">
        <f>"2023-07-01"</f>
        <v>2023-07-01</v>
      </c>
      <c r="E2576" s="1" t="str">
        <f>"中原工学院信息商务学院"</f>
        <v>中原工学院信息商务学院</v>
      </c>
      <c r="F2576" s="1" t="str">
        <f>"数字媒体艺术"</f>
        <v>数字媒体艺术</v>
      </c>
      <c r="G2576" s="1" t="str">
        <f>"河南省内乡县渚阳大街673号"</f>
        <v>河南省内乡县渚阳大街673号</v>
      </c>
      <c r="H2576" s="1" t="str">
        <f t="shared" si="1274"/>
        <v>无</v>
      </c>
      <c r="I2576" s="1" t="str">
        <f>"201909-202306 中原工学院信息商务学院艺术设计学院数字媒体艺术专业就读全日制学历
202406-202502画室工作
202502至今待业"</f>
        <v>201909-202306 中原工学院信息商务学院艺术设计学院数字媒体艺术专业就读全日制学历
202406-202502画室工作
202502至今待业</v>
      </c>
    </row>
    <row r="2577" spans="1:9">
      <c r="A2577" s="1" t="str">
        <f>"411330199903181539"</f>
        <v>411330199903181539</v>
      </c>
      <c r="B2577" s="1" t="str">
        <f t="shared" si="1275"/>
        <v>群众</v>
      </c>
      <c r="C2577" s="1" t="str">
        <f t="shared" ref="C2577:C2581" si="1277">"专科"</f>
        <v>专科</v>
      </c>
      <c r="D2577" s="1" t="str">
        <f>"20220110"</f>
        <v>20220110</v>
      </c>
      <c r="E2577" s="1" t="str">
        <f>"中国药科大学"</f>
        <v>中国药科大学</v>
      </c>
      <c r="F2577" s="1" t="str">
        <f>"药学"</f>
        <v>药学</v>
      </c>
      <c r="G2577" s="1" t="str">
        <f>"手机号"</f>
        <v>手机号</v>
      </c>
      <c r="H2577" s="1" t="str">
        <f t="shared" si="1274"/>
        <v>无</v>
      </c>
      <c r="I2577" s="1" t="str">
        <f>"20190301-20220110在中国药科大学就读，2019年3月1日在中国药科大学成人高等教育学院药学专业就读，不是全日制。"</f>
        <v>20190301-20220110在中国药科大学就读，2019年3月1日在中国药科大学成人高等教育学院药学专业就读，不是全日制。</v>
      </c>
    </row>
    <row r="2578" spans="1:9">
      <c r="A2578" s="1" t="str">
        <f>"411323199901206938"</f>
        <v>411323199901206938</v>
      </c>
      <c r="B2578" s="1" t="str">
        <f t="shared" si="1275"/>
        <v>群众</v>
      </c>
      <c r="C2578" s="1" t="str">
        <f t="shared" si="1276"/>
        <v>本科</v>
      </c>
      <c r="D2578" s="1" t="str">
        <f>"20220701"</f>
        <v>20220701</v>
      </c>
      <c r="E2578" s="1" t="str">
        <f>"郑州商学院"</f>
        <v>郑州商学院</v>
      </c>
      <c r="F2578" s="1" t="str">
        <f>"环境设计"</f>
        <v>环境设计</v>
      </c>
      <c r="G2578" s="1" t="str">
        <f>"河南省南阳市淅川县三环路"</f>
        <v>河南省南阳市淅川县三环路</v>
      </c>
      <c r="H2578" s="1" t="str">
        <f t="shared" si="1274"/>
        <v>无</v>
      </c>
      <c r="I2578" s="1" t="str">
        <f>"201809-202207郑州商学院艺术学院环境设计专业就读，全日制学历
202207-202302淅川县待业
202302-202411淅川县睿创人力资源有限公司
202412-今淅川县鼎威保安公司"</f>
        <v>201809-202207郑州商学院艺术学院环境设计专业就读，全日制学历
202207-202302淅川县待业
202302-202411淅川县睿创人力资源有限公司
202412-今淅川县鼎威保安公司</v>
      </c>
    </row>
    <row r="2579" ht="94.5" spans="1:9">
      <c r="A2579" s="1" t="str">
        <f>"411303199009111545"</f>
        <v>411303199009111545</v>
      </c>
      <c r="B2579" s="1" t="str">
        <f t="shared" si="1275"/>
        <v>群众</v>
      </c>
      <c r="C2579" s="1" t="str">
        <f t="shared" si="1276"/>
        <v>本科</v>
      </c>
      <c r="D2579" s="1" t="str">
        <f>"20140625"</f>
        <v>20140625</v>
      </c>
      <c r="E2579" s="1" t="str">
        <f>"吉林财经大学"</f>
        <v>吉林财经大学</v>
      </c>
      <c r="F2579" s="1" t="str">
        <f>"国际经济与贸易（俄语）"</f>
        <v>国际经济与贸易（俄语）</v>
      </c>
      <c r="G2579" s="1" t="str">
        <f>"河南省南阳市卧龙区信臣西路龙悦城小区"</f>
        <v>河南省南阳市卧龙区信臣西路龙悦城小区</v>
      </c>
      <c r="H2579" s="1" t="str">
        <f t="shared" si="1274"/>
        <v>无</v>
      </c>
      <c r="I2579" s="3" t="s">
        <v>253</v>
      </c>
    </row>
    <row r="2580" spans="1:9">
      <c r="A2580" s="1" t="str">
        <f>"411327200408044219"</f>
        <v>411327200408044219</v>
      </c>
      <c r="B2580" s="1" t="str">
        <f t="shared" si="1275"/>
        <v>群众</v>
      </c>
      <c r="C2580" s="1" t="str">
        <f t="shared" si="1277"/>
        <v>专科</v>
      </c>
      <c r="D2580" s="1" t="str">
        <f>"20040804"</f>
        <v>20040804</v>
      </c>
      <c r="E2580" s="1" t="str">
        <f>"郑州工业安全职业学院"</f>
        <v>郑州工业安全职业学院</v>
      </c>
      <c r="F2580" s="1" t="str">
        <f>"工商企业管理"</f>
        <v>工商企业管理</v>
      </c>
      <c r="G2580" s="1" t="str">
        <f>"河南省南阳市内乡县余关镇东王庄村杨北组"</f>
        <v>河南省南阳市内乡县余关镇东王庄村杨北组</v>
      </c>
      <c r="H2580" s="1" t="str">
        <f t="shared" si="1274"/>
        <v>无</v>
      </c>
      <c r="I2580" s="1" t="str">
        <f>"202309-202507 在郑州工业安全职业学院数字经济与管理系工商企业管理专业就读，是全日制学历。在校取得国家励志奖学金；元旦晚会优秀个人；暑期资助政策乡村行优秀志愿者等证书。"</f>
        <v>202309-202507 在郑州工业安全职业学院数字经济与管理系工商企业管理专业就读，是全日制学历。在校取得国家励志奖学金；元旦晚会优秀个人；暑期资助政策乡村行优秀志愿者等证书。</v>
      </c>
    </row>
    <row r="2581" spans="1:9">
      <c r="A2581" s="1" t="str">
        <f>"412727200104136563"</f>
        <v>412727200104136563</v>
      </c>
      <c r="B2581" s="1" t="str">
        <f>"中共党员"</f>
        <v>中共党员</v>
      </c>
      <c r="C2581" s="1" t="str">
        <f t="shared" si="1277"/>
        <v>专科</v>
      </c>
      <c r="D2581" s="1" t="str">
        <f>"20240701"</f>
        <v>20240701</v>
      </c>
      <c r="E2581" s="1" t="str">
        <f>"濮阳医学高等专科学校"</f>
        <v>濮阳医学高等专科学校</v>
      </c>
      <c r="F2581" s="1" t="str">
        <f>"婴幼儿托育服务与管理（体智能方向）"</f>
        <v>婴幼儿托育服务与管理（体智能方向）</v>
      </c>
      <c r="G2581" s="1" t="str">
        <f>"河南省南阳市宛城区溧河乡郭店"</f>
        <v>河南省南阳市宛城区溧河乡郭店</v>
      </c>
      <c r="H2581" s="1" t="str">
        <f t="shared" si="1274"/>
        <v>无</v>
      </c>
      <c r="I2581" s="1" t="str">
        <f>"202110-202407   濮阳医学高等专科学校护理系婴幼儿托育服务与管理专业就读  全日制学历
"</f>
        <v>202110-202407   濮阳医学高等专科学校护理系婴幼儿托育服务与管理专业就读  全日制学历
</v>
      </c>
    </row>
    <row r="2582" spans="1:9">
      <c r="A2582" s="1" t="str">
        <f>"410402200109255611"</f>
        <v>410402200109255611</v>
      </c>
      <c r="B2582" s="1" t="str">
        <f t="shared" ref="B2582:B2586" si="1278">"共青团员"</f>
        <v>共青团员</v>
      </c>
      <c r="C2582" s="1" t="str">
        <f t="shared" ref="C2582:C2587" si="1279">"本科"</f>
        <v>本科</v>
      </c>
      <c r="D2582" s="1" t="str">
        <f>"20250628"</f>
        <v>20250628</v>
      </c>
      <c r="E2582" s="1" t="str">
        <f>"北京城市学院"</f>
        <v>北京城市学院</v>
      </c>
      <c r="F2582" s="1" t="str">
        <f>"视觉传达设计"</f>
        <v>视觉传达设计</v>
      </c>
      <c r="G2582" s="1" t="str">
        <f>"1755178591@qq.com"</f>
        <v>1755178591@qq.com</v>
      </c>
      <c r="H2582" s="1" t="str">
        <f t="shared" si="1274"/>
        <v>无</v>
      </c>
      <c r="I2582" s="1" t="str">
        <f>"202106-202506北京城市学院就读"</f>
        <v>202106-202506北京城市学院就读</v>
      </c>
    </row>
    <row r="2583" spans="1:9">
      <c r="A2583" s="1" t="str">
        <f>"411327200104110029"</f>
        <v>411327200104110029</v>
      </c>
      <c r="B2583" s="1" t="str">
        <f t="shared" si="1278"/>
        <v>共青团员</v>
      </c>
      <c r="C2583" s="1" t="str">
        <f t="shared" si="1279"/>
        <v>本科</v>
      </c>
      <c r="D2583" s="1" t="str">
        <f>"2022年7月10日"</f>
        <v>2022年7月10日</v>
      </c>
      <c r="E2583" s="1" t="str">
        <f>"莆田学院"</f>
        <v>莆田学院</v>
      </c>
      <c r="F2583" s="1" t="str">
        <f>"日语"</f>
        <v>日语</v>
      </c>
      <c r="G2583" s="1" t="str">
        <f>"河南省南阳市内乡县城关镇县衙路居委会"</f>
        <v>河南省南阳市内乡县城关镇县衙路居委会</v>
      </c>
      <c r="H2583" s="1" t="str">
        <f t="shared" si="1274"/>
        <v>无</v>
      </c>
      <c r="I2583" s="1" t="str">
        <f>"201809-202207 莆田学院 外国语学院日语专业就读，是全日制学历"</f>
        <v>201809-202207 莆田学院 外国语学院日语专业就读，是全日制学历</v>
      </c>
    </row>
    <row r="2584" spans="1:9">
      <c r="A2584" s="1" t="str">
        <f>"411381199407270014"</f>
        <v>411381199407270014</v>
      </c>
      <c r="B2584" s="1" t="str">
        <f>"中共党员"</f>
        <v>中共党员</v>
      </c>
      <c r="C2584" s="1" t="str">
        <f>"专科"</f>
        <v>专科</v>
      </c>
      <c r="D2584" s="1" t="str">
        <f>"20170630"</f>
        <v>20170630</v>
      </c>
      <c r="E2584" s="1" t="str">
        <f>"蚌埠汽车管理学院"</f>
        <v>蚌埠汽车管理学院</v>
      </c>
      <c r="F2584" s="1" t="str">
        <f>"汽车运用与管理"</f>
        <v>汽车运用与管理</v>
      </c>
      <c r="G2584" s="1" t="str">
        <f>"河南省南阳市邓州市三孔桥菜市场幸福村85号附近"</f>
        <v>河南省南阳市邓州市三孔桥菜市场幸福村85号附近</v>
      </c>
      <c r="H2584" s="1" t="str">
        <f t="shared" si="1274"/>
        <v>无</v>
      </c>
      <c r="I2584" s="1" t="str">
        <f>"201409-201707在蚌埠汽车士官学校 运输勤务系 汽车运用与管理 汽车分队长 专业 就读 全日制学历  "</f>
        <v>201409-201707在蚌埠汽车士官学校 运输勤务系 汽车运用与管理 汽车分队长 专业 就读 全日制学历  </v>
      </c>
    </row>
    <row r="2585" spans="1:9">
      <c r="A2585" s="1" t="str">
        <f>"411327199709111117"</f>
        <v>411327199709111117</v>
      </c>
      <c r="B2585" s="1" t="str">
        <f t="shared" ref="B2585:B2590" si="1280">"群众"</f>
        <v>群众</v>
      </c>
      <c r="C2585" s="1" t="str">
        <f t="shared" si="1279"/>
        <v>本科</v>
      </c>
      <c r="D2585" s="1" t="str">
        <f>"20200701"</f>
        <v>20200701</v>
      </c>
      <c r="E2585" s="1" t="str">
        <f>"郑州科技学院"</f>
        <v>郑州科技学院</v>
      </c>
      <c r="F2585" s="1" t="str">
        <f>"电气工程及其自动化"</f>
        <v>电气工程及其自动化</v>
      </c>
      <c r="G2585" s="1" t="str">
        <f>"河南省内乡县城关镇县衙路建佛寺租253号"</f>
        <v>河南省内乡县城关镇县衙路建佛寺租253号</v>
      </c>
      <c r="H2585" s="1" t="str">
        <f t="shared" si="1274"/>
        <v>无</v>
      </c>
      <c r="I2585" s="1" t="str">
        <f>"201509-201807 三门峡职业技术学院 电气自动化技术 全日制
201809-202007 郑州科技学院 电气工程及其自动化 全日制
202008-202206 内乡县待业
202207-202302 牧原 
202303-202311 在家待业
202312-至今 中国邮政银行储蓄银行"</f>
        <v>201509-201807 三门峡职业技术学院 电气自动化技术 全日制
201809-202007 郑州科技学院 电气工程及其自动化 全日制
202008-202206 内乡县待业
202207-202302 牧原 
202303-202311 在家待业
202312-至今 中国邮政银行储蓄银行</v>
      </c>
    </row>
    <row r="2586" spans="1:9">
      <c r="A2586" s="1" t="str">
        <f>"41022220030829559X"</f>
        <v>41022220030829559X</v>
      </c>
      <c r="B2586" s="1" t="str">
        <f t="shared" si="1278"/>
        <v>共青团员</v>
      </c>
      <c r="C2586" s="1" t="str">
        <f t="shared" si="1279"/>
        <v>本科</v>
      </c>
      <c r="D2586" s="1" t="str">
        <f>"20250625"</f>
        <v>20250625</v>
      </c>
      <c r="E2586" s="1" t="str">
        <f>"河南工业大学"</f>
        <v>河南工业大学</v>
      </c>
      <c r="F2586" s="1" t="str">
        <f>"生物技术"</f>
        <v>生物技术</v>
      </c>
      <c r="G2586" s="1" t="str">
        <f>"河南省开封市通许县朱砂镇"</f>
        <v>河南省开封市通许县朱砂镇</v>
      </c>
      <c r="H2586" s="1" t="str">
        <f t="shared" si="1274"/>
        <v>无</v>
      </c>
      <c r="I2586" s="1" t="str">
        <f>"2021年9月至2025年6月在河南工业大学生物工程学院生物技术专业就读，全日制学历。"</f>
        <v>2021年9月至2025年6月在河南工业大学生物工程学院生物技术专业就读，全日制学历。</v>
      </c>
    </row>
    <row r="2587" spans="1:9">
      <c r="A2587" s="1" t="str">
        <f>"410822199107143028"</f>
        <v>410822199107143028</v>
      </c>
      <c r="B2587" s="1" t="str">
        <f>"中共预备党员"</f>
        <v>中共预备党员</v>
      </c>
      <c r="C2587" s="1" t="str">
        <f t="shared" si="1279"/>
        <v>本科</v>
      </c>
      <c r="D2587" s="1" t="str">
        <f>"2015-06-30"</f>
        <v>2015-06-30</v>
      </c>
      <c r="E2587" s="1" t="str">
        <f>"河南财经政法大学"</f>
        <v>河南财经政法大学</v>
      </c>
      <c r="F2587" s="1" t="str">
        <f>"会计"</f>
        <v>会计</v>
      </c>
      <c r="G2587" s="1" t="str">
        <f>"河南省焦作市博爱县磨头镇玉皇庙村"</f>
        <v>河南省焦作市博爱县磨头镇玉皇庙村</v>
      </c>
      <c r="H2587" s="1" t="str">
        <f t="shared" si="1274"/>
        <v>无</v>
      </c>
      <c r="I2587" s="1" t="str">
        <f>"2012年3月-2014年7月  河南财政税务高等专科学校  会计 非全日制
2012年3月-2015年6月  河南财经政法大学                会计  非全日制
2015年6月-至今            焦作市博爱县磨头镇务农"</f>
        <v>2012年3月-2014年7月  河南财政税务高等专科学校  会计 非全日制
2012年3月-2015年6月  河南财经政法大学                会计  非全日制
2015年6月-至今            焦作市博爱县磨头镇务农</v>
      </c>
    </row>
    <row r="2588" spans="1:9">
      <c r="A2588" s="1" t="str">
        <f>"411327200305061518"</f>
        <v>411327200305061518</v>
      </c>
      <c r="B2588" s="1" t="str">
        <f t="shared" si="1280"/>
        <v>群众</v>
      </c>
      <c r="C2588" s="1" t="str">
        <f>"专科"</f>
        <v>专科</v>
      </c>
      <c r="D2588" s="1" t="str">
        <f>"2024-06-30"</f>
        <v>2024-06-30</v>
      </c>
      <c r="E2588" s="1" t="str">
        <f>"南阳农业职业学院"</f>
        <v>南阳农业职业学院</v>
      </c>
      <c r="F2588" s="1" t="str">
        <f>"计算机应用技术"</f>
        <v>计算机应用技术</v>
      </c>
      <c r="G2588" s="1" t="str">
        <f>"内乡县湍东镇张岗村张岗一组18号"</f>
        <v>内乡县湍东镇张岗村张岗一组18号</v>
      </c>
      <c r="H2588" s="1" t="str">
        <f t="shared" si="1274"/>
        <v>无</v>
      </c>
      <c r="I2588" s="1" t="str">
        <f>"2016.09-2019.09河南省南阳市内乡县初级中学
2019.09-2024.06南阳农业职业学院计算机系"</f>
        <v>2016.09-2019.09河南省南阳市内乡县初级中学
2019.09-2024.06南阳农业职业学院计算机系</v>
      </c>
    </row>
    <row r="2589" spans="1:9">
      <c r="A2589" s="1" t="str">
        <f>"411327200010250311"</f>
        <v>411327200010250311</v>
      </c>
      <c r="B2589" s="1" t="str">
        <f t="shared" ref="B2589:B2593" si="1281">"共青团员"</f>
        <v>共青团员</v>
      </c>
      <c r="C2589" s="1" t="str">
        <f t="shared" ref="C2589:C2597" si="1282">"本科"</f>
        <v>本科</v>
      </c>
      <c r="D2589" s="1" t="str">
        <f>"20230607"</f>
        <v>20230607</v>
      </c>
      <c r="E2589" s="1" t="str">
        <f>"郑州工商学院"</f>
        <v>郑州工商学院</v>
      </c>
      <c r="F2589" s="1" t="str">
        <f>"自动化"</f>
        <v>自动化</v>
      </c>
      <c r="G2589" s="1" t="str">
        <f>"河南省内乡县维多利亚小区"</f>
        <v>河南省内乡县维多利亚小区</v>
      </c>
      <c r="H2589" s="1" t="str">
        <f t="shared" si="1274"/>
        <v>无</v>
      </c>
      <c r="I2589" s="1" t="str">
        <f>"201909-202306郑州工商学院自动化专业就读全日制。"</f>
        <v>201909-202306郑州工商学院自动化专业就读全日制。</v>
      </c>
    </row>
    <row r="2590" spans="1:9">
      <c r="A2590" s="1" t="str">
        <f>"41132320040806533X"</f>
        <v>41132320040806533X</v>
      </c>
      <c r="B2590" s="1" t="str">
        <f t="shared" si="1280"/>
        <v>群众</v>
      </c>
      <c r="C2590" s="1" t="str">
        <f>"专科"</f>
        <v>专科</v>
      </c>
      <c r="D2590" s="1" t="str">
        <f>"2025年6月30日"</f>
        <v>2025年6月30日</v>
      </c>
      <c r="E2590" s="1" t="str">
        <f>"三门峡职业技术学院"</f>
        <v>三门峡职业技术学院</v>
      </c>
      <c r="F2590" s="1" t="str">
        <f>"机电一体化技术"</f>
        <v>机电一体化技术</v>
      </c>
      <c r="G2590" s="1" t="str">
        <f>"河南省南阳市淅川县"</f>
        <v>河南省南阳市淅川县</v>
      </c>
      <c r="H2590" s="1" t="str">
        <f t="shared" si="1274"/>
        <v>无</v>
      </c>
      <c r="I2590" s="1" t="str">
        <f>"202209-202506三门峡职业技术学院汽车学院机电一体化技术就读，全日制学历"</f>
        <v>202209-202506三门峡职业技术学院汽车学院机电一体化技术就读，全日制学历</v>
      </c>
    </row>
    <row r="2591" spans="1:9">
      <c r="A2591" s="1" t="str">
        <f>"411528199701040032"</f>
        <v>411528199701040032</v>
      </c>
      <c r="B2591" s="1" t="str">
        <f t="shared" si="1281"/>
        <v>共青团员</v>
      </c>
      <c r="C2591" s="1" t="str">
        <f t="shared" si="1282"/>
        <v>本科</v>
      </c>
      <c r="D2591" s="1" t="str">
        <f>"20230630"</f>
        <v>20230630</v>
      </c>
      <c r="E2591" s="1" t="str">
        <f>"兰州交通大学"</f>
        <v>兰州交通大学</v>
      </c>
      <c r="F2591" s="1" t="str">
        <f>"土木工程"</f>
        <v>土木工程</v>
      </c>
      <c r="G2591" s="1" t="str">
        <f>"河南省信阳市息县马庄38-3"</f>
        <v>河南省信阳市息县马庄38-3</v>
      </c>
      <c r="H2591" s="1" t="str">
        <f t="shared" si="1274"/>
        <v>无</v>
      </c>
      <c r="I2591" s="1" t="str">
        <f>"202109-202306兰州交通大学土木工程学院土木工程专业就读，全日制；
202307-202503中铁二局；
202504-202507待业"</f>
        <v>202109-202306兰州交通大学土木工程学院土木工程专业就读，全日制；
202307-202503中铁二局；
202504-202507待业</v>
      </c>
    </row>
    <row r="2592" spans="1:9">
      <c r="A2592" s="1" t="str">
        <f>"411327199910110028"</f>
        <v>411327199910110028</v>
      </c>
      <c r="B2592" s="1" t="str">
        <f t="shared" si="1281"/>
        <v>共青团员</v>
      </c>
      <c r="C2592" s="1" t="str">
        <f t="shared" si="1282"/>
        <v>本科</v>
      </c>
      <c r="D2592" s="1" t="str">
        <f>"20230630"</f>
        <v>20230630</v>
      </c>
      <c r="E2592" s="1" t="str">
        <f>"郑州西亚斯学院"</f>
        <v>郑州西亚斯学院</v>
      </c>
      <c r="F2592" s="1" t="str">
        <f>"工商管理"</f>
        <v>工商管理</v>
      </c>
      <c r="G2592" s="1" t="str">
        <f>"河南省南阳市内乡县城关镇东风村"</f>
        <v>河南省南阳市内乡县城关镇东风村</v>
      </c>
      <c r="H2592" s="1" t="str">
        <f t="shared" si="1274"/>
        <v>无</v>
      </c>
      <c r="I2592" s="1" t="str">
        <f>"201809-202106 郑州科技学院工商管理学院工商企业管理专业就读，全日制。
202109-202306 郑州西亚斯学院商学院工商管理专业就读，全日制。
202306-202308 待业
202308-202407 工作于河南老界岭建设发展有限公司。
202407-至今 工作于河南晟达电力工程有限公司。"</f>
        <v>201809-202106 郑州科技学院工商管理学院工商企业管理专业就读，全日制。
202109-202306 郑州西亚斯学院商学院工商管理专业就读，全日制。
202306-202308 待业
202308-202407 工作于河南老界岭建设发展有限公司。
202407-至今 工作于河南晟达电力工程有限公司。</v>
      </c>
    </row>
    <row r="2593" spans="1:9">
      <c r="A2593" s="1" t="str">
        <f>"411327200009200026"</f>
        <v>411327200009200026</v>
      </c>
      <c r="B2593" s="1" t="str">
        <f t="shared" si="1281"/>
        <v>共青团员</v>
      </c>
      <c r="C2593" s="1" t="str">
        <f t="shared" si="1282"/>
        <v>本科</v>
      </c>
      <c r="D2593" s="1" t="str">
        <f>"20230601"</f>
        <v>20230601</v>
      </c>
      <c r="E2593" s="1" t="str">
        <f>"河南师范大学"</f>
        <v>河南师范大学</v>
      </c>
      <c r="F2593" s="1" t="str">
        <f>"法学"</f>
        <v>法学</v>
      </c>
      <c r="G2593" s="1" t="str">
        <f>"河南省南阳市内乡县城关镇泰和仁居"</f>
        <v>河南省南阳市内乡县城关镇泰和仁居</v>
      </c>
      <c r="H2593" s="1" t="str">
        <f t="shared" si="1274"/>
        <v>无</v>
      </c>
      <c r="I2593" s="1" t="str">
        <f>"20190901-20230601 河南师范大学 法学院法学专业就读
20230601至今 在户籍所在地河南省内乡县待业"</f>
        <v>20190901-20230601 河南师范大学 法学院法学专业就读
20230601至今 在户籍所在地河南省内乡县待业</v>
      </c>
    </row>
    <row r="2594" spans="1:9">
      <c r="A2594" s="1" t="str">
        <f>"410422199910261013"</f>
        <v>410422199910261013</v>
      </c>
      <c r="B2594" s="1" t="str">
        <f t="shared" ref="B2594:B2599" si="1283">"中共党员"</f>
        <v>中共党员</v>
      </c>
      <c r="C2594" s="1" t="str">
        <f t="shared" si="1282"/>
        <v>本科</v>
      </c>
      <c r="D2594" s="1" t="str">
        <f>"20230701"</f>
        <v>20230701</v>
      </c>
      <c r="E2594" s="1" t="str">
        <f>"商丘学院"</f>
        <v>商丘学院</v>
      </c>
      <c r="F2594" s="1" t="str">
        <f>"小学教育（师范）"</f>
        <v>小学教育（师范）</v>
      </c>
      <c r="G2594" s="1" t="str">
        <f>"河南省平顶山市叶县盐都街道草厂庾村"</f>
        <v>河南省平顶山市叶县盐都街道草厂庾村</v>
      </c>
      <c r="H2594" s="1" t="str">
        <f t="shared" si="1274"/>
        <v>无</v>
      </c>
      <c r="I2594" s="1" t="str">
        <f>"201909-202307 商丘学院 人文学院小学教育（师范）专业 全日制本科"</f>
        <v>201909-202307 商丘学院 人文学院小学教育（师范）专业 全日制本科</v>
      </c>
    </row>
    <row r="2595" spans="1:9">
      <c r="A2595" s="1" t="str">
        <f>"41132620001112154X"</f>
        <v>41132620001112154X</v>
      </c>
      <c r="B2595" s="1" t="str">
        <f t="shared" si="1283"/>
        <v>中共党员</v>
      </c>
      <c r="C2595" s="1" t="str">
        <f t="shared" si="1282"/>
        <v>本科</v>
      </c>
      <c r="D2595" s="1" t="str">
        <f>"20240630"</f>
        <v>20240630</v>
      </c>
      <c r="E2595" s="1" t="str">
        <f>"新乡学院"</f>
        <v>新乡学院</v>
      </c>
      <c r="F2595" s="1" t="str">
        <f>"动画"</f>
        <v>动画</v>
      </c>
      <c r="G2595" s="1" t="str">
        <f>"河南省南阳市卧龙区信臣路七里香溪"</f>
        <v>河南省南阳市卧龙区信臣路七里香溪</v>
      </c>
      <c r="H2595" s="1" t="str">
        <f t="shared" si="1274"/>
        <v>无</v>
      </c>
      <c r="I2595" s="1" t="str">
        <f>"201909-202206河南艺术职业学院美术学院视觉传播设计与制作专业就读是全日制
202209-202406新乡学院美术学院动画专业就读是全日制"</f>
        <v>201909-202206河南艺术职业学院美术学院视觉传播设计与制作专业就读是全日制
202209-202406新乡学院美术学院动画专业就读是全日制</v>
      </c>
    </row>
    <row r="2596" spans="1:9">
      <c r="A2596" s="1" t="str">
        <f>"41132720020226155X"</f>
        <v>41132720020226155X</v>
      </c>
      <c r="B2596" s="1" t="str">
        <f t="shared" ref="B2596:B2598" si="1284">"群众"</f>
        <v>群众</v>
      </c>
      <c r="C2596" s="1" t="str">
        <f t="shared" si="1282"/>
        <v>本科</v>
      </c>
      <c r="D2596" s="1" t="str">
        <f>"20240620"</f>
        <v>20240620</v>
      </c>
      <c r="E2596" s="1" t="str">
        <f>"郑州航空工业管理学院"</f>
        <v>郑州航空工业管理学院</v>
      </c>
      <c r="F2596" s="1" t="str">
        <f>"贸易经济"</f>
        <v>贸易经济</v>
      </c>
      <c r="G2596" s="1" t="str">
        <f>"内乡县五里堡茨园村"</f>
        <v>内乡县五里堡茨园村</v>
      </c>
      <c r="H2596" s="1" t="str">
        <f t="shared" si="1274"/>
        <v>无</v>
      </c>
      <c r="I2596" s="1" t="str">
        <f>"20200916——20240620郑州航空工业管理学院全日制本科就读于经济学院贸易经济专业
20240620--20250724 在内乡县湍东镇五里堡茨园村待业"</f>
        <v>20200916——20240620郑州航空工业管理学院全日制本科就读于经济学院贸易经济专业
20240620--20250724 在内乡县湍东镇五里堡茨园村待业</v>
      </c>
    </row>
    <row r="2597" spans="1:9">
      <c r="A2597" s="1" t="str">
        <f>"41132719980511422X"</f>
        <v>41132719980511422X</v>
      </c>
      <c r="B2597" s="1" t="str">
        <f t="shared" si="1284"/>
        <v>群众</v>
      </c>
      <c r="C2597" s="1" t="str">
        <f t="shared" si="1282"/>
        <v>本科</v>
      </c>
      <c r="D2597" s="1" t="str">
        <f>"20200630"</f>
        <v>20200630</v>
      </c>
      <c r="E2597" s="1" t="str">
        <f>"河南农业大学"</f>
        <v>河南农业大学</v>
      </c>
      <c r="F2597" s="1" t="str">
        <f>"食品科学与工程"</f>
        <v>食品科学与工程</v>
      </c>
      <c r="G2597" s="1" t="str">
        <f>"河南省南阳市内乡县柏树园"</f>
        <v>河南省南阳市内乡县柏树园</v>
      </c>
      <c r="H2597" s="1" t="str">
        <f t="shared" si="1274"/>
        <v>无</v>
      </c>
      <c r="I2597" s="1" t="str">
        <f>"20160901-20200630在河南农业大学食品学院食品科学与工程专业就读，为全日制学历"</f>
        <v>20160901-20200630在河南农业大学食品学院食品科学与工程专业就读，为全日制学历</v>
      </c>
    </row>
    <row r="2598" spans="1:9">
      <c r="A2598" s="1" t="str">
        <f>"411327200312260048"</f>
        <v>411327200312260048</v>
      </c>
      <c r="B2598" s="1" t="str">
        <f t="shared" si="1284"/>
        <v>群众</v>
      </c>
      <c r="C2598" s="1" t="str">
        <f t="shared" ref="C2598:C2602" si="1285">"专科"</f>
        <v>专科</v>
      </c>
      <c r="D2598" s="1" t="str">
        <f>"20250624"</f>
        <v>20250624</v>
      </c>
      <c r="E2598" s="1" t="str">
        <f>"许昌职业技术学院"</f>
        <v>许昌职业技术学院</v>
      </c>
      <c r="F2598" s="1" t="str">
        <f>"园艺技术"</f>
        <v>园艺技术</v>
      </c>
      <c r="G2598" s="1" t="str">
        <f>"河南省南阳市内乡县湍东镇五小向西一百米"</f>
        <v>河南省南阳市内乡县湍东镇五小向西一百米</v>
      </c>
      <c r="H2598" s="1" t="str">
        <f t="shared" si="1274"/>
        <v>无</v>
      </c>
      <c r="I2598" s="1" t="str">
        <f>"202209-202506许昌职业技术学院园林与食品工程学院园艺技术专业就读是全日制学历"</f>
        <v>202209-202506许昌职业技术学院园林与食品工程学院园艺技术专业就读是全日制学历</v>
      </c>
    </row>
    <row r="2599" spans="1:9">
      <c r="A2599" s="1" t="str">
        <f>"411323200205110524"</f>
        <v>411323200205110524</v>
      </c>
      <c r="B2599" s="1" t="str">
        <f t="shared" si="1283"/>
        <v>中共党员</v>
      </c>
      <c r="C2599" s="1" t="str">
        <f t="shared" si="1285"/>
        <v>专科</v>
      </c>
      <c r="D2599" s="1" t="str">
        <f>"20240620"</f>
        <v>20240620</v>
      </c>
      <c r="E2599" s="1" t="str">
        <f>"商丘医学高等专科学校"</f>
        <v>商丘医学高等专科学校</v>
      </c>
      <c r="F2599" s="1" t="str">
        <f>"中医康复技术"</f>
        <v>中医康复技术</v>
      </c>
      <c r="G2599" s="1" t="str">
        <f>"河南省南阳市西峡县田关镇"</f>
        <v>河南省南阳市西峡县田关镇</v>
      </c>
      <c r="H2599" s="1" t="str">
        <f t="shared" si="1274"/>
        <v>无</v>
      </c>
      <c r="I2599" s="1" t="str">
        <f>"202109-202406在商丘医学高等专科学校中医康复技术专业就读
202407-202507待业"</f>
        <v>202109-202406在商丘医学高等专科学校中医康复技术专业就读
202407-202507待业</v>
      </c>
    </row>
    <row r="2600" spans="1:9">
      <c r="A2600" s="1" t="str">
        <f>"411330200010244323"</f>
        <v>411330200010244323</v>
      </c>
      <c r="B2600" s="1" t="str">
        <f t="shared" ref="B2600:B2604" si="1286">"共青团员"</f>
        <v>共青团员</v>
      </c>
      <c r="C2600" s="1" t="str">
        <f t="shared" ref="C2600:C2604" si="1287">"本科"</f>
        <v>本科</v>
      </c>
      <c r="D2600" s="1" t="str">
        <f>"20240630"</f>
        <v>20240630</v>
      </c>
      <c r="E2600" s="1" t="str">
        <f>"南阳师范学院"</f>
        <v>南阳师范学院</v>
      </c>
      <c r="F2600" s="1" t="str">
        <f>"广播电视编导"</f>
        <v>广播电视编导</v>
      </c>
      <c r="G2600" s="1" t="str">
        <f>"河南省南阳市西峡县石界河镇"</f>
        <v>河南省南阳市西峡县石界河镇</v>
      </c>
      <c r="H2600" s="1" t="str">
        <f>"普通话二级甲等"</f>
        <v>普通话二级甲等</v>
      </c>
      <c r="I2600" s="1" t="str">
        <f>"202009-202406 南阳师范学院 新闻与传播学院 广播电视编导专业
202407-至今 河南省南阳市待业"</f>
        <v>202009-202406 南阳师范学院 新闻与传播学院 广播电视编导专业
202407-至今 河南省南阳市待业</v>
      </c>
    </row>
    <row r="2601" spans="1:9">
      <c r="A2601" s="1" t="str">
        <f>"412723199910122106"</f>
        <v>412723199910122106</v>
      </c>
      <c r="B2601" s="1" t="str">
        <f t="shared" si="1286"/>
        <v>共青团员</v>
      </c>
      <c r="C2601" s="1" t="str">
        <f t="shared" si="1287"/>
        <v>本科</v>
      </c>
      <c r="D2601" s="1" t="str">
        <f>"20240701"</f>
        <v>20240701</v>
      </c>
      <c r="E2601" s="1" t="str">
        <f>"河南师范大学"</f>
        <v>河南师范大学</v>
      </c>
      <c r="F2601" s="1" t="str">
        <f>"旅游管理"</f>
        <v>旅游管理</v>
      </c>
      <c r="G2601" s="1" t="str">
        <f>"河南省周口市"</f>
        <v>河南省周口市</v>
      </c>
      <c r="H2601" s="1" t="str">
        <f t="shared" ref="H2601:H2606" si="1288">"无"</f>
        <v>无</v>
      </c>
      <c r="I2601" s="1" t="str">
        <f>"202009-202407河南师范大学就读旅游学院旅游管理专业 
全日制
202407-至今待业"</f>
        <v>202009-202407河南师范大学就读旅游学院旅游管理专业 
全日制
202407-至今待业</v>
      </c>
    </row>
    <row r="2602" spans="1:9">
      <c r="A2602" s="1" t="str">
        <f>"41132720020219254X"</f>
        <v>41132720020219254X</v>
      </c>
      <c r="B2602" s="1" t="str">
        <f t="shared" ref="B2602:B2606" si="1289">"群众"</f>
        <v>群众</v>
      </c>
      <c r="C2602" s="1" t="str">
        <f t="shared" si="1285"/>
        <v>专科</v>
      </c>
      <c r="D2602" s="1" t="str">
        <f>"20220711"</f>
        <v>20220711</v>
      </c>
      <c r="E2602" s="1" t="str">
        <f>"安阳幼儿师范高等专科学校"</f>
        <v>安阳幼儿师范高等专科学校</v>
      </c>
      <c r="F2602" s="1" t="str">
        <f>"学前教育"</f>
        <v>学前教育</v>
      </c>
      <c r="G2602" s="1" t="str">
        <f>"河南省南阳市内乡县公园南路93号"</f>
        <v>河南省南阳市内乡县公园南路93号</v>
      </c>
      <c r="H2602" s="1" t="str">
        <f t="shared" si="1288"/>
        <v>无</v>
      </c>
      <c r="I2602" s="1" t="str">
        <f>"202009-202207安阳幼儿师范高等专科学校就读，全日制
202207-202306待业
202306-至今湍东镇人民政府"</f>
        <v>202009-202207安阳幼儿师范高等专科学校就读，全日制
202207-202306待业
202306-至今湍东镇人民政府</v>
      </c>
    </row>
    <row r="2603" spans="1:9">
      <c r="A2603" s="1" t="str">
        <f>"411121199906052022"</f>
        <v>411121199906052022</v>
      </c>
      <c r="B2603" s="1" t="str">
        <f t="shared" si="1289"/>
        <v>群众</v>
      </c>
      <c r="C2603" s="1" t="str">
        <f t="shared" si="1287"/>
        <v>本科</v>
      </c>
      <c r="D2603" s="1" t="str">
        <f>"20220701"</f>
        <v>20220701</v>
      </c>
      <c r="E2603" s="1" t="str">
        <f>"河南大学民生学院"</f>
        <v>河南大学民生学院</v>
      </c>
      <c r="F2603" s="1" t="str">
        <f>"旅游管理"</f>
        <v>旅游管理</v>
      </c>
      <c r="G2603" s="1" t="str">
        <f>"河南省漯河市舞阳县保和乡"</f>
        <v>河南省漯河市舞阳县保和乡</v>
      </c>
      <c r="H2603" s="1" t="str">
        <f t="shared" si="1288"/>
        <v>无</v>
      </c>
      <c r="I2603" s="1" t="str">
        <f>"201809——202007 焦作工贸职业技术学院 高铁乘务 全日制
202009——202007  河南大学民生学院   旅游管理  全日制"</f>
        <v>201809——202007 焦作工贸职业技术学院 高铁乘务 全日制
202009——202007  河南大学民生学院   旅游管理  全日制</v>
      </c>
    </row>
    <row r="2604" spans="1:9">
      <c r="A2604" s="1" t="str">
        <f>"411324200310101423"</f>
        <v>411324200310101423</v>
      </c>
      <c r="B2604" s="1" t="str">
        <f t="shared" si="1286"/>
        <v>共青团员</v>
      </c>
      <c r="C2604" s="1" t="str">
        <f t="shared" si="1287"/>
        <v>本科</v>
      </c>
      <c r="D2604" s="1" t="str">
        <f>"20230701"</f>
        <v>20230701</v>
      </c>
      <c r="E2604" s="1" t="str">
        <f>"信阳师范大学"</f>
        <v>信阳师范大学</v>
      </c>
      <c r="F2604" s="1" t="str">
        <f>"日语"</f>
        <v>日语</v>
      </c>
      <c r="G2604" s="1" t="str">
        <f>"河南省南阳市镇平县二龙乡"</f>
        <v>河南省南阳市镇平县二龙乡</v>
      </c>
      <c r="H2604" s="1" t="str">
        <f t="shared" si="1288"/>
        <v>无</v>
      </c>
      <c r="I2604" s="1" t="str">
        <f>"201909-202307于信阳师范大学外国语学院日语专业就读，全日制本科毕业。"</f>
        <v>201909-202307于信阳师范大学外国语学院日语专业就读，全日制本科毕业。</v>
      </c>
    </row>
    <row r="2605" spans="1:9">
      <c r="A2605" s="1" t="str">
        <f>"41138119920422451X"</f>
        <v>41138119920422451X</v>
      </c>
      <c r="B2605" s="1" t="str">
        <f t="shared" si="1289"/>
        <v>群众</v>
      </c>
      <c r="C2605" s="1" t="str">
        <f>"专科"</f>
        <v>专科</v>
      </c>
      <c r="D2605" s="1" t="str">
        <f>"20160701"</f>
        <v>20160701</v>
      </c>
      <c r="E2605" s="1" t="str">
        <f>"周口科技职业学院"</f>
        <v>周口科技职业学院</v>
      </c>
      <c r="F2605" s="1" t="str">
        <f>"机电一体化技术"</f>
        <v>机电一体化技术</v>
      </c>
      <c r="G2605" s="1" t="str">
        <f>"河南省邓州市张村镇贾桥村路家"</f>
        <v>河南省邓州市张村镇贾桥村路家</v>
      </c>
      <c r="H2605" s="1" t="str">
        <f t="shared" si="1288"/>
        <v>无</v>
      </c>
      <c r="I2605" s="1" t="str">
        <f>"201309-201607 周口科技职业学院就读  全日制
201608-202409  邓州市张村镇中通快递  个体
202409-202507   邓州市公安局张村派出所"</f>
        <v>201309-201607 周口科技职业学院就读  全日制
201608-202409  邓州市张村镇中通快递  个体
202409-202507   邓州市公安局张村派出所</v>
      </c>
    </row>
    <row r="2606" spans="1:9">
      <c r="A2606" s="1" t="str">
        <f>"411302200011240011"</f>
        <v>411302200011240011</v>
      </c>
      <c r="B2606" s="1" t="str">
        <f t="shared" si="1289"/>
        <v>群众</v>
      </c>
      <c r="C2606" s="1" t="str">
        <f>"专科"</f>
        <v>专科</v>
      </c>
      <c r="D2606" s="1" t="str">
        <f>"20210701"</f>
        <v>20210701</v>
      </c>
      <c r="E2606" s="1" t="str">
        <f>"郑州商贸旅游职业学院"</f>
        <v>郑州商贸旅游职业学院</v>
      </c>
      <c r="F2606" s="1" t="str">
        <f>"电子商务"</f>
        <v>电子商务</v>
      </c>
      <c r="G2606" s="1" t="str">
        <f>"河南省南阳市宛城区光武东路司法小区"</f>
        <v>河南省南阳市宛城区光武东路司法小区</v>
      </c>
      <c r="H2606" s="1" t="str">
        <f t="shared" si="1288"/>
        <v>无</v>
      </c>
      <c r="I2606" s="1" t="str">
        <f>"201809——202107 郑州商贸旅游职业学院就读 
"</f>
        <v>201809——202107 郑州商贸旅游职业学院就读 
</v>
      </c>
    </row>
    <row r="2607" spans="1:9">
      <c r="A2607" s="1" t="str">
        <f>"411327200301260077"</f>
        <v>411327200301260077</v>
      </c>
      <c r="B2607" s="1" t="str">
        <f>"共青团员"</f>
        <v>共青团员</v>
      </c>
      <c r="C2607" s="1" t="str">
        <f t="shared" ref="C2607:C2612" si="1290">"本科"</f>
        <v>本科</v>
      </c>
      <c r="D2607" s="1" t="str">
        <f>"20240614"</f>
        <v>20240614</v>
      </c>
      <c r="E2607" s="1" t="str">
        <f>"信阳农林学院"</f>
        <v>信阳农林学院</v>
      </c>
      <c r="F2607" s="1" t="str">
        <f>"财务管理"</f>
        <v>财务管理</v>
      </c>
      <c r="G2607" s="1" t="str">
        <f>"河南省南阳市内乡县城关镇郦都国际2期"</f>
        <v>河南省南阳市内乡县城关镇郦都国际2期</v>
      </c>
      <c r="H2607" s="1" t="str">
        <f>"初级会计专业技术资格"</f>
        <v>初级会计专业技术资格</v>
      </c>
      <c r="I2607" s="1" t="str">
        <f>"202009-202406 在信阳农林学院管理学院财务管理专业就读，是全日制学历。"</f>
        <v>202009-202406 在信阳农林学院管理学院财务管理专业就读，是全日制学历。</v>
      </c>
    </row>
    <row r="2608" spans="1:9">
      <c r="A2608" s="1" t="str">
        <f>"411327200206010352"</f>
        <v>411327200206010352</v>
      </c>
      <c r="B2608" s="1" t="str">
        <f t="shared" ref="B2608:B2611" si="1291">"群众"</f>
        <v>群众</v>
      </c>
      <c r="C2608" s="1" t="str">
        <f t="shared" si="1290"/>
        <v>本科</v>
      </c>
      <c r="D2608" s="1" t="str">
        <f>"20250612"</f>
        <v>20250612</v>
      </c>
      <c r="E2608" s="1" t="str">
        <f>"黄河科技学院"</f>
        <v>黄河科技学院</v>
      </c>
      <c r="F2608" s="1" t="str">
        <f>"工程造价"</f>
        <v>工程造价</v>
      </c>
      <c r="G2608" s="1" t="str">
        <f>"河南省南阳市内乡县大桥乡陡沟村"</f>
        <v>河南省南阳市内乡县大桥乡陡沟村</v>
      </c>
      <c r="H2608" s="1" t="str">
        <f>"不动产测绘员三级"</f>
        <v>不动产测绘员三级</v>
      </c>
      <c r="I2608" s="1" t="str">
        <f>"202109-202506黄河科技学院工程造价专业就读，全日制本科"</f>
        <v>202109-202506黄河科技学院工程造价专业就读，全日制本科</v>
      </c>
    </row>
    <row r="2609" spans="1:9">
      <c r="A2609" s="1" t="str">
        <f>"411327199410252548"</f>
        <v>411327199410252548</v>
      </c>
      <c r="B2609" s="1" t="str">
        <f t="shared" si="1291"/>
        <v>群众</v>
      </c>
      <c r="C2609" s="1" t="str">
        <f t="shared" si="1290"/>
        <v>本科</v>
      </c>
      <c r="D2609" s="1" t="str">
        <f>"20220701"</f>
        <v>20220701</v>
      </c>
      <c r="E2609" s="1" t="str">
        <f>"河南师范大学"</f>
        <v>河南师范大学</v>
      </c>
      <c r="F2609" s="1" t="str">
        <f>"小学教育"</f>
        <v>小学教育</v>
      </c>
      <c r="G2609" s="1" t="str">
        <f>"河南省南阳市内乡县王店镇马堂村"</f>
        <v>河南省南阳市内乡县王店镇马堂村</v>
      </c>
      <c r="H2609" s="1" t="str">
        <f>"化学检验工三级、小学教师资格"</f>
        <v>化学检验工三级、小学教师资格</v>
      </c>
      <c r="I2609" s="1" t="str">
        <f>"2013.09-2016.07漯河职业技术学院就读全日制
2020.03-2022.07河南师范大学 成人教育函授
2016.08-2019.03污水处理厂
2019.04-2025.07灌涨镇政府(购岗)"</f>
        <v>2013.09-2016.07漯河职业技术学院就读全日制
2020.03-2022.07河南师范大学 成人教育函授
2016.08-2019.03污水处理厂
2019.04-2025.07灌涨镇政府(购岗)</v>
      </c>
    </row>
    <row r="2610" spans="1:9">
      <c r="A2610" s="1" t="str">
        <f>"412723199812032940"</f>
        <v>412723199812032940</v>
      </c>
      <c r="B2610" s="1" t="str">
        <f t="shared" si="1291"/>
        <v>群众</v>
      </c>
      <c r="C2610" s="1" t="str">
        <f t="shared" si="1290"/>
        <v>本科</v>
      </c>
      <c r="D2610" s="1" t="str">
        <f>"20220701"</f>
        <v>20220701</v>
      </c>
      <c r="E2610" s="1" t="str">
        <f>"黄河科技学院"</f>
        <v>黄河科技学院</v>
      </c>
      <c r="F2610" s="1" t="str">
        <f>"学前教育"</f>
        <v>学前教育</v>
      </c>
      <c r="G2610" s="1" t="str">
        <f>"河南省邓州市师苑小区"</f>
        <v>河南省邓州市师苑小区</v>
      </c>
      <c r="H2610" s="1" t="str">
        <f t="shared" ref="H2610:H2619" si="1292">"无"</f>
        <v>无</v>
      </c>
      <c r="I2610" s="1" t="str">
        <f>"201709-202006郑州幼儿师范高等专科学校
202009-202206黄河科技学院
202207-202306南阳科技职业学院
202308-至今南阳市宛西中等专业学校"</f>
        <v>201709-202006郑州幼儿师范高等专科学校
202009-202206黄河科技学院
202207-202306南阳科技职业学院
202308-至今南阳市宛西中等专业学校</v>
      </c>
    </row>
    <row r="2611" spans="1:9">
      <c r="A2611" s="1" t="str">
        <f>"410901200011231161"</f>
        <v>410901200011231161</v>
      </c>
      <c r="B2611" s="1" t="str">
        <f t="shared" si="1291"/>
        <v>群众</v>
      </c>
      <c r="C2611" s="1" t="str">
        <f t="shared" si="1290"/>
        <v>本科</v>
      </c>
      <c r="D2611" s="1" t="str">
        <f>"20230701"</f>
        <v>20230701</v>
      </c>
      <c r="E2611" s="1" t="str">
        <f>"河南师范大学新联学院"</f>
        <v>河南师范大学新联学院</v>
      </c>
      <c r="F2611" s="1" t="str">
        <f>"财务会计教育"</f>
        <v>财务会计教育</v>
      </c>
      <c r="G2611" s="1" t="str">
        <f>"河南省濮阳市棕榈泉"</f>
        <v>河南省濮阳市棕榈泉</v>
      </c>
      <c r="H2611" s="1" t="str">
        <f t="shared" si="1292"/>
        <v>无</v>
      </c>
      <c r="I2611" s="1" t="str">
        <f>"201909-202307 河南师范大学新联学院 就读 全日制本科 财务会计教育"</f>
        <v>201909-202307 河南师范大学新联学院 就读 全日制本科 财务会计教育</v>
      </c>
    </row>
    <row r="2612" spans="1:9">
      <c r="A2612" s="1" t="str">
        <f>"411330200308081520"</f>
        <v>411330200308081520</v>
      </c>
      <c r="B2612" s="1" t="str">
        <f>"共青团员"</f>
        <v>共青团员</v>
      </c>
      <c r="C2612" s="1" t="str">
        <f t="shared" si="1290"/>
        <v>本科</v>
      </c>
      <c r="D2612" s="1" t="str">
        <f>"20250610"</f>
        <v>20250610</v>
      </c>
      <c r="E2612" s="1" t="str">
        <f>"安徽师范大学"</f>
        <v>安徽师范大学</v>
      </c>
      <c r="F2612" s="1" t="str">
        <f>"汉语国际教育"</f>
        <v>汉语国际教育</v>
      </c>
      <c r="G2612" s="1" t="str">
        <f>"河南省西峡县北二环皇都小区"</f>
        <v>河南省西峡县北二环皇都小区</v>
      </c>
      <c r="H2612" s="1" t="str">
        <f t="shared" si="1292"/>
        <v>无</v>
      </c>
      <c r="I2612" s="1" t="str">
        <f>"202109-202506 安徽师范大学文学院汉语国际教育专业就读，为全日制学历。"</f>
        <v>202109-202506 安徽师范大学文学院汉语国际教育专业就读，为全日制学历。</v>
      </c>
    </row>
    <row r="2613" spans="1:9">
      <c r="A2613" s="1" t="str">
        <f>"41132720041018494X"</f>
        <v>41132720041018494X</v>
      </c>
      <c r="B2613" s="1" t="str">
        <f t="shared" ref="B2613:B2620" si="1293">"群众"</f>
        <v>群众</v>
      </c>
      <c r="C2613" s="1" t="str">
        <f>"专科"</f>
        <v>专科</v>
      </c>
      <c r="D2613" s="1" t="str">
        <f>"20250620"</f>
        <v>20250620</v>
      </c>
      <c r="E2613" s="1" t="str">
        <f>"安阳幼儿师范高等专科学校"</f>
        <v>安阳幼儿师范高等专科学校</v>
      </c>
      <c r="F2613" s="1" t="str">
        <f>"学前教育专业"</f>
        <v>学前教育专业</v>
      </c>
      <c r="G2613" s="1" t="str">
        <f>"河南省南阳市内乡县金城加油站泰安小区"</f>
        <v>河南省南阳市内乡县金城加油站泰安小区</v>
      </c>
      <c r="H2613" s="1" t="str">
        <f t="shared" si="1292"/>
        <v>无</v>
      </c>
      <c r="I2613" s="1" t="str">
        <f>"202209-202506在安阳幼儿师范高等专科学校就读学前教育专业，是全日制学历"</f>
        <v>202209-202506在安阳幼儿师范高等专科学校就读学前教育专业，是全日制学历</v>
      </c>
    </row>
    <row r="2614" spans="1:9">
      <c r="A2614" s="1" t="str">
        <f>"411327199804061533"</f>
        <v>411327199804061533</v>
      </c>
      <c r="B2614" s="1" t="str">
        <f>"中共党员"</f>
        <v>中共党员</v>
      </c>
      <c r="C2614" s="1" t="str">
        <f t="shared" ref="C2614:C2623" si="1294">"本科"</f>
        <v>本科</v>
      </c>
      <c r="D2614" s="1" t="str">
        <f>"20200630"</f>
        <v>20200630</v>
      </c>
      <c r="E2614" s="1" t="str">
        <f>"北华大学"</f>
        <v>北华大学</v>
      </c>
      <c r="F2614" s="1" t="str">
        <f>"车辆工程"</f>
        <v>车辆工程</v>
      </c>
      <c r="G2614" s="1" t="str">
        <f>"河南省南阳市内乡县湍东镇庞营村崔岗"</f>
        <v>河南省南阳市内乡县湍东镇庞营村崔岗</v>
      </c>
      <c r="H2614" s="1" t="str">
        <f t="shared" si="1292"/>
        <v>无</v>
      </c>
      <c r="I2614" s="1" t="str">
        <f>"201609-202006北华大学汽车与建筑工程学院车辆工程全日制本科
202007-202210待业
202211-202501牧原
202501-至今待业"</f>
        <v>201609-202006北华大学汽车与建筑工程学院车辆工程全日制本科
202007-202210待业
202211-202501牧原
202501-至今待业</v>
      </c>
    </row>
    <row r="2615" spans="1:9">
      <c r="A2615" s="1" t="str">
        <f>"411324199712010027"</f>
        <v>411324199712010027</v>
      </c>
      <c r="B2615" s="1" t="str">
        <f t="shared" si="1293"/>
        <v>群众</v>
      </c>
      <c r="C2615" s="1" t="str">
        <f t="shared" si="1294"/>
        <v>本科</v>
      </c>
      <c r="D2615" s="1" t="str">
        <f>"20230701"</f>
        <v>20230701</v>
      </c>
      <c r="E2615" s="1" t="str">
        <f>"信阳师范大学"</f>
        <v>信阳师范大学</v>
      </c>
      <c r="F2615" s="1" t="str">
        <f>"工程管理专业"</f>
        <v>工程管理专业</v>
      </c>
      <c r="G2615" s="1" t="str">
        <f>"河南省南阳市镇平县"</f>
        <v>河南省南阳市镇平县</v>
      </c>
      <c r="H2615" s="1" t="str">
        <f t="shared" si="1292"/>
        <v>无</v>
      </c>
      <c r="I2615" s="1" t="str">
        <f>"201909-202307 信阳师范大学建筑与土木工程学院工程管理专业 就读
202307至今 在家待业"</f>
        <v>201909-202307 信阳师范大学建筑与土木工程学院工程管理专业 就读
202307至今 在家待业</v>
      </c>
    </row>
    <row r="2616" spans="1:9">
      <c r="A2616" s="1" t="str">
        <f>"411325199601062525"</f>
        <v>411325199601062525</v>
      </c>
      <c r="B2616" s="1" t="str">
        <f t="shared" si="1293"/>
        <v>群众</v>
      </c>
      <c r="C2616" s="1" t="str">
        <f t="shared" si="1294"/>
        <v>本科</v>
      </c>
      <c r="D2616" s="1" t="str">
        <f>"20180701"</f>
        <v>20180701</v>
      </c>
      <c r="E2616" s="1" t="str">
        <f>"郑州轻工业学院"</f>
        <v>郑州轻工业学院</v>
      </c>
      <c r="F2616" s="1" t="str">
        <f>"软件工程（会计）"</f>
        <v>软件工程（会计）</v>
      </c>
      <c r="G2616" s="1" t="str">
        <f>"河南省南阳市常绿林溪谷"</f>
        <v>河南省南阳市常绿林溪谷</v>
      </c>
      <c r="H2616" s="1" t="str">
        <f t="shared" si="1292"/>
        <v>无</v>
      </c>
      <c r="I2616" s="1" t="str">
        <f>"201409-201806 郑州轻工业学院 软件学院 软件工程（会计） 全日制就读
201806-202004 南阳 待业
202004-202206 牧原食品股份有限公司 职员
202206-202210 南阳 待业
202210-至今 南阳市城乡一体化示范区人力资源服务有限公司 职员
"</f>
        <v>201409-201806 郑州轻工业学院 软件学院 软件工程（会计） 全日制就读
201806-202004 南阳 待业
202004-202206 牧原食品股份有限公司 职员
202206-202210 南阳 待业
202210-至今 南阳市城乡一体化示范区人力资源服务有限公司 职员
</v>
      </c>
    </row>
    <row r="2617" spans="1:9">
      <c r="A2617" s="1" t="str">
        <f>"411324199706123244"</f>
        <v>411324199706123244</v>
      </c>
      <c r="B2617" s="1" t="str">
        <f t="shared" si="1293"/>
        <v>群众</v>
      </c>
      <c r="C2617" s="1" t="str">
        <f t="shared" si="1294"/>
        <v>本科</v>
      </c>
      <c r="D2617" s="1" t="str">
        <f>"20220701"</f>
        <v>20220701</v>
      </c>
      <c r="E2617" s="1" t="str">
        <f>"南阳理工学院"</f>
        <v>南阳理工学院</v>
      </c>
      <c r="F2617" s="1" t="str">
        <f>"小学教育"</f>
        <v>小学教育</v>
      </c>
      <c r="G2617" s="1" t="str">
        <f>"河南省南阳市镇平县"</f>
        <v>河南省南阳市镇平县</v>
      </c>
      <c r="H2617" s="1" t="str">
        <f t="shared" si="1292"/>
        <v>无</v>
      </c>
      <c r="I2617" s="1" t="str">
        <f>"201603-201807 在河南师范大学 会计就读（函授大专）
201807-202311镇平县待业
202003-202207 在南阳理工学院 小学教育就读（函授本科）
202312-至今   濮阳市清丰县瓦屋头镇人民政府    职员
"</f>
        <v>201603-201807 在河南师范大学 会计就读（函授大专）
201807-202311镇平县待业
202003-202207 在南阳理工学院 小学教育就读（函授本科）
202312-至今   濮阳市清丰县瓦屋头镇人民政府    职员
</v>
      </c>
    </row>
    <row r="2618" spans="1:9">
      <c r="A2618" s="1" t="str">
        <f>"411330199403172038"</f>
        <v>411330199403172038</v>
      </c>
      <c r="B2618" s="1" t="str">
        <f t="shared" si="1293"/>
        <v>群众</v>
      </c>
      <c r="C2618" s="1" t="str">
        <f t="shared" si="1294"/>
        <v>本科</v>
      </c>
      <c r="D2618" s="1" t="str">
        <f>"20170607"</f>
        <v>20170607</v>
      </c>
      <c r="E2618" s="1" t="str">
        <f>"西南科技大学"</f>
        <v>西南科技大学</v>
      </c>
      <c r="F2618" s="1" t="str">
        <f>"材料科学与工程"</f>
        <v>材料科学与工程</v>
      </c>
      <c r="G2618" s="1" t="str">
        <f>"河南省南阳市西峡县五里桥镇曹岗村老庄组"</f>
        <v>河南省南阳市西峡县五里桥镇曹岗村老庄组</v>
      </c>
      <c r="H2618" s="1" t="str">
        <f t="shared" si="1292"/>
        <v>无</v>
      </c>
      <c r="I2618" s="1" t="str">
        <f>"201309-201706无四川省绵阳市西南科技大学材料科学与工程学院就读，全日制本科学历
201709-201811就职于郑州高聚粉体科技有限公司研发员
201811-202503就职于宁波汉盛精密机械有限公司，担任工厂主管，于2025年3月底回西峡"</f>
        <v>201309-201706无四川省绵阳市西南科技大学材料科学与工程学院就读，全日制本科学历
201709-201811就职于郑州高聚粉体科技有限公司研发员
201811-202503就职于宁波汉盛精密机械有限公司，担任工厂主管，于2025年3月底回西峡</v>
      </c>
    </row>
    <row r="2619" ht="189" spans="1:9">
      <c r="A2619" s="1" t="str">
        <f>"411303199011023739"</f>
        <v>411303199011023739</v>
      </c>
      <c r="B2619" s="1" t="str">
        <f t="shared" si="1293"/>
        <v>群众</v>
      </c>
      <c r="C2619" s="1" t="str">
        <f t="shared" si="1294"/>
        <v>本科</v>
      </c>
      <c r="D2619" s="1" t="str">
        <f>"20240701"</f>
        <v>20240701</v>
      </c>
      <c r="E2619" s="1" t="str">
        <f>"河南财经政法大学"</f>
        <v>河南财经政法大学</v>
      </c>
      <c r="F2619" s="1" t="str">
        <f>"会计学"</f>
        <v>会计学</v>
      </c>
      <c r="G2619" s="1" t="str">
        <f>"河南省南阳市卧龙区潦河坡镇崔坊村崔一028"</f>
        <v>河南省南阳市卧龙区潦河坡镇崔坊村崔一028</v>
      </c>
      <c r="H2619" s="1" t="str">
        <f t="shared" si="1292"/>
        <v>无</v>
      </c>
      <c r="I2619" s="3" t="s">
        <v>254</v>
      </c>
    </row>
    <row r="2620" spans="1:9">
      <c r="A2620" s="1" t="str">
        <f>"142729199402164222"</f>
        <v>142729199402164222</v>
      </c>
      <c r="B2620" s="1" t="str">
        <f t="shared" si="1293"/>
        <v>群众</v>
      </c>
      <c r="C2620" s="1" t="str">
        <f t="shared" si="1294"/>
        <v>本科</v>
      </c>
      <c r="D2620" s="1" t="str">
        <f>"20230720"</f>
        <v>20230720</v>
      </c>
      <c r="E2620" s="1" t="str">
        <f>"国家开放大学"</f>
        <v>国家开放大学</v>
      </c>
      <c r="F2620" s="1" t="str">
        <f>"会计学"</f>
        <v>会计学</v>
      </c>
      <c r="G2620" s="1" t="str">
        <f>"山西省运城是闻喜县姚村"</f>
        <v>山西省运城是闻喜县姚村</v>
      </c>
      <c r="H2620" s="1" t="str">
        <f>"会计初级、中级证书"</f>
        <v>会计初级、中级证书</v>
      </c>
      <c r="I2620" s="1" t="str">
        <f>"200809-201107  闻喜电子计算机职业学校
201109-201607  中央广播电视大学 行政管理专业 非全日制
201609-201910  打印部 行政工作
201911-202103 会计服务中心 会计工作
202104-202403  闻喜县公安局法制大队 内勤工作
202404-至今        待业"</f>
        <v>200809-201107  闻喜电子计算机职业学校
201109-201607  中央广播电视大学 行政管理专业 非全日制
201609-201910  打印部 行政工作
201911-202103 会计服务中心 会计工作
202104-202403  闻喜县公安局法制大队 内勤工作
202404-至今        待业</v>
      </c>
    </row>
    <row r="2621" spans="1:9">
      <c r="A2621" s="1" t="str">
        <f>"411327200508184227"</f>
        <v>411327200508184227</v>
      </c>
      <c r="B2621" s="1" t="str">
        <f t="shared" ref="B2621:B2626" si="1295">"共青团员"</f>
        <v>共青团员</v>
      </c>
      <c r="C2621" s="1" t="str">
        <f t="shared" si="1294"/>
        <v>本科</v>
      </c>
      <c r="D2621" s="1" t="str">
        <f>"20250725"</f>
        <v>20250725</v>
      </c>
      <c r="E2621" s="1" t="str">
        <f>"郑州西亚斯学院"</f>
        <v>郑州西亚斯学院</v>
      </c>
      <c r="F2621" s="1" t="str">
        <f>"护理学（中外合作办学）"</f>
        <v>护理学（中外合作办学）</v>
      </c>
      <c r="G2621" s="1" t="str">
        <f>"河南省南阳市内乡县安泰荣盛公馆一单元五楼"</f>
        <v>河南省南阳市内乡县安泰荣盛公馆一单元五楼</v>
      </c>
      <c r="H2621" s="1" t="str">
        <f>"护士资格证护士"</f>
        <v>护士资格证护士</v>
      </c>
      <c r="I2621" s="1" t="str">
        <f>"202109-202507 郑州西亚斯学院就读护理专业，全日制本科学历，获得护士资格证并通过大学英语四级考试。"</f>
        <v>202109-202507 郑州西亚斯学院就读护理专业，全日制本科学历，获得护士资格证并通过大学英语四级考试。</v>
      </c>
    </row>
    <row r="2622" spans="1:9">
      <c r="A2622" s="1" t="str">
        <f>"411327199701093743"</f>
        <v>411327199701093743</v>
      </c>
      <c r="B2622" s="1" t="str">
        <f>"中共党员"</f>
        <v>中共党员</v>
      </c>
      <c r="C2622" s="1" t="str">
        <f t="shared" si="1294"/>
        <v>本科</v>
      </c>
      <c r="D2622" s="1" t="str">
        <f>"20200701"</f>
        <v>20200701</v>
      </c>
      <c r="E2622" s="1" t="str">
        <f>"南阳师范学院"</f>
        <v>南阳师范学院</v>
      </c>
      <c r="F2622" s="1" t="str">
        <f>"播音与主持艺术"</f>
        <v>播音与主持艺术</v>
      </c>
      <c r="G2622" s="1" t="str">
        <f>"河南省内乡县新县医院斜对面"</f>
        <v>河南省内乡县新县医院斜对面</v>
      </c>
      <c r="H2622" s="1" t="str">
        <f t="shared" ref="H2622:H2625" si="1296">"无"</f>
        <v>无</v>
      </c>
      <c r="I2622" s="1" t="str">
        <f>"201509-201806 河南艺术职业学院传媒学院主持与播音专业就读（全日制）；201809-202007南阳师范学院新闻与传播学院播音与主持艺术专业就读（全日制）；202008-202311内乡嘉言妙语少儿口才就职；202312至今 内乡县人民检察院就职。"</f>
        <v>201509-201806 河南艺术职业学院传媒学院主持与播音专业就读（全日制）；201809-202007南阳师范学院新闻与传播学院播音与主持艺术专业就读（全日制）；202008-202311内乡嘉言妙语少儿口才就职；202312至今 内乡县人民检察院就职。</v>
      </c>
    </row>
    <row r="2623" spans="1:9">
      <c r="A2623" s="1" t="str">
        <f>"41130319920727103X"</f>
        <v>41130319920727103X</v>
      </c>
      <c r="B2623" s="1" t="str">
        <f t="shared" ref="B2623:B2627" si="1297">"群众"</f>
        <v>群众</v>
      </c>
      <c r="C2623" s="1" t="str">
        <f t="shared" si="1294"/>
        <v>本科</v>
      </c>
      <c r="D2623" s="1" t="str">
        <f>"20160701"</f>
        <v>20160701</v>
      </c>
      <c r="E2623" s="1" t="str">
        <f>"海口经济学院"</f>
        <v>海口经济学院</v>
      </c>
      <c r="F2623" s="1" t="str">
        <f>"旅游管理"</f>
        <v>旅游管理</v>
      </c>
      <c r="G2623" s="1" t="str">
        <f>"南阳市宛城区范蠡路都市春天小区8栋"</f>
        <v>南阳市宛城区范蠡路都市春天小区8栋</v>
      </c>
      <c r="H2623" s="1" t="str">
        <f t="shared" si="1296"/>
        <v>无</v>
      </c>
      <c r="I2623" s="1" t="str">
        <f>"201109-201406 海南热带海洋学院（全日制专科） 就读
201409-201606 海口经济学院（全日制本科） 就读
201607-201806 个体经营
201806-至今 北京中公教育科技公司南阳分公司"</f>
        <v>201109-201406 海南热带海洋学院（全日制专科） 就读
201409-201606 海口经济学院（全日制本科） 就读
201607-201806 个体经营
201806-至今 北京中公教育科技公司南阳分公司</v>
      </c>
    </row>
    <row r="2624" spans="1:9">
      <c r="A2624" s="1" t="str">
        <f>"411302199011264229"</f>
        <v>411302199011264229</v>
      </c>
      <c r="B2624" s="1" t="str">
        <f t="shared" si="1297"/>
        <v>群众</v>
      </c>
      <c r="C2624" s="1" t="str">
        <f>"专科"</f>
        <v>专科</v>
      </c>
      <c r="D2624" s="1" t="str">
        <f>"20230630"</f>
        <v>20230630</v>
      </c>
      <c r="E2624" s="1" t="str">
        <f>"南阳农业职业学院"</f>
        <v>南阳农业职业学院</v>
      </c>
      <c r="F2624" s="1" t="str">
        <f>"幼儿发展与健康管理"</f>
        <v>幼儿发展与健康管理</v>
      </c>
      <c r="G2624" s="1" t="str">
        <f>"河南省南阳市宛城区"</f>
        <v>河南省南阳市宛城区</v>
      </c>
      <c r="H2624" s="1" t="str">
        <f t="shared" si="1296"/>
        <v>无</v>
      </c>
      <c r="I2624" s="1" t="str">
        <f>"202010—202306南阳农业职业学校就读，全日制学历。"</f>
        <v>202010—202306南阳农业职业学校就读，全日制学历。</v>
      </c>
    </row>
    <row r="2625" spans="1:9">
      <c r="A2625" s="1" t="str">
        <f>"411327200309131544"</f>
        <v>411327200309131544</v>
      </c>
      <c r="B2625" s="1" t="str">
        <f t="shared" si="1295"/>
        <v>共青团员</v>
      </c>
      <c r="C2625" s="1" t="str">
        <f t="shared" ref="C2625:C2631" si="1298">"本科"</f>
        <v>本科</v>
      </c>
      <c r="D2625" s="1" t="str">
        <f>"20250630"</f>
        <v>20250630</v>
      </c>
      <c r="E2625" s="1" t="str">
        <f>"长春师范大学"</f>
        <v>长春师范大学</v>
      </c>
      <c r="F2625" s="1" t="str">
        <f>"人工智能"</f>
        <v>人工智能</v>
      </c>
      <c r="G2625" s="1" t="str">
        <f>"河南省南阳市内乡县梨园山庄香樟园"</f>
        <v>河南省南阳市内乡县梨园山庄香樟园</v>
      </c>
      <c r="H2625" s="1" t="str">
        <f t="shared" si="1296"/>
        <v>无</v>
      </c>
      <c r="I2625" s="1" t="str">
        <f>"200909-201506内乡县湍东镇东王沟小学
201509-201806内乡县初级中学
201809-202106内乡县高级中学
202106-202506长春师范大学计算机科学与技术学院人工智能专业"</f>
        <v>200909-201506内乡县湍东镇东王沟小学
201509-201806内乡县初级中学
201809-202106内乡县高级中学
202106-202506长春师范大学计算机科学与技术学院人工智能专业</v>
      </c>
    </row>
    <row r="2626" spans="1:9">
      <c r="A2626" s="1" t="str">
        <f>"411330200201013122"</f>
        <v>411330200201013122</v>
      </c>
      <c r="B2626" s="1" t="str">
        <f t="shared" si="1295"/>
        <v>共青团员</v>
      </c>
      <c r="C2626" s="1" t="str">
        <f t="shared" si="1298"/>
        <v>本科</v>
      </c>
      <c r="D2626" s="1" t="str">
        <f>"2024.06"</f>
        <v>2024.06</v>
      </c>
      <c r="E2626" s="1" t="str">
        <f>"信阳农林学院"</f>
        <v>信阳农林学院</v>
      </c>
      <c r="F2626" s="1" t="str">
        <f>"旅游管理"</f>
        <v>旅游管理</v>
      </c>
      <c r="G2626" s="1" t="str">
        <f>"河南省南阳市西峡县莲花街道天缘新区"</f>
        <v>河南省南阳市西峡县莲花街道天缘新区</v>
      </c>
      <c r="H2626" s="1" t="str">
        <f>"三级讲解员证书"</f>
        <v>三级讲解员证书</v>
      </c>
      <c r="I2626" s="1" t="str">
        <f>"202009-202406信阳农林学院旅游学院旅游管理专业就读，是全日制学历"</f>
        <v>202009-202406信阳农林学院旅游学院旅游管理专业就读，是全日制学历</v>
      </c>
    </row>
    <row r="2627" spans="1:9">
      <c r="A2627" s="1" t="str">
        <f>"411424199412224504"</f>
        <v>411424199412224504</v>
      </c>
      <c r="B2627" s="1" t="str">
        <f t="shared" si="1297"/>
        <v>群众</v>
      </c>
      <c r="C2627" s="1" t="str">
        <f>"专科"</f>
        <v>专科</v>
      </c>
      <c r="D2627" s="1" t="str">
        <f>"20230110"</f>
        <v>20230110</v>
      </c>
      <c r="E2627" s="1" t="str">
        <f>"广东开放大学"</f>
        <v>广东开放大学</v>
      </c>
      <c r="F2627" s="1" t="str">
        <f>"会计"</f>
        <v>会计</v>
      </c>
      <c r="G2627" s="1" t="str">
        <f>"河南省柘城县慈圣镇君臣村"</f>
        <v>河南省柘城县慈圣镇君臣村</v>
      </c>
      <c r="H2627" s="1" t="str">
        <f t="shared" ref="H2627:H2644" si="1299">"无"</f>
        <v>无</v>
      </c>
      <c r="I2627" s="1" t="str">
        <f>"20200930-20230110在广东开放大学江门开放大学分院会计专业就读，全日制学历：否"</f>
        <v>20200930-20230110在广东开放大学江门开放大学分院会计专业就读，全日制学历：否</v>
      </c>
    </row>
    <row r="2628" spans="1:9">
      <c r="A2628" s="1" t="str">
        <f>"41132520030407252X"</f>
        <v>41132520030407252X</v>
      </c>
      <c r="B2628" s="1" t="str">
        <f t="shared" ref="B2628:B2633" si="1300">"共青团员"</f>
        <v>共青团员</v>
      </c>
      <c r="C2628" s="1" t="str">
        <f t="shared" si="1298"/>
        <v>本科</v>
      </c>
      <c r="D2628" s="1" t="str">
        <f>"20250701"</f>
        <v>20250701</v>
      </c>
      <c r="E2628" s="1" t="str">
        <f>"郑州商学院"</f>
        <v>郑州商学院</v>
      </c>
      <c r="F2628" s="1" t="str">
        <f>"英语"</f>
        <v>英语</v>
      </c>
      <c r="G2628" s="1" t="str">
        <f>"河南省南阳市内乡县王店镇显圣庙村仓房100号"</f>
        <v>河南省南阳市内乡县王店镇显圣庙村仓房100号</v>
      </c>
      <c r="H2628" s="1" t="str">
        <f t="shared" si="1299"/>
        <v>无</v>
      </c>
      <c r="I2628" s="1" t="str">
        <f>"202109-202507 郑州商学院英语专业 就读 全日制学历"</f>
        <v>202109-202507 郑州商学院英语专业 就读 全日制学历</v>
      </c>
    </row>
    <row r="2629" spans="1:9">
      <c r="A2629" s="1" t="str">
        <f>"411302199205095726"</f>
        <v>411302199205095726</v>
      </c>
      <c r="B2629" s="1" t="str">
        <f>"中共党员"</f>
        <v>中共党员</v>
      </c>
      <c r="C2629" s="1" t="str">
        <f t="shared" si="1298"/>
        <v>本科</v>
      </c>
      <c r="D2629" s="1" t="str">
        <f>"2021.7"</f>
        <v>2021.7</v>
      </c>
      <c r="E2629" s="1" t="str">
        <f>"南阳市理工学院"</f>
        <v>南阳市理工学院</v>
      </c>
      <c r="F2629" s="1" t="str">
        <f>"工商管理"</f>
        <v>工商管理</v>
      </c>
      <c r="G2629" s="1" t="str">
        <f>"南阳市宛城区新店乡下王庄村15组369号"</f>
        <v>南阳市宛城区新店乡下王庄村15组369号</v>
      </c>
      <c r="H2629" s="1" t="str">
        <f t="shared" si="1299"/>
        <v>无</v>
      </c>
      <c r="I2629" s="1" t="str">
        <f>"2008.9-2011.7	南阳市第八高级中学		高中		
2011.9-2014.7	郑州科技学院	通信技术	全日制专科
2014.8-至今 新店乡政府 工作
2018.7-2021.7	南阳市理工学院	工商管理	函授本科		       
"</f>
        <v>2008.9-2011.7	南阳市第八高级中学		高中		
2011.9-2014.7	郑州科技学院	通信技术	全日制专科
2014.8-至今 新店乡政府 工作
2018.7-2021.7	南阳市理工学院	工商管理	函授本科		       
</v>
      </c>
    </row>
    <row r="2630" spans="1:9">
      <c r="A2630" s="1" t="str">
        <f>"410324200308110020"</f>
        <v>410324200308110020</v>
      </c>
      <c r="B2630" s="1" t="str">
        <f t="shared" si="1300"/>
        <v>共青团员</v>
      </c>
      <c r="C2630" s="1" t="str">
        <f t="shared" si="1298"/>
        <v>本科</v>
      </c>
      <c r="D2630" s="1" t="str">
        <f>"20250701"</f>
        <v>20250701</v>
      </c>
      <c r="E2630" s="1" t="str">
        <f>"河南牧业经济学院"</f>
        <v>河南牧业经济学院</v>
      </c>
      <c r="F2630" s="1" t="str">
        <f>"会计学（ACCA方向）"</f>
        <v>会计学（ACCA方向）</v>
      </c>
      <c r="G2630" s="1" t="str">
        <f>"1938600891@qq.com"</f>
        <v>1938600891@qq.com</v>
      </c>
      <c r="H2630" s="1" t="str">
        <f t="shared" si="1299"/>
        <v>无</v>
      </c>
      <c r="I2630" s="1" t="str">
        <f>"202109-202507河南牧业经济学院就读，为全日制本科学历。"</f>
        <v>202109-202507河南牧业经济学院就读，为全日制本科学历。</v>
      </c>
    </row>
    <row r="2631" spans="1:9">
      <c r="A2631" s="1" t="str">
        <f>"410326200101250010"</f>
        <v>410326200101250010</v>
      </c>
      <c r="B2631" s="1" t="str">
        <f t="shared" si="1300"/>
        <v>共青团员</v>
      </c>
      <c r="C2631" s="1" t="str">
        <f t="shared" si="1298"/>
        <v>本科</v>
      </c>
      <c r="D2631" s="1" t="str">
        <f>"20240601"</f>
        <v>20240601</v>
      </c>
      <c r="E2631" s="1" t="str">
        <f>"安阳工学院"</f>
        <v>安阳工学院</v>
      </c>
      <c r="F2631" s="1" t="str">
        <f>"城乡规划"</f>
        <v>城乡规划</v>
      </c>
      <c r="G2631" s="1" t="str">
        <f>"河南省洛阳市汝阳县城关镇城建花园"</f>
        <v>河南省洛阳市汝阳县城关镇城建花园</v>
      </c>
      <c r="H2631" s="1" t="str">
        <f t="shared" si="1299"/>
        <v>无</v>
      </c>
      <c r="I2631" s="1" t="str">
        <f>"201909-202406在安阳工学院国际教育学院城乡规划专业就读，是全日制学历。"</f>
        <v>201909-202406在安阳工学院国际教育学院城乡规划专业就读，是全日制学历。</v>
      </c>
    </row>
    <row r="2632" spans="1:9">
      <c r="A2632" s="1" t="str">
        <f>"411324200003050072"</f>
        <v>411324200003050072</v>
      </c>
      <c r="B2632" s="1" t="str">
        <f t="shared" si="1300"/>
        <v>共青团员</v>
      </c>
      <c r="C2632" s="1" t="str">
        <f t="shared" ref="C2632:C2634" si="1301">"专科"</f>
        <v>专科</v>
      </c>
      <c r="D2632" s="1" t="str">
        <f>"20220701"</f>
        <v>20220701</v>
      </c>
      <c r="E2632" s="1" t="str">
        <f>"河南司法警官职业学院"</f>
        <v>河南司法警官职业学院</v>
      </c>
      <c r="F2632" s="1" t="str">
        <f>"司法警务"</f>
        <v>司法警务</v>
      </c>
      <c r="G2632" s="1" t="str">
        <f>"南阳市镇平县财富世家"</f>
        <v>南阳市镇平县财富世家</v>
      </c>
      <c r="H2632" s="1" t="str">
        <f t="shared" si="1299"/>
        <v>无</v>
      </c>
      <c r="I2632" s="1" t="str">
        <f>"201909-202207 河南司法警官职业学院 警察学系 司法警务就读
202207-202209 在家待业
202209-202409 中国人民解放军93169部队
202409-至今 在家待业"</f>
        <v>201909-202207 河南司法警官职业学院 警察学系 司法警务就读
202207-202209 在家待业
202209-202409 中国人民解放军93169部队
202409-至今 在家待业</v>
      </c>
    </row>
    <row r="2633" spans="1:9">
      <c r="A2633" s="1" t="str">
        <f>"411327200102160030"</f>
        <v>411327200102160030</v>
      </c>
      <c r="B2633" s="1" t="str">
        <f t="shared" si="1300"/>
        <v>共青团员</v>
      </c>
      <c r="C2633" s="1" t="str">
        <f t="shared" si="1301"/>
        <v>专科</v>
      </c>
      <c r="D2633" s="1" t="str">
        <f>"20220701"</f>
        <v>20220701</v>
      </c>
      <c r="E2633" s="1" t="str">
        <f>"郑州科技学院"</f>
        <v>郑州科技学院</v>
      </c>
      <c r="F2633" s="1" t="str">
        <f>"旅游管理"</f>
        <v>旅游管理</v>
      </c>
      <c r="G2633" s="1" t="str">
        <f>"河南省南阳市内乡县"</f>
        <v>河南省南阳市内乡县</v>
      </c>
      <c r="H2633" s="1" t="str">
        <f t="shared" si="1299"/>
        <v>无</v>
      </c>
      <c r="I2633" s="1" t="str">
        <f>"201909-202207郑州科技学院旅游管理专科  全日制"</f>
        <v>201909-202207郑州科技学院旅游管理专科  全日制</v>
      </c>
    </row>
    <row r="2634" spans="1:9">
      <c r="A2634" s="1" t="str">
        <f>"411327200009010054"</f>
        <v>411327200009010054</v>
      </c>
      <c r="B2634" s="1" t="str">
        <f t="shared" ref="B2634:B2639" si="1302">"群众"</f>
        <v>群众</v>
      </c>
      <c r="C2634" s="1" t="str">
        <f t="shared" si="1301"/>
        <v>专科</v>
      </c>
      <c r="D2634" s="1" t="str">
        <f>"2021-07-01"</f>
        <v>2021-07-01</v>
      </c>
      <c r="E2634" s="1" t="str">
        <f>"新乡医学院三全学院"</f>
        <v>新乡医学院三全学院</v>
      </c>
      <c r="F2634" s="1" t="str">
        <f>"医学检验技术"</f>
        <v>医学检验技术</v>
      </c>
      <c r="G2634" s="1" t="str">
        <f>"河南省内乡县城关镇渚阳大街163"</f>
        <v>河南省内乡县城关镇渚阳大街163</v>
      </c>
      <c r="H2634" s="1" t="str">
        <f t="shared" si="1299"/>
        <v>无</v>
      </c>
      <c r="I2634" s="1" t="str">
        <f>"2006.09—2012.06 南阳市宛城区第九小学 学生
2012.09—2015.06 南阳市二十二中学 学生
2015.09—2018.06 南阳市内乡县高级中学 学生
2018.09—2021.06 新乡医学院三全学院 学生
2021.07—2022.02 待业
2022.03—至今 内乡县第二人民医院 职员"</f>
        <v>2006.09—2012.06 南阳市宛城区第九小学 学生
2012.09—2015.06 南阳市二十二中学 学生
2015.09—2018.06 南阳市内乡县高级中学 学生
2018.09—2021.06 新乡医学院三全学院 学生
2021.07—2022.02 待业
2022.03—至今 内乡县第二人民医院 职员</v>
      </c>
    </row>
    <row r="2635" spans="1:9">
      <c r="A2635" s="1" t="str">
        <f>"411327199904040043"</f>
        <v>411327199904040043</v>
      </c>
      <c r="B2635" s="1" t="str">
        <f>"中共党员"</f>
        <v>中共党员</v>
      </c>
      <c r="C2635" s="1" t="str">
        <f>"硕士研究生"</f>
        <v>硕士研究生</v>
      </c>
      <c r="D2635" s="1" t="str">
        <f>"2025-06-30"</f>
        <v>2025-06-30</v>
      </c>
      <c r="E2635" s="1" t="str">
        <f>"武汉轻工大学"</f>
        <v>武汉轻工大学</v>
      </c>
      <c r="F2635" s="1" t="str">
        <f>"艺术设计"</f>
        <v>艺术设计</v>
      </c>
      <c r="G2635" s="1" t="str">
        <f>"河南省南阳市内乡县金河家园"</f>
        <v>河南省南阳市内乡县金河家园</v>
      </c>
      <c r="H2635" s="1" t="str">
        <f t="shared" si="1299"/>
        <v>无</v>
      </c>
      <c r="I2635" s="1" t="str">
        <f>"201509-201806内乡县第一高级中学
201809-202206武汉轻工大学视觉传达设计全日制
202209-202506武汉轻工大学艺术设计全日制"</f>
        <v>201509-201806内乡县第一高级中学
201809-202206武汉轻工大学视觉传达设计全日制
202209-202506武汉轻工大学艺术设计全日制</v>
      </c>
    </row>
    <row r="2636" spans="1:9">
      <c r="A2636" s="1" t="str">
        <f>"41032919991026001X"</f>
        <v>41032919991026001X</v>
      </c>
      <c r="B2636" s="1" t="str">
        <f>"共青团员"</f>
        <v>共青团员</v>
      </c>
      <c r="C2636" s="1" t="str">
        <f t="shared" ref="C2636:C2640" si="1303">"本科"</f>
        <v>本科</v>
      </c>
      <c r="D2636" s="1" t="str">
        <f>"20220601"</f>
        <v>20220601</v>
      </c>
      <c r="E2636" s="1" t="str">
        <f>"河南大学"</f>
        <v>河南大学</v>
      </c>
      <c r="F2636" s="1" t="str">
        <f>"土木工程"</f>
        <v>土木工程</v>
      </c>
      <c r="G2636" s="1" t="str">
        <f>"河南省洛阳市伊川县城关镇诚信东街金瑞龙城"</f>
        <v>河南省洛阳市伊川县城关镇诚信东街金瑞龙城</v>
      </c>
      <c r="H2636" s="1" t="str">
        <f t="shared" si="1299"/>
        <v>无</v>
      </c>
      <c r="I2636" s="1" t="str">
        <f>"201809-202206河南大学就读，全日制学历
202206-202305实习
202305-202505河南洛阳中色科技就业"</f>
        <v>201809-202206河南大学就读，全日制学历
202206-202305实习
202305-202505河南洛阳中色科技就业</v>
      </c>
    </row>
    <row r="2637" spans="1:9">
      <c r="A2637" s="1" t="str">
        <f>"411325199710250058"</f>
        <v>411325199710250058</v>
      </c>
      <c r="B2637" s="1" t="str">
        <f t="shared" si="1302"/>
        <v>群众</v>
      </c>
      <c r="C2637" s="1" t="str">
        <f t="shared" ref="C2637:C2642" si="1304">"专科"</f>
        <v>专科</v>
      </c>
      <c r="D2637" s="1" t="str">
        <f>"2018.07"</f>
        <v>2018.07</v>
      </c>
      <c r="E2637" s="1" t="str">
        <f>"郑州大学西亚斯国际学院"</f>
        <v>郑州大学西亚斯国际学院</v>
      </c>
      <c r="F2637" s="1" t="str">
        <f>"金融管理与实务"</f>
        <v>金融管理与实务</v>
      </c>
      <c r="G2637" s="1" t="str">
        <f>"河南省内乡县韩井巷122号"</f>
        <v>河南省内乡县韩井巷122号</v>
      </c>
      <c r="H2637" s="1" t="str">
        <f t="shared" si="1299"/>
        <v>无</v>
      </c>
      <c r="I2637" s="1" t="str">
        <f>"201509-201807郑州大学西亚斯国际学院就读  金融管理与实务  全日制
201811-至今  河南省英嘉电梯工程有限公司工作"</f>
        <v>201509-201807郑州大学西亚斯国际学院就读  金融管理与实务  全日制
201811-至今  河南省英嘉电梯工程有限公司工作</v>
      </c>
    </row>
    <row r="2638" spans="1:9">
      <c r="A2638" s="1" t="str">
        <f>"411327200009101140"</f>
        <v>411327200009101140</v>
      </c>
      <c r="B2638" s="1" t="str">
        <f t="shared" si="1302"/>
        <v>群众</v>
      </c>
      <c r="C2638" s="1" t="str">
        <f t="shared" si="1303"/>
        <v>本科</v>
      </c>
      <c r="D2638" s="1" t="str">
        <f>"20220613"</f>
        <v>20220613</v>
      </c>
      <c r="E2638" s="1" t="str">
        <f>"辽宁科技大学"</f>
        <v>辽宁科技大学</v>
      </c>
      <c r="F2638" s="1" t="str">
        <f>"化学工程与工艺"</f>
        <v>化学工程与工艺</v>
      </c>
      <c r="G2638" s="1" t="str">
        <f>"河南省南阳市内乡县赤眉镇鱼贯口村"</f>
        <v>河南省南阳市内乡县赤眉镇鱼贯口村</v>
      </c>
      <c r="H2638" s="1" t="str">
        <f t="shared" si="1299"/>
        <v>无</v>
      </c>
      <c r="I2638" s="1" t="str">
        <f>"201809-202206 辽宁科技大学化学工程学院化学工程与工艺专业就读 全日制本科；202207-202408 新疆塔城地区和布克赛尔县西部计划志愿者；202408至今在河南省南阳市内乡县待业"</f>
        <v>201809-202206 辽宁科技大学化学工程学院化学工程与工艺专业就读 全日制本科；202207-202408 新疆塔城地区和布克赛尔县西部计划志愿者；202408至今在河南省南阳市内乡县待业</v>
      </c>
    </row>
    <row r="2639" spans="1:9">
      <c r="A2639" s="1" t="str">
        <f>"411302200202020396"</f>
        <v>411302200202020396</v>
      </c>
      <c r="B2639" s="1" t="str">
        <f t="shared" si="1302"/>
        <v>群众</v>
      </c>
      <c r="C2639" s="1" t="str">
        <f t="shared" si="1303"/>
        <v>本科</v>
      </c>
      <c r="D2639" s="1" t="str">
        <f>"20240618"</f>
        <v>20240618</v>
      </c>
      <c r="E2639" s="1" t="str">
        <f>"鲁东大学"</f>
        <v>鲁东大学</v>
      </c>
      <c r="F2639" s="1" t="str">
        <f>"化学（本科）"</f>
        <v>化学（本科）</v>
      </c>
      <c r="G2639" s="1" t="str">
        <f>"河南省南阳市宛城区独山大道盛唐三川安置房"</f>
        <v>河南省南阳市宛城区独山大道盛唐三川安置房</v>
      </c>
      <c r="H2639" s="1" t="str">
        <f t="shared" si="1299"/>
        <v>无</v>
      </c>
      <c r="I2639" s="1" t="str">
        <f>"202009-202406 鲁东大学化学与材料科学学院化学专业全日制"</f>
        <v>202009-202406 鲁东大学化学与材料科学学院化学专业全日制</v>
      </c>
    </row>
    <row r="2640" spans="1:9">
      <c r="A2640" s="1" t="str">
        <f>"411327200106010048"</f>
        <v>411327200106010048</v>
      </c>
      <c r="B2640" s="1" t="str">
        <f>"共青团员"</f>
        <v>共青团员</v>
      </c>
      <c r="C2640" s="1" t="str">
        <f t="shared" si="1303"/>
        <v>本科</v>
      </c>
      <c r="D2640" s="1" t="str">
        <f>"2024.07"</f>
        <v>2024.07</v>
      </c>
      <c r="E2640" s="1" t="str">
        <f>"河南财经政法大学"</f>
        <v>河南财经政法大学</v>
      </c>
      <c r="F2640" s="1" t="str">
        <f>"音乐学"</f>
        <v>音乐学</v>
      </c>
      <c r="G2640" s="1" t="str">
        <f>"河南省南阳市内乡县粮油小区一单元三楼东户"</f>
        <v>河南省南阳市内乡县粮油小区一单元三楼东户</v>
      </c>
      <c r="H2640" s="1" t="str">
        <f t="shared" si="1299"/>
        <v>无</v>
      </c>
      <c r="I2640" s="1" t="str">
        <f>"201909--202407  河南财经政法大学艺术学院音乐系就读，为全日制本科学历
202407--至今  在南阳待业"</f>
        <v>201909--202407  河南财经政法大学艺术学院音乐系就读，为全日制本科学历
202407--至今  在南阳待业</v>
      </c>
    </row>
    <row r="2641" spans="1:9">
      <c r="A2641" s="1" t="str">
        <f>"411324200606225548"</f>
        <v>411324200606225548</v>
      </c>
      <c r="B2641" s="1" t="str">
        <f t="shared" ref="B2641:B2644" si="1305">"群众"</f>
        <v>群众</v>
      </c>
      <c r="C2641" s="1" t="str">
        <f t="shared" si="1304"/>
        <v>专科</v>
      </c>
      <c r="D2641" s="1" t="str">
        <f>"20250607"</f>
        <v>20250607</v>
      </c>
      <c r="E2641" s="1" t="str">
        <f>"新乡工程学院"</f>
        <v>新乡工程学院</v>
      </c>
      <c r="F2641" s="1" t="str">
        <f>"英语"</f>
        <v>英语</v>
      </c>
      <c r="G2641" s="1" t="str">
        <f>"河南省南阳市镇平县彭营乡"</f>
        <v>河南省南阳市镇平县彭营乡</v>
      </c>
      <c r="H2641" s="1" t="str">
        <f t="shared" si="1299"/>
        <v>无</v>
      </c>
      <c r="I2641" s="1" t="str">
        <f>"202209—202506新乡工程学院"</f>
        <v>202209—202506新乡工程学院</v>
      </c>
    </row>
    <row r="2642" spans="1:9">
      <c r="A2642" s="1" t="str">
        <f>"411324200412040940"</f>
        <v>411324200412040940</v>
      </c>
      <c r="B2642" s="1" t="str">
        <f t="shared" si="1305"/>
        <v>群众</v>
      </c>
      <c r="C2642" s="1" t="str">
        <f t="shared" si="1304"/>
        <v>专科</v>
      </c>
      <c r="D2642" s="1" t="str">
        <f>"20250607"</f>
        <v>20250607</v>
      </c>
      <c r="E2642" s="1" t="str">
        <f>"河南职业技术学院"</f>
        <v>河南职业技术学院</v>
      </c>
      <c r="F2642" s="1" t="str">
        <f>"数字创意与设计学院"</f>
        <v>数字创意与设计学院</v>
      </c>
      <c r="G2642" s="1" t="str">
        <f>"河南省南阳市镇平县柳泉铺镇柳泉铺村"</f>
        <v>河南省南阳市镇平县柳泉铺镇柳泉铺村</v>
      </c>
      <c r="H2642" s="1" t="str">
        <f t="shared" si="1299"/>
        <v>无</v>
      </c>
      <c r="I2642" s="1" t="str">
        <f>"2022.09.20-2024.07.10河南职业技术学院广告设计艺术专业学生2024.07月至今"</f>
        <v>2022.09.20-2024.07.10河南职业技术学院广告设计艺术专业学生2024.07月至今</v>
      </c>
    </row>
    <row r="2643" spans="1:9">
      <c r="A2643" s="1" t="str">
        <f>"411327199509034516"</f>
        <v>411327199509034516</v>
      </c>
      <c r="B2643" s="1" t="str">
        <f t="shared" si="1305"/>
        <v>群众</v>
      </c>
      <c r="C2643" s="1" t="str">
        <f t="shared" ref="C2643:C2647" si="1306">"本科"</f>
        <v>本科</v>
      </c>
      <c r="D2643" s="1" t="str">
        <f>"20170701"</f>
        <v>20170701</v>
      </c>
      <c r="E2643" s="1" t="str">
        <f>"黄淮学院"</f>
        <v>黄淮学院</v>
      </c>
      <c r="F2643" s="1" t="str">
        <f>"环境设计（城市园林艺术设计方向）"</f>
        <v>环境设计（城市园林艺术设计方向）</v>
      </c>
      <c r="G2643" s="1" t="str">
        <f>"河南省内乡县赵店乡莲花村"</f>
        <v>河南省内乡县赵店乡莲花村</v>
      </c>
      <c r="H2643" s="1" t="str">
        <f t="shared" si="1299"/>
        <v>无</v>
      </c>
      <c r="I2643" s="1" t="str">
        <f>"201309-201707 黄淮学院生物工程系环境设计专业就读，全日制学历；
201707-202311 牧原食品股份有限公司工作，环保后勤部农艺师岗位；
202311-202507 河南农投农业科技服务有限公司工作，农事服务部农服主管岗位。"</f>
        <v>201309-201707 黄淮学院生物工程系环境设计专业就读，全日制学历；
201707-202311 牧原食品股份有限公司工作，环保后勤部农艺师岗位；
202311-202507 河南农投农业科技服务有限公司工作，农事服务部农服主管岗位。</v>
      </c>
    </row>
    <row r="2644" spans="1:9">
      <c r="A2644" s="1" t="str">
        <f>"410725199105121216"</f>
        <v>410725199105121216</v>
      </c>
      <c r="B2644" s="1" t="str">
        <f t="shared" si="1305"/>
        <v>群众</v>
      </c>
      <c r="C2644" s="1" t="str">
        <f t="shared" si="1306"/>
        <v>本科</v>
      </c>
      <c r="D2644" s="1" t="str">
        <f>"2015年7月1日"</f>
        <v>2015年7月1日</v>
      </c>
      <c r="E2644" s="1" t="str">
        <f>"安阳师范学院人文管理学院"</f>
        <v>安阳师范学院人文管理学院</v>
      </c>
      <c r="F2644" s="1" t="str">
        <f>"法学"</f>
        <v>法学</v>
      </c>
      <c r="G2644" s="1" t="str">
        <f>"河南省新乡市原阳县城关镇名都新城"</f>
        <v>河南省新乡市原阳县城关镇名都新城</v>
      </c>
      <c r="H2644" s="1" t="str">
        <f t="shared" si="1299"/>
        <v>无</v>
      </c>
      <c r="I2644" s="1" t="str">
        <f>"201109-201507 在安阳师范学院人文管理学院文法系法学专业就读，全日制；
201508-201902 自由职业；
201903-201907 原阳县司法局 社区矫正专员（派遣制）；
201909-至今  平原示范区管委会派遣制工作人员"</f>
        <v>201109-201507 在安阳师范学院人文管理学院文法系法学专业就读，全日制；
201508-201902 自由职业；
201903-201907 原阳县司法局 社区矫正专员（派遣制）；
201909-至今  平原示范区管委会派遣制工作人员</v>
      </c>
    </row>
    <row r="2645" spans="1:9">
      <c r="A2645" s="1" t="str">
        <f>"411327200204011562"</f>
        <v>411327200204011562</v>
      </c>
      <c r="B2645" s="1" t="str">
        <f>"共青团员"</f>
        <v>共青团员</v>
      </c>
      <c r="C2645" s="1" t="str">
        <f t="shared" ref="C2645:C2649" si="1307">"专科"</f>
        <v>专科</v>
      </c>
      <c r="D2645" s="1" t="str">
        <f>"20230631"</f>
        <v>20230631</v>
      </c>
      <c r="E2645" s="1" t="str">
        <f>"南阳农业职业学院"</f>
        <v>南阳农业职业学院</v>
      </c>
      <c r="F2645" s="1" t="str">
        <f>"幼儿发展与健康管理"</f>
        <v>幼儿发展与健康管理</v>
      </c>
      <c r="G2645" s="1" t="str">
        <f>"河南省内乡县湍东镇五里堡村谢家组19号"</f>
        <v>河南省内乡县湍东镇五里堡村谢家组19号</v>
      </c>
      <c r="H2645" s="1" t="str">
        <f>"普通话一级乙等"</f>
        <v>普通话一级乙等</v>
      </c>
      <c r="I2645" s="1" t="str">
        <f>"202009--202306  南阳农业职业学院人文艺术系就读幼儿发展与健康管理专业，是全日制学历"</f>
        <v>202009--202306  南阳农业职业学院人文艺术系就读幼儿发展与健康管理专业，是全日制学历</v>
      </c>
    </row>
    <row r="2646" spans="1:9">
      <c r="A2646" s="1" t="str">
        <f>"411327200304154528"</f>
        <v>411327200304154528</v>
      </c>
      <c r="B2646" s="1" t="str">
        <f>"群众"</f>
        <v>群众</v>
      </c>
      <c r="C2646" s="1" t="str">
        <f t="shared" si="1307"/>
        <v>专科</v>
      </c>
      <c r="D2646" s="1" t="str">
        <f>"20240631"</f>
        <v>20240631</v>
      </c>
      <c r="E2646" s="1" t="str">
        <f>"许昌职业技术学院"</f>
        <v>许昌职业技术学院</v>
      </c>
      <c r="F2646" s="1" t="str">
        <f>"小学教育"</f>
        <v>小学教育</v>
      </c>
      <c r="G2646" s="1" t="str">
        <f>"河南省南阳市内乡县赵店乡张庄村"</f>
        <v>河南省南阳市内乡县赵店乡张庄村</v>
      </c>
      <c r="H2646" s="1" t="str">
        <f t="shared" ref="H2646:H2652" si="1308">"无"</f>
        <v>无</v>
      </c>
      <c r="I2646" s="1" t="str">
        <f>"202109-202406 许昌职业技术学院 人文学院 小学教育专业就读，是全日制学历
202406-202508在南阳待业"</f>
        <v>202109-202406 许昌职业技术学院 人文学院 小学教育专业就读，是全日制学历
202406-202508在南阳待业</v>
      </c>
    </row>
    <row r="2647" spans="1:9">
      <c r="A2647" s="1" t="str">
        <f>"411330199707122021"</f>
        <v>411330199707122021</v>
      </c>
      <c r="B2647" s="1" t="str">
        <f t="shared" ref="B2647:B2651" si="1309">"中共党员"</f>
        <v>中共党员</v>
      </c>
      <c r="C2647" s="1" t="str">
        <f t="shared" si="1306"/>
        <v>本科</v>
      </c>
      <c r="D2647" s="1" t="str">
        <f>"20190701"</f>
        <v>20190701</v>
      </c>
      <c r="E2647" s="1" t="str">
        <f>"南阳师范学院"</f>
        <v>南阳师范学院</v>
      </c>
      <c r="F2647" s="1" t="str">
        <f>"音乐学"</f>
        <v>音乐学</v>
      </c>
      <c r="G2647" s="1" t="str">
        <f>"河南省南阳市西峡县白羽北路雅园小区"</f>
        <v>河南省南阳市西峡县白羽北路雅园小区</v>
      </c>
      <c r="H2647" s="1" t="str">
        <f>"高等学校教师资格（音乐）、高级中学教师资格（音乐）、旅游咨询员（三级/高级工）"</f>
        <v>高等学校教师资格（音乐）、高级中学教师资格（音乐）、旅游咨询员（三级/高级工）</v>
      </c>
      <c r="I2647" s="1" t="str">
        <f>"201509-201907南阳师范学院音乐学院音乐学专业就读，全日制
201904-202110就职于南阳职业学院
202111-202209在西峡县待业
202210-202302就职于西峡县界领文化旅游发展集团
202303-202507就职于宛西育才实验学校
202504-今在西峡县待业"</f>
        <v>201509-201907南阳师范学院音乐学院音乐学专业就读，全日制
201904-202110就职于南阳职业学院
202111-202209在西峡县待业
202210-202302就职于西峡县界领文化旅游发展集团
202303-202507就职于宛西育才实验学校
202504-今在西峡县待业</v>
      </c>
    </row>
    <row r="2648" spans="1:9">
      <c r="A2648" s="1" t="str">
        <f>"411330200404172019"</f>
        <v>411330200404172019</v>
      </c>
      <c r="B2648" s="1" t="str">
        <f>"群众"</f>
        <v>群众</v>
      </c>
      <c r="C2648" s="1" t="str">
        <f t="shared" si="1307"/>
        <v>专科</v>
      </c>
      <c r="D2648" s="1" t="str">
        <f>"20250620"</f>
        <v>20250620</v>
      </c>
      <c r="E2648" s="1" t="str">
        <f>"郑州科技学院"</f>
        <v>郑州科技学院</v>
      </c>
      <c r="F2648" s="1" t="str">
        <f>"无人机应用技术"</f>
        <v>无人机应用技术</v>
      </c>
      <c r="G2648" s="1" t="str">
        <f>"河南省西峡县紫金街道帝景天城2号楼一单元1402"</f>
        <v>河南省西峡县紫金街道帝景天城2号楼一单元1402</v>
      </c>
      <c r="H2648" s="1" t="str">
        <f>"中国民用航空局中型无人机操作员执照-超视距多旋翼、超视距多旋翼教员 "</f>
        <v>中国民用航空局中型无人机操作员执照-超视距多旋翼、超视距多旋翼教员 </v>
      </c>
      <c r="I2648" s="1" t="str">
        <f>"202209-202506 郑州科技学院 电子与电气工程学院 无人机应用技术 就读
全日制学历"</f>
        <v>202209-202506 郑州科技学院 电子与电气工程学院 无人机应用技术 就读
全日制学历</v>
      </c>
    </row>
    <row r="2649" spans="1:9">
      <c r="A2649" s="1" t="str">
        <f>"412822200209132212"</f>
        <v>412822200209132212</v>
      </c>
      <c r="B2649" s="1" t="str">
        <f t="shared" si="1309"/>
        <v>中共党员</v>
      </c>
      <c r="C2649" s="1" t="str">
        <f t="shared" si="1307"/>
        <v>专科</v>
      </c>
      <c r="D2649" s="1" t="str">
        <f>"20230701"</f>
        <v>20230701</v>
      </c>
      <c r="E2649" s="1" t="str">
        <f>"许昌职业技术学院"</f>
        <v>许昌职业技术学院</v>
      </c>
      <c r="F2649" s="1" t="str">
        <f>"小学语文教育"</f>
        <v>小学语文教育</v>
      </c>
      <c r="G2649" s="1" t="str">
        <f>"东方红西街196号"</f>
        <v>东方红西街196号</v>
      </c>
      <c r="H2649" s="1" t="str">
        <f t="shared" si="1308"/>
        <v>无</v>
      </c>
      <c r="I2649" s="1" t="str">
        <f>"202009-202307 许昌职业技术学院 人文学院 小学语文教育专业 就读 全日制"</f>
        <v>202009-202307 许昌职业技术学院 人文学院 小学语文教育专业 就读 全日制</v>
      </c>
    </row>
    <row r="2650" spans="1:9">
      <c r="A2650" s="1" t="str">
        <f>"411327199112153138"</f>
        <v>411327199112153138</v>
      </c>
      <c r="B2650" s="1" t="str">
        <f t="shared" si="1309"/>
        <v>中共党员</v>
      </c>
      <c r="C2650" s="1" t="str">
        <f t="shared" ref="C2650:C2654" si="1310">"本科"</f>
        <v>本科</v>
      </c>
      <c r="D2650" s="1" t="str">
        <f>"20140701"</f>
        <v>20140701</v>
      </c>
      <c r="E2650" s="1" t="str">
        <f>"中原工学院"</f>
        <v>中原工学院</v>
      </c>
      <c r="F2650" s="1" t="str">
        <f>"热能与动力工程"</f>
        <v>热能与动力工程</v>
      </c>
      <c r="G2650" s="1" t="str">
        <f>"河南省南阳市卧龙区麒麟首府"</f>
        <v>河南省南阳市卧龙区麒麟首府</v>
      </c>
      <c r="H2650" s="1" t="str">
        <f>"初级会计"</f>
        <v>初级会计</v>
      </c>
      <c r="I2650" s="1" t="str">
        <f>"201009-201407 中原工学院 能源与环境学院 热能与动力工程专业 就读全日制本科
201407-201501 南阳市内乡县 待业
201502-201512 牧原食品股份有限公司 饲料供应部计量科任职
201512-201601 南阳市内乡县 待业
201602-202103 南阳市志远人力资源有限公司 劳务派遣至南阳卧龙综合保税区 海关协勤
202104-至今 南阳国际陆港鸿星人力资源有限公司 劳务派遣至南阳卧龙综合保税区 海关协勤"</f>
        <v>201009-201407 中原工学院 能源与环境学院 热能与动力工程专业 就读全日制本科
201407-201501 南阳市内乡县 待业
201502-201512 牧原食品股份有限公司 饲料供应部计量科任职
201512-201601 南阳市内乡县 待业
201602-202103 南阳市志远人力资源有限公司 劳务派遣至南阳卧龙综合保税区 海关协勤
202104-至今 南阳国际陆港鸿星人力资源有限公司 劳务派遣至南阳卧龙综合保税区 海关协勤</v>
      </c>
    </row>
    <row r="2651" spans="1:9">
      <c r="A2651" s="1" t="str">
        <f>"410381200111080021"</f>
        <v>410381200111080021</v>
      </c>
      <c r="B2651" s="1" t="str">
        <f t="shared" si="1309"/>
        <v>中共党员</v>
      </c>
      <c r="C2651" s="1" t="str">
        <f t="shared" si="1310"/>
        <v>本科</v>
      </c>
      <c r="D2651" s="1" t="str">
        <f>"20240620"</f>
        <v>20240620</v>
      </c>
      <c r="E2651" s="1" t="str">
        <f>"南阳理工学院"</f>
        <v>南阳理工学院</v>
      </c>
      <c r="F2651" s="1" t="str">
        <f>"数字媒体技术"</f>
        <v>数字媒体技术</v>
      </c>
      <c r="G2651" s="1" t="str">
        <f>"河南省南阳市内乡县黉学路13号"</f>
        <v>河南省南阳市内乡县黉学路13号</v>
      </c>
      <c r="H2651" s="1" t="str">
        <f t="shared" si="1308"/>
        <v>无</v>
      </c>
      <c r="I2651" s="1" t="str">
        <f>"202010-202406 在南阳理工学院数字媒体与艺术设计学院数字媒体技术专业就读 全日制本科
202407-202507 参与内乡县大学生西部计划 "</f>
        <v>202010-202406 在南阳理工学院数字媒体与艺术设计学院数字媒体技术专业就读 全日制本科
202407-202507 参与内乡县大学生西部计划 </v>
      </c>
    </row>
    <row r="2652" spans="1:9">
      <c r="A2652" s="1" t="str">
        <f>"411327200008160026"</f>
        <v>411327200008160026</v>
      </c>
      <c r="B2652" s="1" t="str">
        <f t="shared" ref="B2652:B2656" si="1311">"共青团员"</f>
        <v>共青团员</v>
      </c>
      <c r="C2652" s="1" t="str">
        <f t="shared" ref="C2652:C2655" si="1312">"专科"</f>
        <v>专科</v>
      </c>
      <c r="D2652" s="1" t="str">
        <f>"202207"</f>
        <v>202207</v>
      </c>
      <c r="E2652" s="1" t="str">
        <f>"信阳学院职业技术"</f>
        <v>信阳学院职业技术</v>
      </c>
      <c r="F2652" s="1" t="str">
        <f>"医学检验技术"</f>
        <v>医学检验技术</v>
      </c>
      <c r="G2652" s="1" t="str">
        <f>"河南省南阳市内乡县集贸市场"</f>
        <v>河南省南阳市内乡县集贸市场</v>
      </c>
      <c r="H2652" s="1" t="str">
        <f t="shared" si="1308"/>
        <v>无</v>
      </c>
      <c r="I2652" s="1" t="str">
        <f>"201909-202207信阳学院职业技术 医学检验技术就读 是全日制 现在在卫校附属医院待业"</f>
        <v>201909-202207信阳学院职业技术 医学检验技术就读 是全日制 现在在卫校附属医院待业</v>
      </c>
    </row>
    <row r="2653" spans="1:9">
      <c r="A2653" s="1" t="str">
        <f>"411324200310100068"</f>
        <v>411324200310100068</v>
      </c>
      <c r="B2653" s="1" t="str">
        <f t="shared" si="1311"/>
        <v>共青团员</v>
      </c>
      <c r="C2653" s="1" t="str">
        <f t="shared" si="1312"/>
        <v>专科</v>
      </c>
      <c r="D2653" s="1" t="str">
        <f>"20240630"</f>
        <v>20240630</v>
      </c>
      <c r="E2653" s="1" t="str">
        <f>"平顶山职业技术学院"</f>
        <v>平顶山职业技术学院</v>
      </c>
      <c r="F2653" s="1" t="str">
        <f>"小学语文教育"</f>
        <v>小学语文教育</v>
      </c>
      <c r="G2653" s="1" t="str">
        <f>"河南省南阳市镇平县涅阳街道"</f>
        <v>河南省南阳市镇平县涅阳街道</v>
      </c>
      <c r="H2653" s="1" t="str">
        <f>"秘书职业技能等级证书"</f>
        <v>秘书职业技能等级证书</v>
      </c>
      <c r="I2653" s="1" t="str">
        <f>"201909-202406 平顶山职业技术学院就读 "</f>
        <v>201909-202406 平顶山职业技术学院就读 </v>
      </c>
    </row>
    <row r="2654" spans="1:9">
      <c r="A2654" s="1" t="str">
        <f>"41132719951212001X"</f>
        <v>41132719951212001X</v>
      </c>
      <c r="B2654" s="1" t="str">
        <f t="shared" ref="B2654:B2659" si="1313">"群众"</f>
        <v>群众</v>
      </c>
      <c r="C2654" s="1" t="str">
        <f t="shared" si="1310"/>
        <v>本科</v>
      </c>
      <c r="D2654" s="1" t="str">
        <f>"20180607"</f>
        <v>20180607</v>
      </c>
      <c r="E2654" s="1" t="str">
        <f>"河南农业大学"</f>
        <v>河南农业大学</v>
      </c>
      <c r="F2654" s="1" t="str">
        <f>"食品科学与工程（农产品加工）"</f>
        <v>食品科学与工程（农产品加工）</v>
      </c>
      <c r="G2654" s="1" t="str">
        <f>"河南省南阳市内乡县城关镇利民八巷三号"</f>
        <v>河南省南阳市内乡县城关镇利民八巷三号</v>
      </c>
      <c r="H2654" s="1" t="str">
        <f t="shared" ref="H2654:H2660" si="1314">"无"</f>
        <v>无</v>
      </c>
      <c r="I2654" s="1" t="str">
        <f>"201409-201806 河南农业大学 应用科技学院 食品科学与工程就读 全日制本科
201806-201909 郑州待业
201909-202206 河南农业大学 食品科学技术学院 食品加工与安全就读 全日制硕士研究生
202207-202310 牧原肉食品有限公司
202310至今 河南省内乡县待业"</f>
        <v>201409-201806 河南农业大学 应用科技学院 食品科学与工程就读 全日制本科
201806-201909 郑州待业
201909-202206 河南农业大学 食品科学技术学院 食品加工与安全就读 全日制硕士研究生
202207-202310 牧原肉食品有限公司
202310至今 河南省内乡县待业</v>
      </c>
    </row>
    <row r="2655" spans="1:9">
      <c r="A2655" s="1" t="str">
        <f>"41152620030123261X"</f>
        <v>41152620030123261X</v>
      </c>
      <c r="B2655" s="1" t="str">
        <f>"中共党员"</f>
        <v>中共党员</v>
      </c>
      <c r="C2655" s="1" t="str">
        <f t="shared" si="1312"/>
        <v>专科</v>
      </c>
      <c r="D2655" s="1" t="str">
        <f>"20230701"</f>
        <v>20230701</v>
      </c>
      <c r="E2655" s="1" t="str">
        <f>"江西冶金职业技术学院"</f>
        <v>江西冶金职业技术学院</v>
      </c>
      <c r="F2655" s="1" t="str">
        <f>"机电一体化技术"</f>
        <v>机电一体化技术</v>
      </c>
      <c r="G2655" s="1" t="str">
        <f>"河南省潢川县定城办事处九里村九里村民组12号"</f>
        <v>河南省潢川县定城办事处九里村九里村民组12号</v>
      </c>
      <c r="H2655" s="1" t="str">
        <f t="shared" si="1314"/>
        <v>无</v>
      </c>
      <c r="I2655" s="1" t="str">
        <f>"202009至202307在江西冶金职业技术学院就读机电一体化技术专业，全日制学历
202307至今在家待业"</f>
        <v>202009至202307在江西冶金职业技术学院就读机电一体化技术专业，全日制学历
202307至今在家待业</v>
      </c>
    </row>
    <row r="2656" spans="1:9">
      <c r="A2656" s="1" t="str">
        <f>"41130220000704312X"</f>
        <v>41130220000704312X</v>
      </c>
      <c r="B2656" s="1" t="str">
        <f t="shared" si="1311"/>
        <v>共青团员</v>
      </c>
      <c r="C2656" s="1" t="str">
        <f t="shared" ref="C2656:C2659" si="1315">"本科"</f>
        <v>本科</v>
      </c>
      <c r="D2656" s="1" t="str">
        <f>"20220607"</f>
        <v>20220607</v>
      </c>
      <c r="E2656" s="1" t="str">
        <f>"南阳师范学院"</f>
        <v>南阳师范学院</v>
      </c>
      <c r="F2656" s="1" t="str">
        <f>"视觉传达设计"</f>
        <v>视觉传达设计</v>
      </c>
      <c r="G2656" s="1" t="str">
        <f>"中达名誉新城"</f>
        <v>中达名誉新城</v>
      </c>
      <c r="H2656" s="1" t="str">
        <f t="shared" si="1314"/>
        <v>无</v>
      </c>
      <c r="I2656" s="1" t="str">
        <f>"2018-2022南阳师范学院 美术设计学院 视觉传达设计专业就读 
2022至今与南阳待业"</f>
        <v>2018-2022南阳师范学院 美术设计学院 视觉传达设计专业就读 
2022至今与南阳待业</v>
      </c>
    </row>
    <row r="2657" spans="1:9">
      <c r="A2657" s="1" t="str">
        <f>"610481200210252223"</f>
        <v>610481200210252223</v>
      </c>
      <c r="B2657" s="1" t="str">
        <f>"中共党员"</f>
        <v>中共党员</v>
      </c>
      <c r="C2657" s="1" t="str">
        <f t="shared" si="1315"/>
        <v>本科</v>
      </c>
      <c r="D2657" s="1" t="str">
        <f>"20250701"</f>
        <v>20250701</v>
      </c>
      <c r="E2657" s="1" t="str">
        <f>"陕西科技大学镐京学院"</f>
        <v>陕西科技大学镐京学院</v>
      </c>
      <c r="F2657" s="1" t="str">
        <f>"药物制剂"</f>
        <v>药物制剂</v>
      </c>
      <c r="G2657" s="1" t="str">
        <f>"陕西省兴平市赵村镇仁都村"</f>
        <v>陕西省兴平市赵村镇仁都村</v>
      </c>
      <c r="H2657" s="1" t="str">
        <f t="shared" si="1314"/>
        <v>无</v>
      </c>
      <c r="I2657" s="1" t="str">
        <f>"202109-202507 陕西科技大学镐京学院医药工程学院药物制剂专业就读，是全日制学历"</f>
        <v>202109-202507 陕西科技大学镐京学院医药工程学院药物制剂专业就读，是全日制学历</v>
      </c>
    </row>
    <row r="2658" spans="1:9">
      <c r="A2658" s="1" t="str">
        <f>"411327200202121127"</f>
        <v>411327200202121127</v>
      </c>
      <c r="B2658" s="1" t="str">
        <f t="shared" si="1313"/>
        <v>群众</v>
      </c>
      <c r="C2658" s="1" t="str">
        <f t="shared" si="1315"/>
        <v>本科</v>
      </c>
      <c r="D2658" s="1" t="str">
        <f>"20240701"</f>
        <v>20240701</v>
      </c>
      <c r="E2658" s="1" t="str">
        <f>"河南科技职业大学"</f>
        <v>河南科技职业大学</v>
      </c>
      <c r="F2658" s="1" t="str">
        <f>"土木工程"</f>
        <v>土木工程</v>
      </c>
      <c r="G2658" s="1" t="str">
        <f>"河南省南阳市内乡县赤眉镇王堂村辛营组"</f>
        <v>河南省南阳市内乡县赤眉镇王堂村辛营组</v>
      </c>
      <c r="H2658" s="1" t="str">
        <f t="shared" si="1314"/>
        <v>无</v>
      </c>
      <c r="I2658" s="1" t="str">
        <f>"202009-202407在河南科技职业大学建筑工程学院土木工程专业就读，是全日制；
202407-202501在南阳市广程建筑公司从事项目资料员，常驻项目；
202501-202502在内乡县赤眉镇王堂村待业；
202502-202507在息县英才实验学校初二语文学科任职；
202507-202508在内乡县赤眉镇王堂村待业；"</f>
        <v>202009-202407在河南科技职业大学建筑工程学院土木工程专业就读，是全日制；
202407-202501在南阳市广程建筑公司从事项目资料员，常驻项目；
202501-202502在内乡县赤眉镇王堂村待业；
202502-202507在息县英才实验学校初二语文学科任职；
202507-202508在内乡县赤眉镇王堂村待业；</v>
      </c>
    </row>
    <row r="2659" spans="1:9">
      <c r="A2659" s="1" t="str">
        <f>"411327199701051543"</f>
        <v>411327199701051543</v>
      </c>
      <c r="B2659" s="1" t="str">
        <f t="shared" si="1313"/>
        <v>群众</v>
      </c>
      <c r="C2659" s="1" t="str">
        <f t="shared" si="1315"/>
        <v>本科</v>
      </c>
      <c r="D2659" s="1" t="str">
        <f>"20240701"</f>
        <v>20240701</v>
      </c>
      <c r="E2659" s="1" t="str">
        <f>"南阳师范学院"</f>
        <v>南阳师范学院</v>
      </c>
      <c r="F2659" s="1" t="str">
        <f>"计算机科学与技术"</f>
        <v>计算机科学与技术</v>
      </c>
      <c r="G2659" s="1" t="str">
        <f>"中央御景"</f>
        <v>中央御景</v>
      </c>
      <c r="H2659" s="1" t="str">
        <f t="shared" si="1314"/>
        <v>无</v>
      </c>
      <c r="I2659" s="1" t="str">
        <f>"2015年9月—2018年7月在南阳医学高等专科学院中医学完成了三年制的专科学习
2018年7月— 2019年9月在南阳市第二附属医院实习
2019年9月—现在 就职于内乡复兴学校"</f>
        <v>2015年9月—2018年7月在南阳医学高等专科学院中医学完成了三年制的专科学习
2018年7月— 2019年9月在南阳市第二附属医院实习
2019年9月—现在 就职于内乡复兴学校</v>
      </c>
    </row>
    <row r="2660" spans="1:9">
      <c r="A2660" s="1" t="str">
        <f>"411330200203311561"</f>
        <v>411330200203311561</v>
      </c>
      <c r="B2660" s="1" t="str">
        <f>"共青团员"</f>
        <v>共青团员</v>
      </c>
      <c r="C2660" s="1" t="str">
        <f t="shared" ref="C2660:C2664" si="1316">"专科"</f>
        <v>专科</v>
      </c>
      <c r="D2660" s="1" t="str">
        <f>"20240617"</f>
        <v>20240617</v>
      </c>
      <c r="E2660" s="1" t="str">
        <f>"郑州工商学院"</f>
        <v>郑州工商学院</v>
      </c>
      <c r="F2660" s="1" t="str">
        <f>"艺术设计"</f>
        <v>艺术设计</v>
      </c>
      <c r="G2660" s="1" t="str">
        <f>"河南省南阳市西峡县白羽街道"</f>
        <v>河南省南阳市西峡县白羽街道</v>
      </c>
      <c r="H2660" s="1" t="str">
        <f t="shared" si="1314"/>
        <v>无</v>
      </c>
      <c r="I2660" s="1" t="str">
        <f>"20210910-20240617 在郑州工商学院艺术设计专业就读 是全日制
20240617-至今待业"</f>
        <v>20210910-20240617 在郑州工商学院艺术设计专业就读 是全日制
20240617-至今待业</v>
      </c>
    </row>
    <row r="2661" spans="1:9">
      <c r="A2661" s="1" t="str">
        <f>"411330199503155710"</f>
        <v>411330199503155710</v>
      </c>
      <c r="B2661" s="1" t="str">
        <f t="shared" ref="B2661:B2663" si="1317">"群众"</f>
        <v>群众</v>
      </c>
      <c r="C2661" s="1" t="str">
        <f t="shared" si="1316"/>
        <v>专科</v>
      </c>
      <c r="D2661" s="1" t="str">
        <f>"20160701"</f>
        <v>20160701</v>
      </c>
      <c r="E2661" s="1" t="str">
        <f>"河南司法警官职业学院"</f>
        <v>河南司法警官职业学院</v>
      </c>
      <c r="F2661" s="1" t="str">
        <f>"警察管理"</f>
        <v>警察管理</v>
      </c>
      <c r="G2661" s="1" t="str">
        <f>"河南省西峡县峰景尚城"</f>
        <v>河南省西峡县峰景尚城</v>
      </c>
      <c r="H2661" s="1" t="str">
        <f>"五"</f>
        <v>五</v>
      </c>
      <c r="I2661" s="1" t="str">
        <f>"201309-201607在河南司法警官职业学院警察学系警察管理专业就读；201607-201612在家待业；201701-201712在南阳市东鼎商贸有限公司上班；201801至今在西峡县公安局干辅警。
"</f>
        <v>201309-201607在河南司法警官职业学院警察学系警察管理专业就读；201607-201612在家待业；201701-201712在南阳市东鼎商贸有限公司上班；201801至今在西峡县公安局干辅警。
</v>
      </c>
    </row>
    <row r="2662" spans="1:9">
      <c r="A2662" s="1" t="str">
        <f>"412825200307063715"</f>
        <v>412825200307063715</v>
      </c>
      <c r="B2662" s="1" t="str">
        <f t="shared" si="1317"/>
        <v>群众</v>
      </c>
      <c r="C2662" s="1" t="str">
        <f t="shared" ref="C2662:C2669" si="1318">"本科"</f>
        <v>本科</v>
      </c>
      <c r="D2662" s="1" t="str">
        <f>"20250701"</f>
        <v>20250701</v>
      </c>
      <c r="E2662" s="1" t="str">
        <f>"新乡医学院三全学院"</f>
        <v>新乡医学院三全学院</v>
      </c>
      <c r="F2662" s="1" t="str">
        <f>"医疗产品管理"</f>
        <v>医疗产品管理</v>
      </c>
      <c r="G2662" s="1" t="str">
        <f>"河南省驻马店市上蔡县党店镇"</f>
        <v>河南省驻马店市上蔡县党店镇</v>
      </c>
      <c r="H2662" s="1" t="str">
        <f t="shared" ref="H2662:H2667" si="1319">"无"</f>
        <v>无</v>
      </c>
      <c r="I2662" s="1" t="str">
        <f>"202109-202507新乡医学院三全学院健康管理学院医疗产品管理就读"</f>
        <v>202109-202507新乡医学院三全学院健康管理学院医疗产品管理就读</v>
      </c>
    </row>
    <row r="2663" spans="1:9">
      <c r="A2663" s="1" t="str">
        <f>"41130219990101132X"</f>
        <v>41130219990101132X</v>
      </c>
      <c r="B2663" s="1" t="str">
        <f t="shared" si="1317"/>
        <v>群众</v>
      </c>
      <c r="C2663" s="1" t="str">
        <f t="shared" si="1316"/>
        <v>专科</v>
      </c>
      <c r="D2663" s="1" t="str">
        <f>"20200701"</f>
        <v>20200701</v>
      </c>
      <c r="E2663" s="1" t="str">
        <f>"郑州财经学院"</f>
        <v>郑州财经学院</v>
      </c>
      <c r="F2663" s="1" t="str">
        <f>"会计（注册会计师方向）"</f>
        <v>会计（注册会计师方向）</v>
      </c>
      <c r="G2663" s="1" t="str">
        <f>"南阳市两相东路汉景小区"</f>
        <v>南阳市两相东路汉景小区</v>
      </c>
      <c r="H2663" s="1" t="str">
        <f t="shared" si="1319"/>
        <v>无</v>
      </c>
      <c r="I2663" s="1" t="str">
        <f>"2017.9-2020.7郑州财经学院 会计专业 全日制"</f>
        <v>2017.9-2020.7郑州财经学院 会计专业 全日制</v>
      </c>
    </row>
    <row r="2664" spans="1:9">
      <c r="A2664" s="1" t="str">
        <f>"411327200308170015"</f>
        <v>411327200308170015</v>
      </c>
      <c r="B2664" s="1" t="str">
        <f>"共青团员"</f>
        <v>共青团员</v>
      </c>
      <c r="C2664" s="1" t="str">
        <f t="shared" si="1316"/>
        <v>专科</v>
      </c>
      <c r="D2664" s="1" t="str">
        <f>"20250630"</f>
        <v>20250630</v>
      </c>
      <c r="E2664" s="1" t="str">
        <f>"江西航空职业技术学院"</f>
        <v>江西航空职业技术学院</v>
      </c>
      <c r="F2664" s="1" t="str">
        <f>"无人机应用技术"</f>
        <v>无人机应用技术</v>
      </c>
      <c r="G2664" s="1" t="str">
        <f>"河南省南阳市内乡县"</f>
        <v>河南省南阳市内乡县</v>
      </c>
      <c r="H2664" s="1" t="str">
        <f t="shared" si="1319"/>
        <v>无</v>
      </c>
      <c r="I2664" s="1" t="str">
        <f>"202109-202506江西航空职业技术学院无人机应用技术专业，是全日制学历"</f>
        <v>202109-202506江西航空职业技术学院无人机应用技术专业，是全日制学历</v>
      </c>
    </row>
    <row r="2665" spans="1:9">
      <c r="A2665" s="1" t="str">
        <f>"411324200101052442"</f>
        <v>411324200101052442</v>
      </c>
      <c r="B2665" s="1" t="str">
        <f t="shared" ref="B2665:B2669" si="1320">"群众"</f>
        <v>群众</v>
      </c>
      <c r="C2665" s="1" t="str">
        <f t="shared" si="1318"/>
        <v>本科</v>
      </c>
      <c r="D2665" s="1" t="str">
        <f>"20230701"</f>
        <v>20230701</v>
      </c>
      <c r="E2665" s="1" t="str">
        <f>"商丘学院"</f>
        <v>商丘学院</v>
      </c>
      <c r="F2665" s="1" t="str">
        <f>"小学教育（师范）"</f>
        <v>小学教育（师范）</v>
      </c>
      <c r="G2665" s="1" t="str">
        <f>"河南省内乡县菊香苑"</f>
        <v>河南省内乡县菊香苑</v>
      </c>
      <c r="H2665" s="1" t="str">
        <f t="shared" si="1319"/>
        <v>无</v>
      </c>
      <c r="I2665" s="1" t="str">
        <f>"201309-201607  马山第二初级中学就读
201609-201907  内乡实验高中就读
201909-202307  商丘学院就读，小学教育（师范）本科全日制"</f>
        <v>201309-201607  马山第二初级中学就读
201609-201907  内乡实验高中就读
201909-202307  商丘学院就读，小学教育（师范）本科全日制</v>
      </c>
    </row>
    <row r="2666" spans="1:9">
      <c r="A2666" s="1" t="str">
        <f>"411381199706103566"</f>
        <v>411381199706103566</v>
      </c>
      <c r="B2666" s="1" t="str">
        <f t="shared" si="1320"/>
        <v>群众</v>
      </c>
      <c r="C2666" s="1" t="str">
        <f t="shared" ref="C2666:C2671" si="1321">"专科"</f>
        <v>专科</v>
      </c>
      <c r="D2666" s="1" t="str">
        <f>"2018.6"</f>
        <v>2018.6</v>
      </c>
      <c r="E2666" s="1" t="str">
        <f>"河北工程技术学院"</f>
        <v>河北工程技术学院</v>
      </c>
      <c r="F2666" s="1" t="str">
        <f>"会计"</f>
        <v>会计</v>
      </c>
      <c r="G2666" s="1" t="str">
        <f>"河南省南阳市卧龙区信臣中路七里香溪"</f>
        <v>河南省南阳市卧龙区信臣中路七里香溪</v>
      </c>
      <c r="H2666" s="1" t="str">
        <f t="shared" si="1319"/>
        <v>无</v>
      </c>
      <c r="I2666" s="1" t="str">
        <f>"201509-201806 在河北工程技术学院就读  全日制
201810-202211 在南阳市公安局看护支队工作
2022-至今 在家待业"</f>
        <v>201509-201806 在河北工程技术学院就读  全日制
201810-202211 在南阳市公安局看护支队工作
2022-至今 在家待业</v>
      </c>
    </row>
    <row r="2667" spans="1:9">
      <c r="A2667" s="1" t="str">
        <f>"411328199112012788"</f>
        <v>411328199112012788</v>
      </c>
      <c r="B2667" s="1" t="str">
        <f t="shared" si="1320"/>
        <v>群众</v>
      </c>
      <c r="C2667" s="1" t="str">
        <f t="shared" si="1318"/>
        <v>本科</v>
      </c>
      <c r="D2667" s="1" t="str">
        <f>"2023.07.01"</f>
        <v>2023.07.01</v>
      </c>
      <c r="E2667" s="1" t="str">
        <f>"周口师范学院"</f>
        <v>周口师范学院</v>
      </c>
      <c r="F2667" s="1" t="str">
        <f>"小学教育"</f>
        <v>小学教育</v>
      </c>
      <c r="G2667" s="1" t="str">
        <f>"河南省南阳市内乡县城关镇中央御景小区"</f>
        <v>河南省南阳市内乡县城关镇中央御景小区</v>
      </c>
      <c r="H2667" s="1" t="str">
        <f t="shared" si="1319"/>
        <v>无</v>
      </c>
      <c r="I2667" s="1" t="str">
        <f>"2021.03.01-2023.07.01周口师范学院 小学教育 函授
2023.09.01-2025.07.01复兴学校"</f>
        <v>2021.03.01-2023.07.01周口师范学院 小学教育 函授
2023.09.01-2025.07.01复兴学校</v>
      </c>
    </row>
    <row r="2668" spans="1:9">
      <c r="A2668" s="1" t="str">
        <f>"411303199609106782"</f>
        <v>411303199609106782</v>
      </c>
      <c r="B2668" s="1" t="str">
        <f t="shared" si="1320"/>
        <v>群众</v>
      </c>
      <c r="C2668" s="1" t="str">
        <f t="shared" si="1318"/>
        <v>本科</v>
      </c>
      <c r="D2668" s="1" t="str">
        <f>"201807"</f>
        <v>201807</v>
      </c>
      <c r="E2668" s="1" t="str">
        <f>"河南财经政法大学"</f>
        <v>河南财经政法大学</v>
      </c>
      <c r="F2668" s="1" t="str">
        <f>"知识产权"</f>
        <v>知识产权</v>
      </c>
      <c r="G2668" s="1" t="str">
        <f>"河南省南阳市卧龙区陆营镇"</f>
        <v>河南省南阳市卧龙区陆营镇</v>
      </c>
      <c r="H2668" s="1" t="str">
        <f>"法律职业资格证A证"</f>
        <v>法律职业资格证A证</v>
      </c>
      <c r="I2668" s="1" t="str">
        <f>"201409-201807河南财经政法大学民商经济法学院知识产权专业就读，全日制学历
201807-201902在河南省南阳市陆营镇待业
201902-202204在广州嘉权专利商标事务所有限公司珠海分公司，任项目工程师
202205-202310在河南博音律师事务所，任实习律师
202310至今在河南审度律师事务所，任执业律师"</f>
        <v>201409-201807河南财经政法大学民商经济法学院知识产权专业就读，全日制学历
201807-201902在河南省南阳市陆营镇待业
201902-202204在广州嘉权专利商标事务所有限公司珠海分公司，任项目工程师
202205-202310在河南博音律师事务所，任实习律师
202310至今在河南审度律师事务所，任执业律师</v>
      </c>
    </row>
    <row r="2669" spans="1:9">
      <c r="A2669" s="1" t="str">
        <f>"140828200007280015"</f>
        <v>140828200007280015</v>
      </c>
      <c r="B2669" s="1" t="str">
        <f t="shared" si="1320"/>
        <v>群众</v>
      </c>
      <c r="C2669" s="1" t="str">
        <f t="shared" si="1318"/>
        <v>本科</v>
      </c>
      <c r="D2669" s="1" t="str">
        <f>"20220701"</f>
        <v>20220701</v>
      </c>
      <c r="E2669" s="1" t="str">
        <f>"太原师范学院"</f>
        <v>太原师范学院</v>
      </c>
      <c r="F2669" s="1" t="str">
        <f>"经济学"</f>
        <v>经济学</v>
      </c>
      <c r="G2669" s="1" t="str">
        <f>"山西省运城市夏县小郭村"</f>
        <v>山西省运城市夏县小郭村</v>
      </c>
      <c r="H2669" s="1" t="str">
        <f t="shared" ref="H2669:H2677" si="1322">"无"</f>
        <v>无</v>
      </c>
      <c r="I2669" s="1" t="str">
        <f>"201809-202207在太原师范学院（全日制学历）经济系经济学就读
202208-202403在夏县待业
202404-202412在上海运城制版有限公司工作
202501至今在夏县待业"</f>
        <v>201809-202207在太原师范学院（全日制学历）经济系经济学就读
202208-202403在夏县待业
202404-202412在上海运城制版有限公司工作
202501至今在夏县待业</v>
      </c>
    </row>
    <row r="2670" spans="1:9">
      <c r="A2670" s="1" t="str">
        <f>"411221199212300218"</f>
        <v>411221199212300218</v>
      </c>
      <c r="B2670" s="1" t="str">
        <f t="shared" ref="B2670:B2673" si="1323">"中共党员"</f>
        <v>中共党员</v>
      </c>
      <c r="C2670" s="1" t="str">
        <f t="shared" si="1321"/>
        <v>专科</v>
      </c>
      <c r="D2670" s="1" t="str">
        <f>"20150701"</f>
        <v>20150701</v>
      </c>
      <c r="E2670" s="1" t="str">
        <f>"郑州职业技术学院"</f>
        <v>郑州职业技术学院</v>
      </c>
      <c r="F2670" s="1" t="str">
        <f>"供用电技术"</f>
        <v>供用电技术</v>
      </c>
      <c r="G2670" s="1" t="str">
        <f>"河南省三门峡渑池县"</f>
        <v>河南省三门峡渑池县</v>
      </c>
      <c r="H2670" s="1" t="str">
        <f t="shared" si="1322"/>
        <v>无</v>
      </c>
      <c r="I2670" s="1" t="str">
        <f>"20120901-20150701  郑州职业技术学院就读 全日制学历
20150901-20240901  66325部队服役
20240901-至今           在家学习"</f>
        <v>20120901-20150701  郑州职业技术学院就读 全日制学历
20150901-20240901  66325部队服役
20240901-至今           在家学习</v>
      </c>
    </row>
    <row r="2671" spans="1:9">
      <c r="A2671" s="1" t="str">
        <f>"411381200111133948"</f>
        <v>411381200111133948</v>
      </c>
      <c r="B2671" s="1" t="str">
        <f t="shared" si="1323"/>
        <v>中共党员</v>
      </c>
      <c r="C2671" s="1" t="str">
        <f t="shared" si="1321"/>
        <v>专科</v>
      </c>
      <c r="D2671" s="1" t="str">
        <f>"2023-07-01"</f>
        <v>2023-07-01</v>
      </c>
      <c r="E2671" s="1" t="str">
        <f>"商丘学院"</f>
        <v>商丘学院</v>
      </c>
      <c r="F2671" s="1" t="str">
        <f>"小学教育（师范）"</f>
        <v>小学教育（师范）</v>
      </c>
      <c r="G2671" s="1" t="str">
        <f>"河南省南阳市邓州市罗庄镇宅子村杜楼61号"</f>
        <v>河南省南阳市邓州市罗庄镇宅子村杜楼61号</v>
      </c>
      <c r="H2671" s="1" t="str">
        <f t="shared" si="1322"/>
        <v>无</v>
      </c>
      <c r="I2671" s="1" t="str">
        <f>"202009-202307 商丘学院  人文学院  小学教育（师范）就读 全日制专科
202307-202308 在家待业
202309-至今     河南省大学生西部计划乡村振兴志愿者（20250831服务期满）"</f>
        <v>202009-202307 商丘学院  人文学院  小学教育（师范）就读 全日制专科
202307-202308 在家待业
202309-至今     河南省大学生西部计划乡村振兴志愿者（20250831服务期满）</v>
      </c>
    </row>
    <row r="2672" spans="1:9">
      <c r="A2672" s="1" t="str">
        <f>"411327199410264522"</f>
        <v>411327199410264522</v>
      </c>
      <c r="B2672" s="1" t="str">
        <f t="shared" ref="B2672:B2678" si="1324">"群众"</f>
        <v>群众</v>
      </c>
      <c r="C2672" s="1" t="str">
        <f t="shared" ref="C2672:C2676" si="1325">"本科"</f>
        <v>本科</v>
      </c>
      <c r="D2672" s="1" t="str">
        <f>"20200701"</f>
        <v>20200701</v>
      </c>
      <c r="E2672" s="1" t="str">
        <f>"中原工学院"</f>
        <v>中原工学院</v>
      </c>
      <c r="F2672" s="1" t="str">
        <f>"摄影"</f>
        <v>摄影</v>
      </c>
      <c r="G2672" s="1" t="str">
        <f>"南阳市内乡县鼎融华府"</f>
        <v>南阳市内乡县鼎融华府</v>
      </c>
      <c r="H2672" s="1" t="str">
        <f t="shared" si="1322"/>
        <v>无</v>
      </c>
      <c r="I2672" s="1" t="str">
        <f>"201309-202007中原工学院艺术设计学院摄影专业就读全日制学历"</f>
        <v>201309-202007中原工学院艺术设计学院摄影专业就读全日制学历</v>
      </c>
    </row>
    <row r="2673" spans="1:9">
      <c r="A2673" s="1" t="str">
        <f>"411325200112252980"</f>
        <v>411325200112252980</v>
      </c>
      <c r="B2673" s="1" t="str">
        <f t="shared" si="1323"/>
        <v>中共党员</v>
      </c>
      <c r="C2673" s="1" t="str">
        <f t="shared" si="1325"/>
        <v>本科</v>
      </c>
      <c r="D2673" s="1" t="str">
        <f>"20240701"</f>
        <v>20240701</v>
      </c>
      <c r="E2673" s="1" t="str">
        <f>"郑州经贸学院"</f>
        <v>郑州经贸学院</v>
      </c>
      <c r="F2673" s="1" t="str">
        <f>"计算机科学与技术"</f>
        <v>计算机科学与技术</v>
      </c>
      <c r="G2673" s="1" t="str">
        <f>"内乡县城关镇广源路十二巷"</f>
        <v>内乡县城关镇广源路十二巷</v>
      </c>
      <c r="H2673" s="1" t="str">
        <f t="shared" si="1322"/>
        <v>无</v>
      </c>
      <c r="I2673" s="1" t="str">
        <f>"202009-202407 郑州经贸学院计算机学院计算机科学与技术专业就读，全日制学历
202407-至今 待业"</f>
        <v>202009-202407 郑州经贸学院计算机学院计算机科学与技术专业就读，全日制学历
202407-至今 待业</v>
      </c>
    </row>
    <row r="2674" spans="1:9">
      <c r="A2674" s="1" t="str">
        <f>"41132719951206007X"</f>
        <v>41132719951206007X</v>
      </c>
      <c r="B2674" s="1" t="str">
        <f t="shared" si="1324"/>
        <v>群众</v>
      </c>
      <c r="C2674" s="1" t="str">
        <f t="shared" ref="C2674:C2677" si="1326">"专科"</f>
        <v>专科</v>
      </c>
      <c r="D2674" s="1" t="str">
        <f>"2025年7月1日"</f>
        <v>2025年7月1日</v>
      </c>
      <c r="E2674" s="1" t="str">
        <f>"濮阳职业技术学院"</f>
        <v>濮阳职业技术学院</v>
      </c>
      <c r="F2674" s="1" t="str">
        <f>"小学教育"</f>
        <v>小学教育</v>
      </c>
      <c r="G2674" s="1" t="str">
        <f>"河南省南阳市内乡县城关镇渚阳大街598号"</f>
        <v>河南省南阳市内乡县城关镇渚阳大街598号</v>
      </c>
      <c r="H2674" s="1" t="str">
        <f t="shared" si="1322"/>
        <v>无</v>
      </c>
      <c r="I2674" s="1" t="str">
        <f>"2025年5月至2025年7月在濮阳职业技术学院就读，不是全日制学历"</f>
        <v>2025年5月至2025年7月在濮阳职业技术学院就读，不是全日制学历</v>
      </c>
    </row>
    <row r="2675" spans="1:9">
      <c r="A2675" s="1" t="str">
        <f>"411525200202160319"</f>
        <v>411525200202160319</v>
      </c>
      <c r="B2675" s="1" t="str">
        <f t="shared" ref="B2675:B2681" si="1327">"共青团员"</f>
        <v>共青团员</v>
      </c>
      <c r="C2675" s="1" t="str">
        <f t="shared" si="1326"/>
        <v>专科</v>
      </c>
      <c r="D2675" s="1" t="str">
        <f>"20230701"</f>
        <v>20230701</v>
      </c>
      <c r="E2675" s="1" t="str">
        <f>"郑州信息工程职业学院"</f>
        <v>郑州信息工程职业学院</v>
      </c>
      <c r="F2675" s="1" t="str">
        <f>"城市轨道交通运营管理"</f>
        <v>城市轨道交通运营管理</v>
      </c>
      <c r="G2675" s="1" t="str">
        <f>"河南省固始县陈元光广场对面格正教育"</f>
        <v>河南省固始县陈元光广场对面格正教育</v>
      </c>
      <c r="H2675" s="1" t="str">
        <f t="shared" si="1322"/>
        <v>无</v>
      </c>
      <c r="I2675" s="1" t="str">
        <f>"201809-202307郑州信息工程职业学院-城市轨道交通运营管理-就读-全日制
202307-202507-河南省固始县-待业"</f>
        <v>201809-202307郑州信息工程职业学院-城市轨道交通运营管理-就读-全日制
202307-202507-河南省固始县-待业</v>
      </c>
    </row>
    <row r="2676" spans="1:9">
      <c r="A2676" s="1" t="str">
        <f>"41152520030709811X"</f>
        <v>41152520030709811X</v>
      </c>
      <c r="B2676" s="1" t="str">
        <f t="shared" si="1327"/>
        <v>共青团员</v>
      </c>
      <c r="C2676" s="1" t="str">
        <f t="shared" si="1325"/>
        <v>本科</v>
      </c>
      <c r="D2676" s="1" t="str">
        <f>"20250701"</f>
        <v>20250701</v>
      </c>
      <c r="E2676" s="1" t="str">
        <f>"华北水利水电大学"</f>
        <v>华北水利水电大学</v>
      </c>
      <c r="F2676" s="1" t="str">
        <f>"应用化学"</f>
        <v>应用化学</v>
      </c>
      <c r="G2676" s="1" t="str">
        <f>"河南省信阳市固始县修水街道天玺华府"</f>
        <v>河南省信阳市固始县修水街道天玺华府</v>
      </c>
      <c r="H2676" s="1" t="str">
        <f t="shared" si="1322"/>
        <v>无</v>
      </c>
      <c r="I2676" s="1" t="str">
        <f>"202109-202507于华北水利水电大学生态环境学院应用化学专业就读，全日制"</f>
        <v>202109-202507于华北水利水电大学生态环境学院应用化学专业就读，全日制</v>
      </c>
    </row>
    <row r="2677" spans="1:9">
      <c r="A2677" s="1" t="str">
        <f>"411425200205161135"</f>
        <v>411425200205161135</v>
      </c>
      <c r="B2677" s="1" t="str">
        <f t="shared" si="1324"/>
        <v>群众</v>
      </c>
      <c r="C2677" s="1" t="str">
        <f t="shared" si="1326"/>
        <v>专科</v>
      </c>
      <c r="D2677" s="1" t="str">
        <f>"20250701"</f>
        <v>20250701</v>
      </c>
      <c r="E2677" s="1" t="str">
        <f>"广东交通职业技术学院"</f>
        <v>广东交通职业技术学院</v>
      </c>
      <c r="F2677" s="1" t="str">
        <f>"计算机网络技术"</f>
        <v>计算机网络技术</v>
      </c>
      <c r="G2677" s="1" t="str">
        <f>"河南省商丘市虞城县黄冢乡乔集村"</f>
        <v>河南省商丘市虞城县黄冢乡乔集村</v>
      </c>
      <c r="H2677" s="1" t="str">
        <f t="shared" si="1322"/>
        <v>无</v>
      </c>
      <c r="I2677" s="1" t="str">
        <f>"202209-20257 广东交通职业技术学院信息学院计算机网络技术专业（全日制专科）就读"</f>
        <v>202209-20257 广东交通职业技术学院信息学院计算机网络技术专业（全日制专科）就读</v>
      </c>
    </row>
    <row r="2678" spans="1:9">
      <c r="A2678" s="1" t="str">
        <f>"411327200311123914"</f>
        <v>411327200311123914</v>
      </c>
      <c r="B2678" s="1" t="str">
        <f t="shared" si="1324"/>
        <v>群众</v>
      </c>
      <c r="C2678" s="1" t="str">
        <f t="shared" ref="C2678:C2682" si="1328">"本科"</f>
        <v>本科</v>
      </c>
      <c r="D2678" s="1" t="str">
        <f>"20250612"</f>
        <v>20250612</v>
      </c>
      <c r="E2678" s="1" t="str">
        <f>"信阳农林学院"</f>
        <v>信阳农林学院</v>
      </c>
      <c r="F2678" s="1" t="str">
        <f>"园艺"</f>
        <v>园艺</v>
      </c>
      <c r="G2678" s="1" t="str">
        <f>"河南省内乡县乍曲镇红庙村北郭洼29号"</f>
        <v>河南省内乡县乍曲镇红庙村北郭洼29号</v>
      </c>
      <c r="H2678" s="1" t="str">
        <f>"三级蔬菜栽培工"</f>
        <v>三级蔬菜栽培工</v>
      </c>
      <c r="I2678" s="1" t="str">
        <f>"202109-202506信阳农林学院就读全日制"</f>
        <v>202109-202506信阳农林学院就读全日制</v>
      </c>
    </row>
    <row r="2679" spans="1:9">
      <c r="A2679" s="1" t="str">
        <f>"411327200107020328"</f>
        <v>411327200107020328</v>
      </c>
      <c r="B2679" s="1" t="str">
        <f t="shared" si="1327"/>
        <v>共青团员</v>
      </c>
      <c r="C2679" s="1" t="str">
        <f t="shared" si="1328"/>
        <v>本科</v>
      </c>
      <c r="D2679" s="1" t="str">
        <f>"20240701"</f>
        <v>20240701</v>
      </c>
      <c r="E2679" s="1" t="str">
        <f>"郑州商学院"</f>
        <v>郑州商学院</v>
      </c>
      <c r="F2679" s="1" t="str">
        <f>"财务管理"</f>
        <v>财务管理</v>
      </c>
      <c r="G2679" s="1" t="str">
        <f>"南阳市内乡县"</f>
        <v>南阳市内乡县</v>
      </c>
      <c r="H2679" s="1" t="str">
        <f>"会计证"</f>
        <v>会计证</v>
      </c>
      <c r="I2679" s="1" t="str">
        <f>"201909-202206郑州职业技术学院会计专业就读是全日制学历
202209-202407郑州商学院财务管理专业就读是全日制学历"</f>
        <v>201909-202206郑州职业技术学院会计专业就读是全日制学历
202209-202407郑州商学院财务管理专业就读是全日制学历</v>
      </c>
    </row>
    <row r="2680" spans="1:9">
      <c r="A2680" s="1" t="str">
        <f>"411327200105260045"</f>
        <v>411327200105260045</v>
      </c>
      <c r="B2680" s="1" t="str">
        <f t="shared" si="1327"/>
        <v>共青团员</v>
      </c>
      <c r="C2680" s="1" t="str">
        <f t="shared" ref="C2680:C2683" si="1329">"专科"</f>
        <v>专科</v>
      </c>
      <c r="D2680" s="1" t="str">
        <f>"2220701"</f>
        <v>2220701</v>
      </c>
      <c r="E2680" s="1" t="str">
        <f>"河南牧业经济学院"</f>
        <v>河南牧业经济学院</v>
      </c>
      <c r="F2680" s="1" t="str">
        <f>"会计学"</f>
        <v>会计学</v>
      </c>
      <c r="G2680" s="1" t="str">
        <f>"河南省南阳市"</f>
        <v>河南省南阳市</v>
      </c>
      <c r="H2680" s="1" t="str">
        <f t="shared" ref="H2680:H2682" si="1330">"无"</f>
        <v>无</v>
      </c>
      <c r="I2680" s="1" t="str">
        <f>"201909-202207 河南牧业经济学院国际教育学院会计学专业就读
202207-202303 在家待业
202303-202507 平顶山学院否全日制工商管理专业就读"</f>
        <v>201909-202207 河南牧业经济学院国际教育学院会计学专业就读
202207-202303 在家待业
202303-202507 平顶山学院否全日制工商管理专业就读</v>
      </c>
    </row>
    <row r="2681" spans="1:9">
      <c r="A2681" s="1" t="str">
        <f>"411326200110264829"</f>
        <v>411326200110264829</v>
      </c>
      <c r="B2681" s="1" t="str">
        <f t="shared" si="1327"/>
        <v>共青团员</v>
      </c>
      <c r="C2681" s="1" t="str">
        <f t="shared" si="1329"/>
        <v>专科</v>
      </c>
      <c r="D2681" s="1" t="str">
        <f>"20220701"</f>
        <v>20220701</v>
      </c>
      <c r="E2681" s="1" t="str">
        <f>"焦作师范高等专科学校"</f>
        <v>焦作师范高等专科学校</v>
      </c>
      <c r="F2681" s="1" t="str">
        <f>"语文教育"</f>
        <v>语文教育</v>
      </c>
      <c r="G2681" s="1" t="str">
        <f>"河南省南召县板山坪镇钟店村北楼组"</f>
        <v>河南省南召县板山坪镇钟店村北楼组</v>
      </c>
      <c r="H2681" s="1" t="str">
        <f t="shared" si="1330"/>
        <v>无</v>
      </c>
      <c r="I2681" s="1" t="str">
        <f>"201909-202207 焦作师范高等专科学校 文学院语文教育专业 是全日制学历
202207-至今在家待业"</f>
        <v>201909-202207 焦作师范高等专科学校 文学院语文教育专业 是全日制学历
202207-至今在家待业</v>
      </c>
    </row>
    <row r="2682" spans="1:9">
      <c r="A2682" s="1" t="str">
        <f>"412822199704030816"</f>
        <v>412822199704030816</v>
      </c>
      <c r="B2682" s="1" t="str">
        <f t="shared" ref="B2682:B2691" si="1331">"群众"</f>
        <v>群众</v>
      </c>
      <c r="C2682" s="1" t="str">
        <f t="shared" si="1328"/>
        <v>本科</v>
      </c>
      <c r="D2682" s="1" t="str">
        <f>"20200630"</f>
        <v>20200630</v>
      </c>
      <c r="E2682" s="1" t="str">
        <f>"武汉工程大学"</f>
        <v>武汉工程大学</v>
      </c>
      <c r="F2682" s="1" t="str">
        <f>"能源动力工程"</f>
        <v>能源动力工程</v>
      </c>
      <c r="G2682" s="1" t="str">
        <f>"河南省泌阳县东方红大街环保小区"</f>
        <v>河南省泌阳县东方红大街环保小区</v>
      </c>
      <c r="H2682" s="1" t="str">
        <f t="shared" si="1330"/>
        <v>无</v>
      </c>
      <c r="I2682" s="1" t="str">
        <f>"201609-202006 武汉工程大学 数理学院能源与动力工程专业 就读"</f>
        <v>201609-202006 武汉工程大学 数理学院能源与动力工程专业 就读</v>
      </c>
    </row>
    <row r="2683" spans="1:9">
      <c r="A2683" s="1" t="str">
        <f>"411303200410020522"</f>
        <v>411303200410020522</v>
      </c>
      <c r="B2683" s="1" t="str">
        <f t="shared" si="1331"/>
        <v>群众</v>
      </c>
      <c r="C2683" s="1" t="str">
        <f t="shared" si="1329"/>
        <v>专科</v>
      </c>
      <c r="D2683" s="1" t="str">
        <f>"20250701"</f>
        <v>20250701</v>
      </c>
      <c r="E2683" s="1" t="str">
        <f>"陕西服装工程学院"</f>
        <v>陕西服装工程学院</v>
      </c>
      <c r="F2683" s="1" t="str">
        <f>"小学教育（师范）"</f>
        <v>小学教育（师范）</v>
      </c>
      <c r="G2683" s="1" t="str">
        <f>"河南省南阳市卧龙区蒲山镇新中心市场"</f>
        <v>河南省南阳市卧龙区蒲山镇新中心市场</v>
      </c>
      <c r="H2683" s="1" t="str">
        <f>"中国舞蹈家协会《中国舞蹈考级》第四版1—3级的教学等级证书"</f>
        <v>中国舞蹈家协会《中国舞蹈考级》第四版1—3级的教学等级证书</v>
      </c>
      <c r="I2683" s="1" t="str">
        <f>"20220901—20250701在陕西服装工程学院就读全日制教育学院小学教育专业"</f>
        <v>20220901—20250701在陕西服装工程学院就读全日制教育学院小学教育专业</v>
      </c>
    </row>
    <row r="2684" spans="1:9">
      <c r="A2684" s="1" t="str">
        <f>"411330200308031566"</f>
        <v>411330200308031566</v>
      </c>
      <c r="B2684" s="1" t="str">
        <f>"中共预备党员"</f>
        <v>中共预备党员</v>
      </c>
      <c r="C2684" s="1" t="str">
        <f t="shared" ref="C2684:C2688" si="1332">"本科"</f>
        <v>本科</v>
      </c>
      <c r="D2684" s="1" t="str">
        <f>"20250630"</f>
        <v>20250630</v>
      </c>
      <c r="E2684" s="1" t="str">
        <f>"郑州师范学院"</f>
        <v>郑州师范学院</v>
      </c>
      <c r="F2684" s="1" t="str">
        <f>"小学教育（小学语文方向）"</f>
        <v>小学教育（小学语文方向）</v>
      </c>
      <c r="G2684" s="1" t="str">
        <f>"河南省南阳市西峡县太平镇乡松树门村茂林山庄5号楼102"</f>
        <v>河南省南阳市西峡县太平镇乡松树门村茂林山庄5号楼102</v>
      </c>
      <c r="H2684" s="1" t="str">
        <f t="shared" ref="H2684:H2686" si="1333">"无"</f>
        <v>无</v>
      </c>
      <c r="I2684" s="1" t="str">
        <f>"202109-202506 郑州师范学院初等教育学院小学教育（小学语文方向）就读"</f>
        <v>202109-202506 郑州师范学院初等教育学院小学教育（小学语文方向）就读</v>
      </c>
    </row>
    <row r="2685" spans="1:9">
      <c r="A2685" s="1" t="str">
        <f>"411381200301120013"</f>
        <v>411381200301120013</v>
      </c>
      <c r="B2685" s="1" t="str">
        <f>"共青团员"</f>
        <v>共青团员</v>
      </c>
      <c r="C2685" s="1" t="str">
        <f t="shared" ref="C2685:C2689" si="1334">"专科"</f>
        <v>专科</v>
      </c>
      <c r="D2685" s="1" t="str">
        <f>"20250613"</f>
        <v>20250613</v>
      </c>
      <c r="E2685" s="1" t="str">
        <f>"河南工程学院"</f>
        <v>河南工程学院</v>
      </c>
      <c r="F2685" s="1" t="str">
        <f>"工程造价"</f>
        <v>工程造价</v>
      </c>
      <c r="G2685" s="1" t="str">
        <f>"同华国际小区"</f>
        <v>同华国际小区</v>
      </c>
      <c r="H2685" s="1" t="str">
        <f t="shared" si="1333"/>
        <v>无</v>
      </c>
      <c r="I2685" s="1" t="str">
        <f>"202209-202506 河南工程学院国际教育学院工程造价专业就读  是全日制学历"</f>
        <v>202209-202506 河南工程学院国际教育学院工程造价专业就读  是全日制学历</v>
      </c>
    </row>
    <row r="2686" spans="1:9">
      <c r="A2686" s="1" t="str">
        <f>"410381199711210015"</f>
        <v>410381199711210015</v>
      </c>
      <c r="B2686" s="1" t="str">
        <f>"共青团员"</f>
        <v>共青团员</v>
      </c>
      <c r="C2686" s="1" t="str">
        <f t="shared" si="1332"/>
        <v>本科</v>
      </c>
      <c r="D2686" s="1" t="str">
        <f>"2025-07-01"</f>
        <v>2025-07-01</v>
      </c>
      <c r="E2686" s="1" t="str">
        <f>"河南农业大学"</f>
        <v>河南农业大学</v>
      </c>
      <c r="F2686" s="1" t="str">
        <f>"园林"</f>
        <v>园林</v>
      </c>
      <c r="G2686" s="1" t="str">
        <f>"河南省洛阳市瀍河区恒大绿洲西区"</f>
        <v>河南省洛阳市瀍河区恒大绿洲西区</v>
      </c>
      <c r="H2686" s="1" t="str">
        <f t="shared" si="1333"/>
        <v>无</v>
      </c>
      <c r="I2686" s="1" t="str">
        <f>"201609-201906 四川传媒学院 人物形象设计专业 全日制专科
201906-202109 四川曦辰农业科技有限公司 自主创业
202109-202304 豫游记 员工
202304-202507 四川农业大学 园林 非全日制本科"</f>
        <v>201609-201906 四川传媒学院 人物形象设计专业 全日制专科
201906-202109 四川曦辰农业科技有限公司 自主创业
202109-202304 豫游记 员工
202304-202507 四川农业大学 园林 非全日制本科</v>
      </c>
    </row>
    <row r="2687" spans="1:9">
      <c r="A2687" s="1" t="str">
        <f>"411327200404080036"</f>
        <v>411327200404080036</v>
      </c>
      <c r="B2687" s="1" t="str">
        <f t="shared" si="1331"/>
        <v>群众</v>
      </c>
      <c r="C2687" s="1" t="str">
        <f t="shared" si="1334"/>
        <v>专科</v>
      </c>
      <c r="D2687" s="1" t="str">
        <f>"20230701"</f>
        <v>20230701</v>
      </c>
      <c r="E2687" s="1" t="str">
        <f>"河南工业职业技术学院"</f>
        <v>河南工业职业技术学院</v>
      </c>
      <c r="F2687" s="1" t="str">
        <f>"市场营销"</f>
        <v>市场营销</v>
      </c>
      <c r="G2687" s="1" t="str">
        <f>"河南省南阳市内乡县"</f>
        <v>河南省南阳市内乡县</v>
      </c>
      <c r="H2687" s="1" t="str">
        <f>"初级营销策划经理专业资格证书"</f>
        <v>初级营销策划经理专业资格证书</v>
      </c>
      <c r="I2687" s="1" t="str">
        <f>"2020年7月1日至2023年7月1日年河南工业职业技术学院，经管系就读是全日制学历。"</f>
        <v>2020年7月1日至2023年7月1日年河南工业职业技术学院，经管系就读是全日制学历。</v>
      </c>
    </row>
    <row r="2688" spans="1:9">
      <c r="A2688" s="1" t="str">
        <f>"411326199907310022"</f>
        <v>411326199907310022</v>
      </c>
      <c r="B2688" s="1" t="str">
        <f t="shared" si="1331"/>
        <v>群众</v>
      </c>
      <c r="C2688" s="1" t="str">
        <f t="shared" si="1332"/>
        <v>本科</v>
      </c>
      <c r="D2688" s="1" t="str">
        <f>"20220701"</f>
        <v>20220701</v>
      </c>
      <c r="E2688" s="1" t="str">
        <f>"郑州商学院"</f>
        <v>郑州商学院</v>
      </c>
      <c r="F2688" s="1" t="str">
        <f>"学前教育（师范）"</f>
        <v>学前教育（师范）</v>
      </c>
      <c r="G2688" s="1" t="str">
        <f>"河南省南召县"</f>
        <v>河南省南召县</v>
      </c>
      <c r="H2688" s="1" t="str">
        <f t="shared" ref="H2688:H2690" si="1335">"无"</f>
        <v>无</v>
      </c>
      <c r="I2688" s="1" t="str">
        <f>"201809-202207郑州商学院就读"</f>
        <v>201809-202207郑州商学院就读</v>
      </c>
    </row>
    <row r="2689" spans="1:9">
      <c r="A2689" s="1" t="str">
        <f>"411328200412240067"</f>
        <v>411328200412240067</v>
      </c>
      <c r="B2689" s="1" t="str">
        <f t="shared" si="1331"/>
        <v>群众</v>
      </c>
      <c r="C2689" s="1" t="str">
        <f t="shared" si="1334"/>
        <v>专科</v>
      </c>
      <c r="D2689" s="1" t="str">
        <f>"20250612"</f>
        <v>20250612</v>
      </c>
      <c r="E2689" s="1" t="str">
        <f>"浙江药科职业大学"</f>
        <v>浙江药科职业大学</v>
      </c>
      <c r="F2689" s="1" t="str">
        <f>"药品质量与安全（药品质量检测）"</f>
        <v>药品质量与安全（药品质量检测）</v>
      </c>
      <c r="G2689" s="1" t="str">
        <f>"河南省南阳市新野县书院路金域中央城"</f>
        <v>河南省南阳市新野县书院路金域中央城</v>
      </c>
      <c r="H2689" s="1" t="str">
        <f t="shared" si="1335"/>
        <v>无</v>
      </c>
      <c r="I2689" s="1" t="str">
        <f>"202209-202506 浙江药科职业大学 就读"</f>
        <v>202209-202506 浙江药科职业大学 就读</v>
      </c>
    </row>
    <row r="2690" spans="1:9">
      <c r="A2690" s="1" t="str">
        <f>"412926199906120079"</f>
        <v>412926199906120079</v>
      </c>
      <c r="B2690" s="1" t="str">
        <f t="shared" si="1331"/>
        <v>群众</v>
      </c>
      <c r="C2690" s="1" t="str">
        <f t="shared" ref="C2690:C2697" si="1336">"本科"</f>
        <v>本科</v>
      </c>
      <c r="D2690" s="1" t="str">
        <f>"20210701"</f>
        <v>20210701</v>
      </c>
      <c r="E2690" s="1" t="str">
        <f>"黄河科技学院"</f>
        <v>黄河科技学院</v>
      </c>
      <c r="F2690" s="1" t="str">
        <f>"广播电视编导"</f>
        <v>广播电视编导</v>
      </c>
      <c r="G2690" s="1" t="str">
        <f>"内乡县金泰城灯饰"</f>
        <v>内乡县金泰城灯饰</v>
      </c>
      <c r="H2690" s="1" t="str">
        <f t="shared" si="1335"/>
        <v>无</v>
      </c>
      <c r="I2690" s="1" t="str">
        <f>"201709-202107 黄河科技学院 艺体部 广播电视编导专业就读 全日制学历"</f>
        <v>201709-202107 黄河科技学院 艺体部 广播电视编导专业就读 全日制学历</v>
      </c>
    </row>
    <row r="2691" spans="1:9">
      <c r="A2691" s="1" t="str">
        <f>"411327199412011561"</f>
        <v>411327199412011561</v>
      </c>
      <c r="B2691" s="1" t="str">
        <f t="shared" si="1331"/>
        <v>群众</v>
      </c>
      <c r="C2691" s="1" t="str">
        <f>"专科"</f>
        <v>专科</v>
      </c>
      <c r="D2691" s="1" t="str">
        <f>"2016.07.01"</f>
        <v>2016.07.01</v>
      </c>
      <c r="E2691" s="1" t="str">
        <f>"新乡医学院三全学院"</f>
        <v>新乡医学院三全学院</v>
      </c>
      <c r="F2691" s="1" t="str">
        <f>"护理"</f>
        <v>护理</v>
      </c>
      <c r="G2691" s="1" t="str">
        <f>"城关镇范蠡大街99号"</f>
        <v>城关镇范蠡大街99号</v>
      </c>
      <c r="H2691" s="1" t="str">
        <f>"初级护师"</f>
        <v>初级护师</v>
      </c>
      <c r="I2691" s="1" t="str">
        <f>"2013.06-2016.07在新乡医学院三全学院就读。全日制专科"</f>
        <v>2013.06-2016.07在新乡医学院三全学院就读。全日制专科</v>
      </c>
    </row>
    <row r="2692" spans="1:9">
      <c r="A2692" s="1" t="str">
        <f>"411327200310280053"</f>
        <v>411327200310280053</v>
      </c>
      <c r="B2692" s="1" t="str">
        <f t="shared" ref="B2692:B2698" si="1337">"共青团员"</f>
        <v>共青团员</v>
      </c>
      <c r="C2692" s="1" t="str">
        <f t="shared" si="1336"/>
        <v>本科</v>
      </c>
      <c r="D2692" s="1" t="str">
        <f>"20250607"</f>
        <v>20250607</v>
      </c>
      <c r="E2692" s="1" t="str">
        <f>"河南牧业经济学院"</f>
        <v>河南牧业经济学院</v>
      </c>
      <c r="F2692" s="1" t="str">
        <f>"投资学"</f>
        <v>投资学</v>
      </c>
      <c r="G2692" s="1" t="str">
        <f>"河南省内乡县金城花园"</f>
        <v>河南省内乡县金城花园</v>
      </c>
      <c r="H2692" s="1" t="str">
        <f t="shared" ref="H2692:H2702" si="1338">"无"</f>
        <v>无</v>
      </c>
      <c r="I2692" s="1" t="str">
        <f>"202109-202506 河南牧业经济学院 金融与会计学院 投资学 就读 全日制学历"</f>
        <v>202109-202506 河南牧业经济学院 金融与会计学院 投资学 就读 全日制学历</v>
      </c>
    </row>
    <row r="2693" spans="1:9">
      <c r="A2693" s="1" t="str">
        <f>"410326199502220028"</f>
        <v>410326199502220028</v>
      </c>
      <c r="B2693" s="1" t="str">
        <f>"中共党员"</f>
        <v>中共党员</v>
      </c>
      <c r="C2693" s="1" t="str">
        <f t="shared" si="1336"/>
        <v>本科</v>
      </c>
      <c r="D2693" s="1" t="str">
        <f>"2017-7-31"</f>
        <v>2017-7-31</v>
      </c>
      <c r="E2693" s="1" t="str">
        <f>"国家开放大学"</f>
        <v>国家开放大学</v>
      </c>
      <c r="F2693" s="1" t="str">
        <f>"学前教育"</f>
        <v>学前教育</v>
      </c>
      <c r="G2693" s="1" t="str">
        <f>"河南省洛阳市汝阳县城关镇半岛国际"</f>
        <v>河南省洛阳市汝阳县城关镇半岛国际</v>
      </c>
      <c r="H2693" s="1" t="str">
        <f t="shared" si="1338"/>
        <v>无</v>
      </c>
      <c r="I2693" s="1" t="str">
        <f>"201503-2017-07 国家开放大学 学前教育专业就读 非全日制学历
201707-201806 汝阳县第一高级中学 复读
201809-202106 平顶山职业技术学院 中文系语文教育专业就读 前日至学历
202111-至今 汝阳县发展和改革委员会工作"</f>
        <v>201503-2017-07 国家开放大学 学前教育专业就读 非全日制学历
201707-201806 汝阳县第一高级中学 复读
201809-202106 平顶山职业技术学院 中文系语文教育专业就读 前日至学历
202111-至今 汝阳县发展和改革委员会工作</v>
      </c>
    </row>
    <row r="2694" spans="1:9">
      <c r="A2694" s="1" t="str">
        <f>"411326200108124042"</f>
        <v>411326200108124042</v>
      </c>
      <c r="B2694" s="1" t="str">
        <f>"群众"</f>
        <v>群众</v>
      </c>
      <c r="C2694" s="1" t="str">
        <f t="shared" si="1336"/>
        <v>本科</v>
      </c>
      <c r="D2694" s="1" t="str">
        <f>"20240701"</f>
        <v>20240701</v>
      </c>
      <c r="E2694" s="1" t="str">
        <f>"郑州经贸学院"</f>
        <v>郑州经贸学院</v>
      </c>
      <c r="F2694" s="1" t="str">
        <f>"环境设计"</f>
        <v>环境设计</v>
      </c>
      <c r="G2694" s="1" t="str">
        <f>"河南省南阳市南召县电信大楼对面"</f>
        <v>河南省南阳市南召县电信大楼对面</v>
      </c>
      <c r="H2694" s="1" t="str">
        <f t="shared" si="1338"/>
        <v>无</v>
      </c>
      <c r="I2694" s="1" t="str">
        <f>"202009-202407郑州经贸学院就读于环境设计专业，是全日制学历。"</f>
        <v>202009-202407郑州经贸学院就读于环境设计专业，是全日制学历。</v>
      </c>
    </row>
    <row r="2695" spans="1:9">
      <c r="A2695" s="1" t="str">
        <f>"411327200108024224"</f>
        <v>411327200108024224</v>
      </c>
      <c r="B2695" s="1" t="str">
        <f t="shared" si="1337"/>
        <v>共青团员</v>
      </c>
      <c r="C2695" s="1" t="str">
        <f t="shared" si="1336"/>
        <v>本科</v>
      </c>
      <c r="D2695" s="1" t="str">
        <f>"20230701"</f>
        <v>20230701</v>
      </c>
      <c r="E2695" s="1" t="str">
        <f>"许昌学院"</f>
        <v>许昌学院</v>
      </c>
      <c r="F2695" s="1" t="str">
        <f>"工商管理"</f>
        <v>工商管理</v>
      </c>
      <c r="G2695" s="1" t="str">
        <f>"河南省南阳市内乡县余关镇梁坪村北庄组"</f>
        <v>河南省南阳市内乡县余关镇梁坪村北庄组</v>
      </c>
      <c r="H2695" s="1" t="str">
        <f t="shared" si="1338"/>
        <v>无</v>
      </c>
      <c r="I2695" s="1" t="str">
        <f>"201809-202106  河南职业技术学院商学院会计专业就读
202109-202306   许昌学院商学院工商管理专业就读"</f>
        <v>201809-202106  河南职业技术学院商学院会计专业就读
202109-202306   许昌学院商学院工商管理专业就读</v>
      </c>
    </row>
    <row r="2696" spans="1:9">
      <c r="A2696" s="1" t="str">
        <f>"411327200004203324"</f>
        <v>411327200004203324</v>
      </c>
      <c r="B2696" s="1" t="str">
        <f>"中共党员"</f>
        <v>中共党员</v>
      </c>
      <c r="C2696" s="1" t="str">
        <f t="shared" si="1336"/>
        <v>本科</v>
      </c>
      <c r="D2696" s="1" t="str">
        <f>"20220701"</f>
        <v>20220701</v>
      </c>
      <c r="E2696" s="1" t="str">
        <f>"信阳师范学院"</f>
        <v>信阳师范学院</v>
      </c>
      <c r="F2696" s="1" t="str">
        <f>"工程管理"</f>
        <v>工程管理</v>
      </c>
      <c r="G2696" s="1" t="str">
        <f>"河南省南阳市内乡县夏馆镇"</f>
        <v>河南省南阳市内乡县夏馆镇</v>
      </c>
      <c r="H2696" s="1" t="str">
        <f t="shared" si="1338"/>
        <v>无</v>
      </c>
      <c r="I2696" s="1" t="str">
        <f>"201809-202207信阳师范学院就读
202209-202507内乡县夏馆镇镇北中心小学教师"</f>
        <v>201809-202207信阳师范学院就读
202209-202507内乡县夏馆镇镇北中心小学教师</v>
      </c>
    </row>
    <row r="2697" spans="1:9">
      <c r="A2697" s="1" t="str">
        <f>"411121200004250025"</f>
        <v>411121200004250025</v>
      </c>
      <c r="B2697" s="1" t="str">
        <f t="shared" si="1337"/>
        <v>共青团员</v>
      </c>
      <c r="C2697" s="1" t="str">
        <f t="shared" si="1336"/>
        <v>本科</v>
      </c>
      <c r="D2697" s="1" t="str">
        <f>"20250615"</f>
        <v>20250615</v>
      </c>
      <c r="E2697" s="1" t="str">
        <f>"河南理工大学"</f>
        <v>河南理工大学</v>
      </c>
      <c r="F2697" s="1" t="str">
        <f>"法学"</f>
        <v>法学</v>
      </c>
      <c r="G2697" s="1" t="str">
        <f>"河南省舞阳县祥源雅居"</f>
        <v>河南省舞阳县祥源雅居</v>
      </c>
      <c r="H2697" s="1" t="str">
        <f t="shared" si="1338"/>
        <v>无</v>
      </c>
      <c r="I2697" s="1" t="str">
        <f>"201809-202107  天津现代职业技术学院 传播与策划  全日制
202107-202304   待业
202304-202506   河南理工大学  法学  非全日制"</f>
        <v>201809-202107  天津现代职业技术学院 传播与策划  全日制
202107-202304   待业
202304-202506   河南理工大学  法学  非全日制</v>
      </c>
    </row>
    <row r="2698" spans="1:9">
      <c r="A2698" s="1" t="str">
        <f>"411381200210235317"</f>
        <v>411381200210235317</v>
      </c>
      <c r="B2698" s="1" t="str">
        <f t="shared" si="1337"/>
        <v>共青团员</v>
      </c>
      <c r="C2698" s="1" t="str">
        <f>"专科"</f>
        <v>专科</v>
      </c>
      <c r="D2698" s="1" t="str">
        <f>"20250701"</f>
        <v>20250701</v>
      </c>
      <c r="E2698" s="1" t="str">
        <f>"黄河水利职业技术大学"</f>
        <v>黄河水利职业技术大学</v>
      </c>
      <c r="F2698" s="1" t="str">
        <f>"环境艺术设计"</f>
        <v>环境艺术设计</v>
      </c>
      <c r="G2698" s="1" t="str">
        <f>"河南省邓州市文渠镇"</f>
        <v>河南省邓州市文渠镇</v>
      </c>
      <c r="H2698" s="1" t="str">
        <f t="shared" si="1338"/>
        <v>无</v>
      </c>
      <c r="I2698" s="1" t="str">
        <f>"2020.10—2021.01黄河水利职业技术大学国际教育学院环境艺术设计专业就读
2021.03—2023.03服役于武警内蒙古总队呼和浩特支队
2023.03—2025.07黄河水利职业技术大学国际教育学院环境艺术设计专业就读"</f>
        <v>2020.10—2021.01黄河水利职业技术大学国际教育学院环境艺术设计专业就读
2021.03—2023.03服役于武警内蒙古总队呼和浩特支队
2023.03—2025.07黄河水利职业技术大学国际教育学院环境艺术设计专业就读</v>
      </c>
    </row>
    <row r="2699" spans="1:9">
      <c r="A2699" s="1" t="str">
        <f>"411327200212250029"</f>
        <v>411327200212250029</v>
      </c>
      <c r="B2699" s="1" t="str">
        <f t="shared" ref="B2699:B2702" si="1339">"群众"</f>
        <v>群众</v>
      </c>
      <c r="C2699" s="1" t="str">
        <f t="shared" ref="C2699:C2705" si="1340">"本科"</f>
        <v>本科</v>
      </c>
      <c r="D2699" s="1" t="str">
        <f>"20240621"</f>
        <v>20240621</v>
      </c>
      <c r="E2699" s="1" t="str">
        <f>"中华女子学院"</f>
        <v>中华女子学院</v>
      </c>
      <c r="F2699" s="1" t="str">
        <f>"人力资源管理"</f>
        <v>人力资源管理</v>
      </c>
      <c r="G2699" s="1" t="str">
        <f>"南阳市内乡县城关镇"</f>
        <v>南阳市内乡县城关镇</v>
      </c>
      <c r="H2699" s="1" t="str">
        <f t="shared" si="1338"/>
        <v>无</v>
      </c>
      <c r="I2699" s="1" t="str">
        <f>"202009—202406 中华女子学院 管理学院人力资源管理专业全日制就读"</f>
        <v>202009—202406 中华女子学院 管理学院人力资源管理专业全日制就读</v>
      </c>
    </row>
    <row r="2700" spans="1:9">
      <c r="A2700" s="1" t="str">
        <f>"411327199601122922"</f>
        <v>411327199601122922</v>
      </c>
      <c r="B2700" s="1" t="str">
        <f t="shared" si="1339"/>
        <v>群众</v>
      </c>
      <c r="C2700" s="1" t="str">
        <f t="shared" si="1340"/>
        <v>本科</v>
      </c>
      <c r="D2700" s="1" t="str">
        <f>"20180701"</f>
        <v>20180701</v>
      </c>
      <c r="E2700" s="1" t="str">
        <f>"安阳工学院"</f>
        <v>安阳工学院</v>
      </c>
      <c r="F2700" s="1" t="str">
        <f>"广播电视编导"</f>
        <v>广播电视编导</v>
      </c>
      <c r="G2700" s="1" t="str">
        <f>"内乡县城关镇左岸皇朝7号楼"</f>
        <v>内乡县城关镇左岸皇朝7号楼</v>
      </c>
      <c r="H2700" s="1" t="str">
        <f t="shared" si="1338"/>
        <v>无</v>
      </c>
      <c r="I2700" s="1" t="str">
        <f>"201409-201807 安阳工学院文法学院广播电视编导专业全日制本科就读
201807-201809 待业
201809-202109 内乡县人力资源和社会保障局工作
202109-至今      内乡县人民政府办公室工作"</f>
        <v>201409-201807 安阳工学院文法学院广播电视编导专业全日制本科就读
201807-201809 待业
201809-202109 内乡县人力资源和社会保障局工作
202109-至今      内乡县人民政府办公室工作</v>
      </c>
    </row>
    <row r="2701" spans="1:9">
      <c r="A2701" s="1" t="str">
        <f>"411327200211150069"</f>
        <v>411327200211150069</v>
      </c>
      <c r="B2701" s="1" t="str">
        <f t="shared" si="1339"/>
        <v>群众</v>
      </c>
      <c r="C2701" s="1" t="str">
        <f t="shared" si="1340"/>
        <v>本科</v>
      </c>
      <c r="D2701" s="1" t="str">
        <f>"2025-07-01"</f>
        <v>2025-07-01</v>
      </c>
      <c r="E2701" s="1" t="str">
        <f>"南阳理工学院"</f>
        <v>南阳理工学院</v>
      </c>
      <c r="F2701" s="1" t="str">
        <f>"音乐学"</f>
        <v>音乐学</v>
      </c>
      <c r="G2701" s="1" t="str">
        <f>"河南省南阳市内乡县大成相府小区"</f>
        <v>河南省南阳市内乡县大成相府小区</v>
      </c>
      <c r="H2701" s="1" t="str">
        <f t="shared" si="1338"/>
        <v>无</v>
      </c>
      <c r="I2701" s="1" t="str">
        <f>"202109-202507 南阳理工学院 教师教育学院 音乐学 就读"</f>
        <v>202109-202507 南阳理工学院 教师教育学院 音乐学 就读</v>
      </c>
    </row>
    <row r="2702" spans="1:9">
      <c r="A2702" s="1" t="str">
        <f>"411521199807260039"</f>
        <v>411521199807260039</v>
      </c>
      <c r="B2702" s="1" t="str">
        <f t="shared" si="1339"/>
        <v>群众</v>
      </c>
      <c r="C2702" s="1" t="str">
        <f t="shared" si="1340"/>
        <v>本科</v>
      </c>
      <c r="D2702" s="1" t="str">
        <f>"20210701"</f>
        <v>20210701</v>
      </c>
      <c r="E2702" s="1" t="str">
        <f>"河南牧业经济学院"</f>
        <v>河南牧业经济学院</v>
      </c>
      <c r="F2702" s="1" t="str">
        <f>"能源与动力工程"</f>
        <v>能源与动力工程</v>
      </c>
      <c r="G2702" s="1" t="str">
        <f>"河南省信阳市罗山县龙山街道万隆和谐家园"</f>
        <v>河南省信阳市罗山县龙山街道万隆和谐家园</v>
      </c>
      <c r="H2702" s="1" t="str">
        <f t="shared" si="1338"/>
        <v>无</v>
      </c>
      <c r="I2702" s="1" t="str">
        <f>"2013年9月—2017年6月 河南省罗山高级中学就读
2017年9月—2021年6月 河南牧业经济学院就读
2021年7月—2022年3月 待业
2022年4月—2024年2月 罗山县行政审批与政务信息管理局人事代理
2024年3月— 2025年7月待业"</f>
        <v>2013年9月—2017年6月 河南省罗山高级中学就读
2017年9月—2021年6月 河南牧业经济学院就读
2021年7月—2022年3月 待业
2022年4月—2024年2月 罗山县行政审批与政务信息管理局人事代理
2024年3月— 2025年7月待业</v>
      </c>
    </row>
    <row r="2703" spans="1:9">
      <c r="A2703" s="1" t="str">
        <f>"411327200109122045"</f>
        <v>411327200109122045</v>
      </c>
      <c r="B2703" s="1" t="str">
        <f t="shared" ref="B2703:B2706" si="1341">"共青团员"</f>
        <v>共青团员</v>
      </c>
      <c r="C2703" s="1" t="str">
        <f t="shared" si="1340"/>
        <v>本科</v>
      </c>
      <c r="D2703" s="1" t="str">
        <f>"20230701"</f>
        <v>20230701</v>
      </c>
      <c r="E2703" s="1" t="str">
        <f>"郑州师范学院"</f>
        <v>郑州师范学院</v>
      </c>
      <c r="F2703" s="1" t="str">
        <f>"汉语言"</f>
        <v>汉语言</v>
      </c>
      <c r="G2703" s="1" t="str">
        <f>"河南省内乡县师岗镇师岗村李北91号"</f>
        <v>河南省内乡县师岗镇师岗村李北91号</v>
      </c>
      <c r="H2703" s="1" t="str">
        <f>"高中语文教师资格证"</f>
        <v>高中语文教师资格证</v>
      </c>
      <c r="I2703" s="1" t="str">
        <f>"201909-202307 郑州师范学院文学院汉语言专业 就读。
202309-202407 内乡菊潭学校 工作。
202409-202507 社旗县宛东实验高中 工作。"</f>
        <v>201909-202307 郑州师范学院文学院汉语言专业 就读。
202309-202407 内乡菊潭学校 工作。
202409-202507 社旗县宛东实验高中 工作。</v>
      </c>
    </row>
    <row r="2704" spans="1:9">
      <c r="A2704" s="1" t="str">
        <f>"410422200110114344"</f>
        <v>410422200110114344</v>
      </c>
      <c r="B2704" s="1" t="str">
        <f t="shared" si="1341"/>
        <v>共青团员</v>
      </c>
      <c r="C2704" s="1" t="str">
        <f t="shared" si="1340"/>
        <v>本科</v>
      </c>
      <c r="D2704" s="1" t="str">
        <f>"20240701"</f>
        <v>20240701</v>
      </c>
      <c r="E2704" s="1" t="str">
        <f>"安阳工学院"</f>
        <v>安阳工学院</v>
      </c>
      <c r="F2704" s="1" t="str">
        <f>"物联网工程"</f>
        <v>物联网工程</v>
      </c>
      <c r="G2704" s="1" t="str">
        <f>"河南省平顶山市新华区曙光街与彩虹路交叉口"</f>
        <v>河南省平顶山市新华区曙光街与彩虹路交叉口</v>
      </c>
      <c r="H2704" s="1" t="str">
        <f t="shared" ref="H2704:H2708" si="1342">"无"</f>
        <v>无</v>
      </c>
      <c r="I2704" s="1" t="str">
        <f>"202009-202407 安阳工学院 计算机科学与信息工程学院 物联网工程专业 
全日制本科"</f>
        <v>202009-202407 安阳工学院 计算机科学与信息工程学院 物联网工程专业 
全日制本科</v>
      </c>
    </row>
    <row r="2705" spans="1:9">
      <c r="A2705" s="1" t="str">
        <f>"411327199912064221"</f>
        <v>411327199912064221</v>
      </c>
      <c r="B2705" s="1" t="str">
        <f t="shared" si="1341"/>
        <v>共青团员</v>
      </c>
      <c r="C2705" s="1" t="str">
        <f t="shared" si="1340"/>
        <v>本科</v>
      </c>
      <c r="D2705" s="1" t="str">
        <f>"2023-07-01"</f>
        <v>2023-07-01</v>
      </c>
      <c r="E2705" s="1" t="str">
        <f>"平顶山学院"</f>
        <v>平顶山学院</v>
      </c>
      <c r="F2705" s="1" t="str">
        <f>"保险学"</f>
        <v>保险学</v>
      </c>
      <c r="G2705" s="1" t="str">
        <f>"河南省南阳市内乡县余关乡朱沟村"</f>
        <v>河南省南阳市内乡县余关乡朱沟村</v>
      </c>
      <c r="H2705" s="1" t="str">
        <f t="shared" si="1342"/>
        <v>无</v>
      </c>
      <c r="I2705" s="1" t="str">
        <f>"2019-2023年在平顶山学院经济管理学院保险学就读"</f>
        <v>2019-2023年在平顶山学院经济管理学院保险学就读</v>
      </c>
    </row>
    <row r="2706" spans="1:9">
      <c r="A2706" s="1" t="str">
        <f>"411628200310058615"</f>
        <v>411628200310058615</v>
      </c>
      <c r="B2706" s="1" t="str">
        <f t="shared" si="1341"/>
        <v>共青团员</v>
      </c>
      <c r="C2706" s="1" t="str">
        <f t="shared" ref="C2706:C2708" si="1343">"专科"</f>
        <v>专科</v>
      </c>
      <c r="D2706" s="1" t="str">
        <f>"20250630"</f>
        <v>20250630</v>
      </c>
      <c r="E2706" s="1" t="str">
        <f>"南阳科技职业学院"</f>
        <v>南阳科技职业学院</v>
      </c>
      <c r="F2706" s="1" t="str">
        <f>"音乐表演"</f>
        <v>音乐表演</v>
      </c>
      <c r="G2706" s="1" t="str">
        <f>"河南省周口市鹿邑县贾滩乡王桥村"</f>
        <v>河南省周口市鹿邑县贾滩乡王桥村</v>
      </c>
      <c r="H2706" s="1" t="str">
        <f t="shared" si="1342"/>
        <v>无</v>
      </c>
      <c r="I2706" s="1" t="str">
        <f>"20220911-20250630 全日制专科南阳科技职业学院人文艺术学院音乐表演专业2201班就读"</f>
        <v>20220911-20250630 全日制专科南阳科技职业学院人文艺术学院音乐表演专业2201班就读</v>
      </c>
    </row>
    <row r="2707" spans="1:9">
      <c r="A2707" s="1" t="str">
        <f>"411327200309151529"</f>
        <v>411327200309151529</v>
      </c>
      <c r="B2707" s="1" t="str">
        <f>"中共预备党员"</f>
        <v>中共预备党员</v>
      </c>
      <c r="C2707" s="1" t="str">
        <f t="shared" si="1343"/>
        <v>专科</v>
      </c>
      <c r="D2707" s="1" t="str">
        <f>"20240607"</f>
        <v>20240607</v>
      </c>
      <c r="E2707" s="1" t="str">
        <f>"河南科技学院"</f>
        <v>河南科技学院</v>
      </c>
      <c r="F2707" s="1" t="str">
        <f>"畜牧兽医"</f>
        <v>畜牧兽医</v>
      </c>
      <c r="G2707" s="1" t="str">
        <f>"河南省南阳市内乡县湍东镇"</f>
        <v>河南省南阳市内乡县湍东镇</v>
      </c>
      <c r="H2707" s="1" t="str">
        <f t="shared" si="1342"/>
        <v>无</v>
      </c>
      <c r="I2707" s="1" t="str">
        <f>"202109-202406 河南科技学院就读 生命科学技术系畜牧兽医专业就读 全日制学历"</f>
        <v>202109-202406 河南科技学院就读 生命科学技术系畜牧兽医专业就读 全日制学历</v>
      </c>
    </row>
    <row r="2708" spans="1:9">
      <c r="A2708" s="1" t="str">
        <f>"411324200402126038"</f>
        <v>411324200402126038</v>
      </c>
      <c r="B2708" s="1" t="str">
        <f>"共青团员"</f>
        <v>共青团员</v>
      </c>
      <c r="C2708" s="1" t="str">
        <f t="shared" si="1343"/>
        <v>专科</v>
      </c>
      <c r="D2708" s="1" t="str">
        <f>"20240701"</f>
        <v>20240701</v>
      </c>
      <c r="E2708" s="1" t="str">
        <f>"信阳航空职业学院"</f>
        <v>信阳航空职业学院</v>
      </c>
      <c r="F2708" s="1" t="str">
        <f>"民航空中安全保卫"</f>
        <v>民航空中安全保卫</v>
      </c>
      <c r="G2708" s="1" t="str">
        <f>"河南省镇平县"</f>
        <v>河南省镇平县</v>
      </c>
      <c r="H2708" s="1" t="str">
        <f t="shared" si="1342"/>
        <v>无</v>
      </c>
      <c r="I2708" s="1" t="str">
        <f>"202110-202407 信阳航空职业学院 乘务学院 民航空中安全保卫就读  全日制专科学历"</f>
        <v>202110-202407 信阳航空职业学院 乘务学院 民航空中安全保卫就读  全日制专科学历</v>
      </c>
    </row>
    <row r="2709" spans="1:9">
      <c r="A2709" s="1" t="str">
        <f>"411326200311264411"</f>
        <v>411326200311264411</v>
      </c>
      <c r="B2709" s="1" t="str">
        <f>"共青团员"</f>
        <v>共青团员</v>
      </c>
      <c r="C2709" s="1" t="str">
        <f t="shared" ref="C2709:C2712" si="1344">"本科"</f>
        <v>本科</v>
      </c>
      <c r="D2709" s="1" t="str">
        <f>"20250701"</f>
        <v>20250701</v>
      </c>
      <c r="E2709" s="1" t="str">
        <f>"郑州财经学院"</f>
        <v>郑州财经学院</v>
      </c>
      <c r="F2709" s="1" t="str">
        <f>"会计学"</f>
        <v>会计学</v>
      </c>
      <c r="G2709" s="1" t="str">
        <f>"河南省南阳市南召县健康路附近"</f>
        <v>河南省南阳市南召县健康路附近</v>
      </c>
      <c r="H2709" s="1" t="str">
        <f>"企业人力资源管理师高级工"</f>
        <v>企业人力资源管理师高级工</v>
      </c>
      <c r="I2709" s="1" t="str">
        <f>"202109-202507 郑州财经学院会计学院会计学专业就读  全日制"</f>
        <v>202109-202507 郑州财经学院会计学院会计学专业就读  全日制</v>
      </c>
    </row>
    <row r="2710" spans="1:9">
      <c r="A2710" s="1" t="str">
        <f>"411327199604272918"</f>
        <v>411327199604272918</v>
      </c>
      <c r="B2710" s="1" t="str">
        <f t="shared" ref="B2710:B2715" si="1345">"群众"</f>
        <v>群众</v>
      </c>
      <c r="C2710" s="1" t="str">
        <f t="shared" si="1344"/>
        <v>本科</v>
      </c>
      <c r="D2710" s="1" t="str">
        <f>"20190607"</f>
        <v>20190607</v>
      </c>
      <c r="E2710" s="1" t="str">
        <f>"河南城建学院"</f>
        <v>河南城建学院</v>
      </c>
      <c r="F2710" s="1" t="str">
        <f>"能源与动力工程专业"</f>
        <v>能源与动力工程专业</v>
      </c>
      <c r="G2710" s="1" t="str">
        <f>"内乡县郦都国际二期小区"</f>
        <v>内乡县郦都国际二期小区</v>
      </c>
      <c r="H2710" s="1" t="str">
        <f t="shared" ref="H2710:H2716" si="1346">"无"</f>
        <v>无</v>
      </c>
      <c r="I2710" s="1" t="str">
        <f>"201509-201906  河南城建学院就读
201907-202201  青岛华丰伟业电力科技工程有限公司
202202-202507   牧原肉食品有限公司
"</f>
        <v>201509-201906  河南城建学院就读
201907-202201  青岛华丰伟业电力科技工程有限公司
202202-202507   牧原肉食品有限公司
</v>
      </c>
    </row>
    <row r="2711" spans="1:9">
      <c r="A2711" s="1" t="str">
        <f>"410621199604222512"</f>
        <v>410621199604222512</v>
      </c>
      <c r="B2711" s="1" t="str">
        <f>"中共党员"</f>
        <v>中共党员</v>
      </c>
      <c r="C2711" s="1" t="str">
        <f t="shared" si="1344"/>
        <v>本科</v>
      </c>
      <c r="D2711" s="1" t="str">
        <f>"20240701"</f>
        <v>20240701</v>
      </c>
      <c r="E2711" s="1" t="str">
        <f>"河南师范大学"</f>
        <v>河南师范大学</v>
      </c>
      <c r="F2711" s="1" t="str">
        <f>"工商管理"</f>
        <v>工商管理</v>
      </c>
      <c r="G2711" s="1" t="str">
        <f>"河南省鹤壁市浚县白寺乡东和营村"</f>
        <v>河南省鹤壁市浚县白寺乡东和营村</v>
      </c>
      <c r="H2711" s="1" t="str">
        <f t="shared" si="1346"/>
        <v>无</v>
      </c>
      <c r="I2711" s="1" t="str">
        <f>"202203-202407河南师范大学工商管理专业就读，非全日制。202104-202501北京华品博睿网络有限公司就业。
202502-至今河南省鹤壁市浚县白寺乡待业"</f>
        <v>202203-202407河南师范大学工商管理专业就读，非全日制。202104-202501北京华品博睿网络有限公司就业。
202502-至今河南省鹤壁市浚县白寺乡待业</v>
      </c>
    </row>
    <row r="2712" ht="135" spans="1:9">
      <c r="A2712" s="1" t="str">
        <f>"41132719911107207X"</f>
        <v>41132719911107207X</v>
      </c>
      <c r="B2712" s="1" t="str">
        <f>"中共党员"</f>
        <v>中共党员</v>
      </c>
      <c r="C2712" s="1" t="str">
        <f t="shared" si="1344"/>
        <v>本科</v>
      </c>
      <c r="D2712" s="1" t="str">
        <f>"2014-07-01"</f>
        <v>2014-07-01</v>
      </c>
      <c r="E2712" s="1" t="str">
        <f>"云南农业大学"</f>
        <v>云南农业大学</v>
      </c>
      <c r="F2712" s="1" t="str">
        <f>"经济学"</f>
        <v>经济学</v>
      </c>
      <c r="G2712" s="1" t="str">
        <f>"广东省深圳市南山区中国海外大厦"</f>
        <v>广东省深圳市南山区中国海外大厦</v>
      </c>
      <c r="H2712" s="1" t="str">
        <f>"助理政工师"</f>
        <v>助理政工师</v>
      </c>
      <c r="I2712" s="3" t="s">
        <v>255</v>
      </c>
    </row>
    <row r="2713" spans="1:9">
      <c r="A2713" s="1" t="str">
        <f>"411324200205140033"</f>
        <v>411324200205140033</v>
      </c>
      <c r="B2713" s="1" t="str">
        <f t="shared" si="1345"/>
        <v>群众</v>
      </c>
      <c r="C2713" s="1" t="str">
        <f>"专科"</f>
        <v>专科</v>
      </c>
      <c r="D2713" s="1" t="str">
        <f>"20230615"</f>
        <v>20230615</v>
      </c>
      <c r="E2713" s="1" t="str">
        <f>"阜新高等专科学校"</f>
        <v>阜新高等专科学校</v>
      </c>
      <c r="F2713" s="1" t="str">
        <f>"学前教育"</f>
        <v>学前教育</v>
      </c>
      <c r="G2713" s="1" t="str">
        <f>"河南省南阳市镇平县安国路"</f>
        <v>河南省南阳市镇平县安国路</v>
      </c>
      <c r="H2713" s="1" t="str">
        <f t="shared" si="1346"/>
        <v>无</v>
      </c>
      <c r="I2713" s="1" t="str">
        <f>"202009-202306 阜新高等专科学校 学前教育专业就读，全日制专科"</f>
        <v>202009-202306 阜新高等专科学校 学前教育专业就读，全日制专科</v>
      </c>
    </row>
    <row r="2714" spans="1:9">
      <c r="A2714" s="1" t="str">
        <f>"411324200305134220"</f>
        <v>411324200305134220</v>
      </c>
      <c r="B2714" s="1" t="str">
        <f t="shared" ref="B2714:B2718" si="1347">"共青团员"</f>
        <v>共青团员</v>
      </c>
      <c r="C2714" s="1" t="str">
        <f t="shared" ref="C2714:C2731" si="1348">"本科"</f>
        <v>本科</v>
      </c>
      <c r="D2714" s="1" t="str">
        <f>"20250610"</f>
        <v>20250610</v>
      </c>
      <c r="E2714" s="1" t="str">
        <f>"郑州工商学院"</f>
        <v>郑州工商学院</v>
      </c>
      <c r="F2714" s="1" t="str">
        <f>"播音与主持艺术"</f>
        <v>播音与主持艺术</v>
      </c>
      <c r="G2714" s="1" t="str">
        <f>"河南省南阳市镇平县融奥星城"</f>
        <v>河南省南阳市镇平县融奥星城</v>
      </c>
      <c r="H2714" s="1" t="str">
        <f t="shared" si="1346"/>
        <v>无</v>
      </c>
      <c r="I2714" s="1" t="str">
        <f>"202109-202506郑州工商学院学校艺术学院播音与主持艺术专业就读，为全日制学历;在校期间从党建宣传部做起，一直学习进步后经过老师同学推选担任艺术学院党建中心督察部学生部长进行党建宣传管理工作直至毕业;现在河南省镇平县待业。"</f>
        <v>202109-202506郑州工商学院学校艺术学院播音与主持艺术专业就读，为全日制学历;在校期间从党建宣传部做起，一直学习进步后经过老师同学推选担任艺术学院党建中心督察部学生部长进行党建宣传管理工作直至毕业;现在河南省镇平县待业。</v>
      </c>
    </row>
    <row r="2715" spans="1:9">
      <c r="A2715" s="1" t="str">
        <f>"411302199306010015"</f>
        <v>411302199306010015</v>
      </c>
      <c r="B2715" s="1" t="str">
        <f t="shared" si="1345"/>
        <v>群众</v>
      </c>
      <c r="C2715" s="1" t="str">
        <f t="shared" si="1348"/>
        <v>本科</v>
      </c>
      <c r="D2715" s="1" t="str">
        <f>"2016-07-01"</f>
        <v>2016-07-01</v>
      </c>
      <c r="E2715" s="1" t="str">
        <f>"郑州成功财经学院"</f>
        <v>郑州成功财经学院</v>
      </c>
      <c r="F2715" s="1" t="str">
        <f>"艺术设计（环境艺术设计方向）"</f>
        <v>艺术设计（环境艺术设计方向）</v>
      </c>
      <c r="G2715" s="1" t="str">
        <f>"河南省南阳市卧龙区北京路祥和乐园"</f>
        <v>河南省南阳市卧龙区北京路祥和乐园</v>
      </c>
      <c r="H2715" s="1" t="str">
        <f t="shared" si="1346"/>
        <v>无</v>
      </c>
      <c r="I2715" s="1" t="str">
        <f>"2012年9月-2016年7月 郑州成功财经学院艺术系艺环境艺术专业 就读 全日制本科学历"</f>
        <v>2012年9月-2016年7月 郑州成功财经学院艺术系艺环境艺术专业 就读 全日制本科学历</v>
      </c>
    </row>
    <row r="2716" spans="1:9">
      <c r="A2716" s="1" t="str">
        <f>"410185199906119822"</f>
        <v>410185199906119822</v>
      </c>
      <c r="B2716" s="1" t="str">
        <f t="shared" si="1347"/>
        <v>共青团员</v>
      </c>
      <c r="C2716" s="1" t="str">
        <f>"硕士研究生"</f>
        <v>硕士研究生</v>
      </c>
      <c r="D2716" s="1" t="str">
        <f>"20240601"</f>
        <v>20240601</v>
      </c>
      <c r="E2716" s="1" t="str">
        <f>"河南农业大学"</f>
        <v>河南农业大学</v>
      </c>
      <c r="F2716" s="1" t="str">
        <f>"食品加工与安全专业"</f>
        <v>食品加工与安全专业</v>
      </c>
      <c r="G2716" s="1" t="str">
        <f>"郑州市登封市观石街西五巷"</f>
        <v>郑州市登封市观石街西五巷</v>
      </c>
      <c r="H2716" s="1" t="str">
        <f t="shared" si="1346"/>
        <v>无</v>
      </c>
      <c r="I2716" s="1" t="str">
        <f>"201709-202107 河南农业大学食品科学与工程学院食品科学与工程专业就读 全日制
202109-202406 河南农业大学食品科学与工程学院食品加工与安全专业就读 全日制
202407-202507 在家待业"</f>
        <v>201709-202107 河南农业大学食品科学与工程学院食品科学与工程专业就读 全日制
202109-202406 河南农业大学食品科学与工程学院食品加工与安全专业就读 全日制
202407-202507 在家待业</v>
      </c>
    </row>
    <row r="2717" spans="1:9">
      <c r="A2717" s="1" t="str">
        <f>"41132720010108032X"</f>
        <v>41132720010108032X</v>
      </c>
      <c r="B2717" s="1" t="str">
        <f t="shared" ref="B2717:B2720" si="1349">"群众"</f>
        <v>群众</v>
      </c>
      <c r="C2717" s="1" t="str">
        <f t="shared" si="1348"/>
        <v>本科</v>
      </c>
      <c r="D2717" s="1" t="str">
        <f>"20250630"</f>
        <v>20250630</v>
      </c>
      <c r="E2717" s="1" t="str">
        <f>"南京理工大学"</f>
        <v>南京理工大学</v>
      </c>
      <c r="F2717" s="1" t="str">
        <f>"电子商务"</f>
        <v>电子商务</v>
      </c>
      <c r="G2717" s="1" t="str">
        <f>"河南省南阳市内乡县大桥乡南王村"</f>
        <v>河南省南阳市内乡县大桥乡南王村</v>
      </c>
      <c r="H2717" s="1" t="str">
        <f>"电子商务师"</f>
        <v>电子商务师</v>
      </c>
      <c r="I2717" s="1" t="str">
        <f>"202010-202306 苏州市职业大学就读。教育与人文学院食品营养与检测专业，全日制学历。
202309-202506 南京理工大学。横溪校区电子商务专业，自考本科。
目前居家待业"</f>
        <v>202010-202306 苏州市职业大学就读。教育与人文学院食品营养与检测专业，全日制学历。
202309-202506 南京理工大学。横溪校区电子商务专业，自考本科。
目前居家待业</v>
      </c>
    </row>
    <row r="2718" spans="1:9">
      <c r="A2718" s="1" t="str">
        <f>"411327200207063720"</f>
        <v>411327200207063720</v>
      </c>
      <c r="B2718" s="1" t="str">
        <f t="shared" si="1347"/>
        <v>共青团员</v>
      </c>
      <c r="C2718" s="1" t="str">
        <f t="shared" si="1348"/>
        <v>本科</v>
      </c>
      <c r="D2718" s="1" t="str">
        <f>"20250701"</f>
        <v>20250701</v>
      </c>
      <c r="E2718" s="1" t="str">
        <f>"郑州经贸学院"</f>
        <v>郑州经贸学院</v>
      </c>
      <c r="F2718" s="1" t="str">
        <f>"计算机科学与技术"</f>
        <v>计算机科学与技术</v>
      </c>
      <c r="G2718" s="1" t="str">
        <f>"河南省南阳市内乡县桃溪镇"</f>
        <v>河南省南阳市内乡县桃溪镇</v>
      </c>
      <c r="H2718" s="1" t="str">
        <f t="shared" ref="H2718:H2720" si="1350">"无"</f>
        <v>无</v>
      </c>
      <c r="I2718" s="1" t="str">
        <f>"202009-202106南阳科技职业学院
202109-202206南阳科技职业学院
202209-202306南阳科技职业学院
202309-202406郑州经贸学院
202409-202506郑州经贸学院"</f>
        <v>202009-202106南阳科技职业学院
202109-202206南阳科技职业学院
202209-202306南阳科技职业学院
202309-202406郑州经贸学院
202409-202506郑州经贸学院</v>
      </c>
    </row>
    <row r="2719" spans="1:9">
      <c r="A2719" s="1" t="str">
        <f>"411222199808130017"</f>
        <v>411222199808130017</v>
      </c>
      <c r="B2719" s="1" t="str">
        <f t="shared" si="1349"/>
        <v>群众</v>
      </c>
      <c r="C2719" s="1" t="str">
        <f t="shared" si="1348"/>
        <v>本科</v>
      </c>
      <c r="D2719" s="1" t="str">
        <f>"20250710"</f>
        <v>20250710</v>
      </c>
      <c r="E2719" s="1" t="str">
        <f>"长春工业大学"</f>
        <v>长春工业大学</v>
      </c>
      <c r="F2719" s="1" t="str">
        <f>"财务管理"</f>
        <v>财务管理</v>
      </c>
      <c r="G2719" s="1" t="str">
        <f>"河南省三门峡市湖滨区万邦香榭里"</f>
        <v>河南省三门峡市湖滨区万邦香榭里</v>
      </c>
      <c r="H2719" s="1" t="str">
        <f t="shared" si="1350"/>
        <v>无</v>
      </c>
      <c r="I2719" s="1" t="str">
        <f>"201709-202107 河南建筑职业技术学院就读 全日制
202107-202304 待业
202304-202507 长春工业大学就读 非全日制"</f>
        <v>201709-202107 河南建筑职业技术学院就读 全日制
202107-202304 待业
202304-202507 长春工业大学就读 非全日制</v>
      </c>
    </row>
    <row r="2720" spans="1:9">
      <c r="A2720" s="1" t="str">
        <f>"411327200312061524"</f>
        <v>411327200312061524</v>
      </c>
      <c r="B2720" s="1" t="str">
        <f t="shared" si="1349"/>
        <v>群众</v>
      </c>
      <c r="C2720" s="1" t="str">
        <f t="shared" si="1348"/>
        <v>本科</v>
      </c>
      <c r="D2720" s="1" t="str">
        <f>"20250625"</f>
        <v>20250625</v>
      </c>
      <c r="E2720" s="1" t="str">
        <f>"沈阳农业大学"</f>
        <v>沈阳农业大学</v>
      </c>
      <c r="F2720" s="1" t="str">
        <f>"植物保护"</f>
        <v>植物保护</v>
      </c>
      <c r="G2720" s="1" t="str">
        <f>"河南省内乡县湍东镇张岗村"</f>
        <v>河南省内乡县湍东镇张岗村</v>
      </c>
      <c r="H2720" s="1" t="str">
        <f t="shared" si="1350"/>
        <v>无</v>
      </c>
      <c r="I2720" s="1" t="str">
        <f>"202109-202506 沈阳农业大学植物保护学院植物保护专业全日制本科学历
201809-202106内乡县高级中学
201509-201806菊潭初中
200909-201506报滩中心小学"</f>
        <v>202109-202506 沈阳农业大学植物保护学院植物保护专业全日制本科学历
201809-202106内乡县高级中学
201509-201806菊潭初中
200909-201506报滩中心小学</v>
      </c>
    </row>
    <row r="2721" spans="1:9">
      <c r="A2721" s="1" t="str">
        <f>"411327200312043510"</f>
        <v>411327200312043510</v>
      </c>
      <c r="B2721" s="1" t="str">
        <f t="shared" ref="B2721:B2725" si="1351">"共青团员"</f>
        <v>共青团员</v>
      </c>
      <c r="C2721" s="1" t="str">
        <f t="shared" si="1348"/>
        <v>本科</v>
      </c>
      <c r="D2721" s="1" t="str">
        <f>"20250612"</f>
        <v>20250612</v>
      </c>
      <c r="E2721" s="1" t="str">
        <f>"黄河科技学院"</f>
        <v>黄河科技学院</v>
      </c>
      <c r="F2721" s="1" t="str">
        <f>"经济学"</f>
        <v>经济学</v>
      </c>
      <c r="G2721" s="1" t="str">
        <f>"河南省内乡县"</f>
        <v>河南省内乡县</v>
      </c>
      <c r="H2721" s="1" t="str">
        <f>"普通话二级乙等、电子商务师（网商）三级"</f>
        <v>普通话二级乙等、电子商务师（网商）三级</v>
      </c>
      <c r="I2721" s="1" t="str">
        <f>"202109-202506 黄河科技学院就读，全日制学历"</f>
        <v>202109-202506 黄河科技学院就读，全日制学历</v>
      </c>
    </row>
    <row r="2722" spans="1:9">
      <c r="A2722" s="1" t="str">
        <f>"41072620000729422X"</f>
        <v>41072620000729422X</v>
      </c>
      <c r="B2722" s="1" t="str">
        <f t="shared" si="1351"/>
        <v>共青团员</v>
      </c>
      <c r="C2722" s="1" t="str">
        <f t="shared" si="1348"/>
        <v>本科</v>
      </c>
      <c r="D2722" s="1" t="str">
        <f>"20240701"</f>
        <v>20240701</v>
      </c>
      <c r="E2722" s="1" t="str">
        <f>"华北水利水电大学"</f>
        <v>华北水利水电大学</v>
      </c>
      <c r="F2722" s="1" t="str">
        <f>"环境工程"</f>
        <v>环境工程</v>
      </c>
      <c r="G2722" s="1" t="str">
        <f>"河南省延津县榆林乡奡村"</f>
        <v>河南省延津县榆林乡奡村</v>
      </c>
      <c r="H2722" s="1" t="str">
        <f t="shared" ref="H2722:H2726" si="1352">"无"</f>
        <v>无</v>
      </c>
      <c r="I2722" s="1" t="str">
        <f>"201909-202206 焦作师范高等专科学校就读 理工学院 环境监测与控制技术专业，全日制
202209-202406 华北水利水电大学就读 环境与市政工程学院 环境工程专业，全日制"</f>
        <v>201909-202206 焦作师范高等专科学校就读 理工学院 环境监测与控制技术专业，全日制
202209-202406 华北水利水电大学就读 环境与市政工程学院 环境工程专业，全日制</v>
      </c>
    </row>
    <row r="2723" spans="1:9">
      <c r="A2723" s="1" t="str">
        <f>"411326200312200444"</f>
        <v>411326200312200444</v>
      </c>
      <c r="B2723" s="1" t="str">
        <f t="shared" si="1351"/>
        <v>共青团员</v>
      </c>
      <c r="C2723" s="1" t="str">
        <f t="shared" si="1348"/>
        <v>本科</v>
      </c>
      <c r="D2723" s="1" t="str">
        <f>"2025-07-01"</f>
        <v>2025-07-01</v>
      </c>
      <c r="E2723" s="1" t="str">
        <f>"河南开封科技传媒学院"</f>
        <v>河南开封科技传媒学院</v>
      </c>
      <c r="F2723" s="1" t="str">
        <f>"人力资源管理"</f>
        <v>人力资源管理</v>
      </c>
      <c r="G2723" s="1" t="str">
        <f>"河南省南阳市南召县盛世华城20栋"</f>
        <v>河南省南阳市南召县盛世华城20栋</v>
      </c>
      <c r="H2723" s="1" t="str">
        <f t="shared" si="1352"/>
        <v>无</v>
      </c>
      <c r="I2723" s="1" t="str">
        <f>"2021.09-2025.06 河南开封科技传媒学院人力资源管理专业就读，全日制本科。"</f>
        <v>2021.09-2025.06 河南开封科技传媒学院人力资源管理专业就读，全日制本科。</v>
      </c>
    </row>
    <row r="2724" spans="1:9">
      <c r="A2724" s="1" t="str">
        <f>"411327200211054528"</f>
        <v>411327200211054528</v>
      </c>
      <c r="B2724" s="1" t="str">
        <f t="shared" si="1351"/>
        <v>共青团员</v>
      </c>
      <c r="C2724" s="1" t="str">
        <f t="shared" si="1348"/>
        <v>本科</v>
      </c>
      <c r="D2724" s="1" t="str">
        <f>"20250607"</f>
        <v>20250607</v>
      </c>
      <c r="E2724" s="1" t="str">
        <f>"郑州航空工业管理学院"</f>
        <v>郑州航空工业管理学院</v>
      </c>
      <c r="F2724" s="1" t="str">
        <f>"会计学（ACCA方向）"</f>
        <v>会计学（ACCA方向）</v>
      </c>
      <c r="G2724" s="1" t="str">
        <f>"河南省南阳市内乡县赵店乡"</f>
        <v>河南省南阳市内乡县赵店乡</v>
      </c>
      <c r="H2724" s="1" t="str">
        <f>"初级会计资格证书"</f>
        <v>初级会计资格证书</v>
      </c>
      <c r="I2724" s="1" t="str">
        <f>"202109-202506    郑州航空工业管理学院就读    全日制"</f>
        <v>202109-202506    郑州航空工业管理学院就读    全日制</v>
      </c>
    </row>
    <row r="2725" spans="1:9">
      <c r="A2725" s="1" t="str">
        <f>"411302200002221847"</f>
        <v>411302200002221847</v>
      </c>
      <c r="B2725" s="1" t="str">
        <f t="shared" si="1351"/>
        <v>共青团员</v>
      </c>
      <c r="C2725" s="1" t="str">
        <f t="shared" si="1348"/>
        <v>本科</v>
      </c>
      <c r="D2725" s="1" t="str">
        <f>"20220701"</f>
        <v>20220701</v>
      </c>
      <c r="E2725" s="1" t="str">
        <f>"河南牧业经济学院"</f>
        <v>河南牧业经济学院</v>
      </c>
      <c r="F2725" s="1" t="str">
        <f>"投资学"</f>
        <v>投资学</v>
      </c>
      <c r="G2725" s="1" t="str">
        <f>"河南省南阳市宛城区长江路200号"</f>
        <v>河南省南阳市宛城区长江路200号</v>
      </c>
      <c r="H2725" s="1" t="str">
        <f t="shared" si="1352"/>
        <v>无</v>
      </c>
      <c r="I2725" s="1" t="str">
        <f>"201809-202207 河南牧业经济学院金融与会计学院投资学专业就读 全日制学历
202208-202507 南阳 待业"</f>
        <v>201809-202207 河南牧业经济学院金融与会计学院投资学专业就读 全日制学历
202208-202507 南阳 待业</v>
      </c>
    </row>
    <row r="2726" ht="162" spans="1:9">
      <c r="A2726" s="1" t="str">
        <f>"230804199410200527"</f>
        <v>230804199410200527</v>
      </c>
      <c r="B2726" s="1" t="str">
        <f>"群众"</f>
        <v>群众</v>
      </c>
      <c r="C2726" s="1" t="str">
        <f t="shared" si="1348"/>
        <v>本科</v>
      </c>
      <c r="D2726" s="1" t="str">
        <f>"20160630"</f>
        <v>20160630</v>
      </c>
      <c r="E2726" s="1" t="str">
        <f>"吉林大学"</f>
        <v>吉林大学</v>
      </c>
      <c r="F2726" s="1" t="str">
        <f>"生物技术（动物）"</f>
        <v>生物技术（动物）</v>
      </c>
      <c r="G2726" s="1" t="str">
        <f>"河南省新乡市卫滨区怡园小区11号楼3单元101"</f>
        <v>河南省新乡市卫滨区怡园小区11号楼3单元101</v>
      </c>
      <c r="H2726" s="1" t="str">
        <f t="shared" si="1352"/>
        <v>无</v>
      </c>
      <c r="I2726" s="3" t="s">
        <v>256</v>
      </c>
    </row>
    <row r="2727" spans="1:9">
      <c r="A2727" s="1" t="str">
        <f>"410403200211295560"</f>
        <v>410403200211295560</v>
      </c>
      <c r="B2727" s="1" t="str">
        <f t="shared" ref="B2727:B2733" si="1353">"共青团员"</f>
        <v>共青团员</v>
      </c>
      <c r="C2727" s="1" t="str">
        <f t="shared" si="1348"/>
        <v>本科</v>
      </c>
      <c r="D2727" s="1" t="str">
        <f>"20250610"</f>
        <v>20250610</v>
      </c>
      <c r="E2727" s="1" t="str">
        <f>"河南牧业经济学院"</f>
        <v>河南牧业经济学院</v>
      </c>
      <c r="F2727" s="1" t="str">
        <f>"网络与新媒体"</f>
        <v>网络与新媒体</v>
      </c>
      <c r="G2727" s="1" t="str">
        <f>"河南省平顶山市卫东区五一路繁荣街24号楼29号"</f>
        <v>河南省平顶山市卫东区五一路繁荣街24号楼29号</v>
      </c>
      <c r="H2727" s="1" t="str">
        <f>"互联网营销师（二级）"</f>
        <v>互联网营销师（二级）</v>
      </c>
      <c r="I2727" s="1" t="str">
        <f>"202109-202506 河南牧业经济学院 就读文法学院 网络与新媒体专业 全日制学历"</f>
        <v>202109-202506 河南牧业经济学院 就读文法学院 网络与新媒体专业 全日制学历</v>
      </c>
    </row>
    <row r="2728" spans="1:9">
      <c r="A2728" s="1" t="str">
        <f>"410326200402197567"</f>
        <v>410326200402197567</v>
      </c>
      <c r="B2728" s="1" t="str">
        <f>"中共党员"</f>
        <v>中共党员</v>
      </c>
      <c r="C2728" s="1" t="str">
        <f t="shared" si="1348"/>
        <v>本科</v>
      </c>
      <c r="D2728" s="1" t="str">
        <f>"20250620"</f>
        <v>20250620</v>
      </c>
      <c r="E2728" s="1" t="str">
        <f>"洛阳理工学院"</f>
        <v>洛阳理工学院</v>
      </c>
      <c r="F2728" s="1" t="str">
        <f>"数据科学与大数据技术"</f>
        <v>数据科学与大数据技术</v>
      </c>
      <c r="G2728" s="1" t="str">
        <f>"河南省洛阳市汝阳县靳村乡小白村七树组"</f>
        <v>河南省洛阳市汝阳县靳村乡小白村七树组</v>
      </c>
      <c r="H2728" s="1" t="str">
        <f t="shared" ref="H2728:H2730" si="1354">"无"</f>
        <v>无</v>
      </c>
      <c r="I2728" s="1" t="str">
        <f>"202109-202506 洛阳理工学院计算机学院数据科学与大数据技术专业就读 全日制学历"</f>
        <v>202109-202506 洛阳理工学院计算机学院数据科学与大数据技术专业就读 全日制学历</v>
      </c>
    </row>
    <row r="2729" spans="1:9">
      <c r="A2729" s="1" t="str">
        <f>"411302200006044817"</f>
        <v>411302200006044817</v>
      </c>
      <c r="B2729" s="1" t="str">
        <f t="shared" si="1353"/>
        <v>共青团员</v>
      </c>
      <c r="C2729" s="1" t="str">
        <f t="shared" si="1348"/>
        <v>本科</v>
      </c>
      <c r="D2729" s="1" t="str">
        <f>"20230701"</f>
        <v>20230701</v>
      </c>
      <c r="E2729" s="1" t="str">
        <f>"洛阳理工学院"</f>
        <v>洛阳理工学院</v>
      </c>
      <c r="F2729" s="1" t="str">
        <f>"土木工程"</f>
        <v>土木工程</v>
      </c>
      <c r="G2729" s="1" t="str">
        <f>"河南省南阳市宛城区独山大道与如意路交叉口太阳城"</f>
        <v>河南省南阳市宛城区独山大道与如意路交叉口太阳城</v>
      </c>
      <c r="H2729" s="1" t="str">
        <f t="shared" si="1354"/>
        <v>无</v>
      </c>
      <c r="I2729" s="1" t="str">
        <f>"201909-202307 洛阳理工学院 土木工程学院土木工程专业就读，是全日制
202307-202507 河南省南阳市待业"</f>
        <v>201909-202307 洛阳理工学院 土木工程学院土木工程专业就读，是全日制
202307-202507 河南省南阳市待业</v>
      </c>
    </row>
    <row r="2730" spans="1:9">
      <c r="A2730" s="1" t="str">
        <f>"411327200009242963"</f>
        <v>411327200009242963</v>
      </c>
      <c r="B2730" s="1" t="str">
        <f t="shared" ref="B2730:B2737" si="1355">"群众"</f>
        <v>群众</v>
      </c>
      <c r="C2730" s="1" t="str">
        <f t="shared" si="1348"/>
        <v>本科</v>
      </c>
      <c r="D2730" s="1" t="str">
        <f>"20230701"</f>
        <v>20230701</v>
      </c>
      <c r="E2730" s="1" t="str">
        <f>"黄淮学院"</f>
        <v>黄淮学院</v>
      </c>
      <c r="F2730" s="1" t="str">
        <f>"公共事业管理"</f>
        <v>公共事业管理</v>
      </c>
      <c r="G2730" s="1" t="str">
        <f>"河南省南阳市内乡县"</f>
        <v>河南省南阳市内乡县</v>
      </c>
      <c r="H2730" s="1" t="str">
        <f t="shared" si="1354"/>
        <v>无</v>
      </c>
      <c r="I2730" s="1" t="str">
        <f>"201909-202306 在黄淮学院经济与管理学院公共事业管理专业就读"</f>
        <v>201909-202306 在黄淮学院经济与管理学院公共事业管理专业就读</v>
      </c>
    </row>
    <row r="2731" spans="1:9">
      <c r="A2731" s="1" t="str">
        <f>"411327200012134533"</f>
        <v>411327200012134533</v>
      </c>
      <c r="B2731" s="1" t="str">
        <f t="shared" si="1353"/>
        <v>共青团员</v>
      </c>
      <c r="C2731" s="1" t="str">
        <f t="shared" si="1348"/>
        <v>本科</v>
      </c>
      <c r="D2731" s="1" t="str">
        <f>"20240617"</f>
        <v>20240617</v>
      </c>
      <c r="E2731" s="1" t="str">
        <f>"河北科技大学"</f>
        <v>河北科技大学</v>
      </c>
      <c r="F2731" s="1" t="str">
        <f>"金融工程"</f>
        <v>金融工程</v>
      </c>
      <c r="G2731" s="1" t="str">
        <f>"河南省南阳市内乡县"</f>
        <v>河南省南阳市内乡县</v>
      </c>
      <c r="H2731" s="1" t="str">
        <f>"英语四级  普通话二级甲等"</f>
        <v>英语四级  普通话二级甲等</v>
      </c>
      <c r="I2731" s="1" t="str">
        <f>"201909-20240617河北科技大学经济管理学院金融工程专业就读，是全日制本科学历。202402-202409在南阳市金冠电气工作，之后到如今待业备考。"</f>
        <v>201909-20240617河北科技大学经济管理学院金融工程专业就读，是全日制本科学历。202402-202409在南阳市金冠电气工作，之后到如今待业备考。</v>
      </c>
    </row>
    <row r="2732" spans="1:9">
      <c r="A2732" s="1" t="str">
        <f>"142601200005227924"</f>
        <v>142601200005227924</v>
      </c>
      <c r="B2732" s="1" t="str">
        <f t="shared" si="1353"/>
        <v>共青团员</v>
      </c>
      <c r="C2732" s="1" t="str">
        <f>"硕士研究生"</f>
        <v>硕士研究生</v>
      </c>
      <c r="D2732" s="1" t="str">
        <f>"20250623"</f>
        <v>20250623</v>
      </c>
      <c r="E2732" s="1" t="str">
        <f>"大连海洋大学"</f>
        <v>大连海洋大学</v>
      </c>
      <c r="F2732" s="1" t="str">
        <f>"农业管理"</f>
        <v>农业管理</v>
      </c>
      <c r="G2732" s="1" t="str">
        <f>"山西省临汾市尧都区吴村镇屯里村小康路"</f>
        <v>山西省临汾市尧都区吴村镇屯里村小康路</v>
      </c>
      <c r="H2732" s="1" t="str">
        <f t="shared" ref="H2732:H2734" si="1356">"无"</f>
        <v>无</v>
      </c>
      <c r="I2732" s="1" t="str">
        <f>"201809-202206 运城学院 经济管理学院 旅游管理专业 全日制学历
202209-202506 大连海洋大学 经济管理学院 农业管理专业 全日制学历"</f>
        <v>201809-202206 运城学院 经济管理学院 旅游管理专业 全日制学历
202209-202506 大连海洋大学 经济管理学院 农业管理专业 全日制学历</v>
      </c>
    </row>
    <row r="2733" spans="1:9">
      <c r="A2733" s="1" t="str">
        <f>"41130319980130181X"</f>
        <v>41130319980130181X</v>
      </c>
      <c r="B2733" s="1" t="str">
        <f t="shared" si="1353"/>
        <v>共青团员</v>
      </c>
      <c r="C2733" s="1" t="str">
        <f>"硕士研究生"</f>
        <v>硕士研究生</v>
      </c>
      <c r="D2733" s="1" t="str">
        <f>"20250701"</f>
        <v>20250701</v>
      </c>
      <c r="E2733" s="1" t="str">
        <f>"河南财经政法大学"</f>
        <v>河南财经政法大学</v>
      </c>
      <c r="F2733" s="1" t="str">
        <f>"农业管理"</f>
        <v>农业管理</v>
      </c>
      <c r="G2733" s="1" t="str">
        <f>"河南省南阳市卧龙区麒麟路24号"</f>
        <v>河南省南阳市卧龙区麒麟路24号</v>
      </c>
      <c r="H2733" s="1" t="str">
        <f t="shared" si="1356"/>
        <v>无</v>
      </c>
      <c r="I2733" s="1" t="str">
        <f>"201609-202107辽宁对外经贸学院会计学院会计学全日制
202107-202209河南南阳待业
202209-202507河南财经政法大学农业农村发展学院农业管理全日制"</f>
        <v>201609-202107辽宁对外经贸学院会计学院会计学全日制
202107-202209河南南阳待业
202209-202507河南财经政法大学农业农村发展学院农业管理全日制</v>
      </c>
    </row>
    <row r="2734" spans="1:9">
      <c r="A2734" s="1" t="str">
        <f>"411327199901150036"</f>
        <v>411327199901150036</v>
      </c>
      <c r="B2734" s="1" t="str">
        <f t="shared" si="1355"/>
        <v>群众</v>
      </c>
      <c r="C2734" s="1" t="str">
        <f t="shared" ref="C2734:C2740" si="1357">"本科"</f>
        <v>本科</v>
      </c>
      <c r="D2734" s="1" t="str">
        <f>"2022.8"</f>
        <v>2022.8</v>
      </c>
      <c r="E2734" s="1" t="str">
        <f>"郑州大学西亚斯学院"</f>
        <v>郑州大学西亚斯学院</v>
      </c>
      <c r="F2734" s="1" t="str">
        <f>"金融学"</f>
        <v>金融学</v>
      </c>
      <c r="G2734" s="1" t="str">
        <f>"内乡县城关镇大成路2号"</f>
        <v>内乡县城关镇大成路2号</v>
      </c>
      <c r="H2734" s="1" t="str">
        <f t="shared" si="1356"/>
        <v>无</v>
      </c>
      <c r="I2734" s="1" t="str">
        <f>"201709-202208  郑州大学西亚斯学院 金融学 就读 全日制
201409-201706  内乡一高 就读 全日制
"</f>
        <v>201709-202208  郑州大学西亚斯学院 金融学 就读 全日制
201409-201706  内乡一高 就读 全日制
</v>
      </c>
    </row>
    <row r="2735" spans="1:9">
      <c r="A2735" s="1" t="str">
        <f>"411330199210122034"</f>
        <v>411330199210122034</v>
      </c>
      <c r="B2735" s="1" t="str">
        <f t="shared" si="1355"/>
        <v>群众</v>
      </c>
      <c r="C2735" s="1" t="str">
        <f t="shared" si="1357"/>
        <v>本科</v>
      </c>
      <c r="D2735" s="1" t="str">
        <f>"20160710"</f>
        <v>20160710</v>
      </c>
      <c r="E2735" s="1" t="str">
        <f>"长安大学"</f>
        <v>长安大学</v>
      </c>
      <c r="F2735" s="1" t="str">
        <f>"测绘工程"</f>
        <v>测绘工程</v>
      </c>
      <c r="G2735" s="1" t="str">
        <f>"河南省南阳市西峡县五里桥镇杨岗村"</f>
        <v>河南省南阳市西峡县五里桥镇杨岗村</v>
      </c>
      <c r="H2735" s="1" t="str">
        <f>"中级工程师"</f>
        <v>中级工程师</v>
      </c>
      <c r="I2735" s="1" t="str">
        <f>"2012.09-2016.07在长安大学地质工程与测绘学院测绘工程专业就读，全日制学历；
2016.07-2017.02在中国建筑第七工程局有限公司总承包公司工作；
2017.03-2022.06在河南省地质物探测绘技术有限公司工作；
2022.06至今在河南省地球物理空间信息研究院工作"</f>
        <v>2012.09-2016.07在长安大学地质工程与测绘学院测绘工程专业就读，全日制学历；
2016.07-2017.02在中国建筑第七工程局有限公司总承包公司工作；
2017.03-2022.06在河南省地质物探测绘技术有限公司工作；
2022.06至今在河南省地球物理空间信息研究院工作</v>
      </c>
    </row>
    <row r="2736" spans="1:9">
      <c r="A2736" s="1" t="str">
        <f>"410527200403170021"</f>
        <v>410527200403170021</v>
      </c>
      <c r="B2736" s="1" t="str">
        <f t="shared" si="1355"/>
        <v>群众</v>
      </c>
      <c r="C2736" s="1" t="str">
        <f t="shared" si="1357"/>
        <v>本科</v>
      </c>
      <c r="D2736" s="1" t="str">
        <f>"20250630"</f>
        <v>20250630</v>
      </c>
      <c r="E2736" s="1" t="str">
        <f>"西华大学"</f>
        <v>西华大学</v>
      </c>
      <c r="F2736" s="1" t="str">
        <f>"电气工程及其自动化"</f>
        <v>电气工程及其自动化</v>
      </c>
      <c r="G2736" s="1" t="str">
        <f>"河南省安阳市内黄县建设路西段万福小区"</f>
        <v>河南省安阳市内黄县建设路西段万福小区</v>
      </c>
      <c r="H2736" s="1" t="str">
        <f t="shared" ref="H2736:H2741" si="1358">"无"</f>
        <v>无</v>
      </c>
      <c r="I2736" s="1" t="str">
        <f>"20210901-20250630 西华大学电气与电子信息学院电气工程及其自动化专业就读；全日制学历。
20250630-20250730 在家待业。"</f>
        <v>20210901-20250630 西华大学电气与电子信息学院电气工程及其自动化专业就读；全日制学历。
20250630-20250730 在家待业。</v>
      </c>
    </row>
    <row r="2737" spans="1:9">
      <c r="A2737" s="1" t="str">
        <f>"411381200008134811"</f>
        <v>411381200008134811</v>
      </c>
      <c r="B2737" s="1" t="str">
        <f t="shared" si="1355"/>
        <v>群众</v>
      </c>
      <c r="C2737" s="1" t="str">
        <f t="shared" si="1357"/>
        <v>本科</v>
      </c>
      <c r="D2737" s="1" t="str">
        <f>"20240701"</f>
        <v>20240701</v>
      </c>
      <c r="E2737" s="1" t="str">
        <f>"河南财经政法大学"</f>
        <v>河南财经政法大学</v>
      </c>
      <c r="F2737" s="1" t="str">
        <f>"计算机科学与技术"</f>
        <v>计算机科学与技术</v>
      </c>
      <c r="G2737" s="1" t="str">
        <f>"邓州市君临天下"</f>
        <v>邓州市君临天下</v>
      </c>
      <c r="H2737" s="1" t="str">
        <f t="shared" si="1358"/>
        <v>无</v>
      </c>
      <c r="I2737" s="1" t="str">
        <f>"201809-202107 郑州信息科技职业学院就读 物联网应用技术 全日制
202107-220209 在邓州市翰林学校待业
202209-202407 河南财经政法大学 计算机科学与技术 非全日制
202407-202507 在邓州市翰林学校待业"</f>
        <v>201809-202107 郑州信息科技职业学院就读 物联网应用技术 全日制
202107-220209 在邓州市翰林学校待业
202209-202407 河南财经政法大学 计算机科学与技术 非全日制
202407-202507 在邓州市翰林学校待业</v>
      </c>
    </row>
    <row r="2738" spans="1:9">
      <c r="A2738" s="1" t="str">
        <f>"41133019930425154X"</f>
        <v>41133019930425154X</v>
      </c>
      <c r="B2738" s="1" t="str">
        <f>"中共党员"</f>
        <v>中共党员</v>
      </c>
      <c r="C2738" s="1" t="str">
        <f t="shared" si="1357"/>
        <v>本科</v>
      </c>
      <c r="D2738" s="1" t="str">
        <f>"20170701"</f>
        <v>20170701</v>
      </c>
      <c r="E2738" s="1" t="str">
        <f>"河南科技大学"</f>
        <v>河南科技大学</v>
      </c>
      <c r="F2738" s="1" t="str">
        <f>"工商管理"</f>
        <v>工商管理</v>
      </c>
      <c r="G2738" s="1" t="str">
        <f>"河南省南阳市西峡县紫金路凯撒皇宫旁小城小区"</f>
        <v>河南省南阳市西峡县紫金路凯撒皇宫旁小城小区</v>
      </c>
      <c r="H2738" s="1" t="str">
        <f t="shared" si="1358"/>
        <v>无</v>
      </c>
      <c r="I2738" s="1" t="str">
        <f>"1、201309-201707 河南科技大学管理学院工商管理专业就读，是全日制学历；
2、2017年9月至2025年7月在南阳汉冶特钢有限公司工作。"</f>
        <v>1、201309-201707 河南科技大学管理学院工商管理专业就读，是全日制学历；
2、2017年9月至2025年7月在南阳汉冶特钢有限公司工作。</v>
      </c>
    </row>
    <row r="2739" spans="1:9">
      <c r="A2739" s="1" t="str">
        <f>"411122200004150071"</f>
        <v>411122200004150071</v>
      </c>
      <c r="B2739" s="1" t="str">
        <f>"中共党员"</f>
        <v>中共党员</v>
      </c>
      <c r="C2739" s="1" t="str">
        <f t="shared" si="1357"/>
        <v>本科</v>
      </c>
      <c r="D2739" s="1" t="str">
        <f>"20240701"</f>
        <v>20240701</v>
      </c>
      <c r="E2739" s="1" t="str">
        <f>"河南科技职业大学"</f>
        <v>河南科技职业大学</v>
      </c>
      <c r="F2739" s="1" t="str">
        <f>"学前教育"</f>
        <v>学前教育</v>
      </c>
      <c r="G2739" s="1" t="str">
        <f>"河南省临颍县天成逸家一期"</f>
        <v>河南省临颍县天成逸家一期</v>
      </c>
      <c r="H2739" s="1" t="str">
        <f t="shared" si="1358"/>
        <v>无</v>
      </c>
      <c r="I2739" s="1" t="str">
        <f>"201909-202207   焦作师范高等专科学校数学学院数学教育专业就读  全日制
202209-202407   河南科技职业大学教育科学学院学前教育专业就读
全日制"</f>
        <v>201909-202207   焦作师范高等专科学校数学学院数学教育专业就读  全日制
202209-202407   河南科技职业大学教育科学学院学前教育专业就读
全日制</v>
      </c>
    </row>
    <row r="2740" spans="1:9">
      <c r="A2740" s="1" t="str">
        <f>"411327200112020015"</f>
        <v>411327200112020015</v>
      </c>
      <c r="B2740" s="1" t="str">
        <f t="shared" ref="B2740:B2742" si="1359">"群众"</f>
        <v>群众</v>
      </c>
      <c r="C2740" s="1" t="str">
        <f t="shared" si="1357"/>
        <v>本科</v>
      </c>
      <c r="D2740" s="1" t="str">
        <f>"20240606"</f>
        <v>20240606</v>
      </c>
      <c r="E2740" s="1" t="str">
        <f>"河南大学"</f>
        <v>河南大学</v>
      </c>
      <c r="F2740" s="1" t="str">
        <f>"土木工程"</f>
        <v>土木工程</v>
      </c>
      <c r="G2740" s="1" t="str">
        <f>"1196697526@qq.com"</f>
        <v>1196697526@qq.com</v>
      </c>
      <c r="H2740" s="1" t="str">
        <f t="shared" si="1358"/>
        <v>无</v>
      </c>
      <c r="I2740" s="1" t="str">
        <f>"202009-202406河南大学就读 属于全日制"</f>
        <v>202009-202406河南大学就读 属于全日制</v>
      </c>
    </row>
    <row r="2741" spans="1:9">
      <c r="A2741" s="1" t="str">
        <f>"411327199804153921"</f>
        <v>411327199804153921</v>
      </c>
      <c r="B2741" s="1" t="str">
        <f t="shared" si="1359"/>
        <v>群众</v>
      </c>
      <c r="C2741" s="1" t="str">
        <f>"专科"</f>
        <v>专科</v>
      </c>
      <c r="D2741" s="1" t="str">
        <f>"20210701"</f>
        <v>20210701</v>
      </c>
      <c r="E2741" s="1" t="str">
        <f>"南阳农业职业学院"</f>
        <v>南阳农业职业学院</v>
      </c>
      <c r="F2741" s="1" t="str">
        <f>"畜牧兽医"</f>
        <v>畜牧兽医</v>
      </c>
      <c r="G2741" s="1" t="str">
        <f>"河南省南阳市内乡县"</f>
        <v>河南省南阳市内乡县</v>
      </c>
      <c r="H2741" s="1" t="str">
        <f t="shared" si="1358"/>
        <v>无</v>
      </c>
      <c r="I2741" s="1" t="str">
        <f>"201809-202107 南阳农业职业学院 就读"</f>
        <v>201809-202107 南阳农业职业学院 就读</v>
      </c>
    </row>
    <row r="2742" spans="1:9">
      <c r="A2742" s="1" t="str">
        <f>"41138119910330422X"</f>
        <v>41138119910330422X</v>
      </c>
      <c r="B2742" s="1" t="str">
        <f t="shared" si="1359"/>
        <v>群众</v>
      </c>
      <c r="C2742" s="1" t="str">
        <f t="shared" ref="C2742:C2746" si="1360">"本科"</f>
        <v>本科</v>
      </c>
      <c r="D2742" s="1" t="str">
        <f>"20210701"</f>
        <v>20210701</v>
      </c>
      <c r="E2742" s="1" t="str">
        <f>"南阳理工学院"</f>
        <v>南阳理工学院</v>
      </c>
      <c r="F2742" s="1" t="str">
        <f>"财务管理"</f>
        <v>财务管理</v>
      </c>
      <c r="G2742" s="1" t="str">
        <f>"河南省南阳市高新区四季花城"</f>
        <v>河南省南阳市高新区四季花城</v>
      </c>
      <c r="H2742" s="1" t="str">
        <f>"中级会计证"</f>
        <v>中级会计证</v>
      </c>
      <c r="I2742" s="1" t="str">
        <f>"2009.09-2012.06南阳理工学院  会计电算化专业  学生
2012.06-2019.06南阳市南泰试验设备有限责任公司   职员
2019.03-2021.07南阳理工学院  财务管理专业  学生
2019.06-2021.06南阳中润机柜有限公司  职员
2021.08-至今  南阳九鼎材料科技股份有限公司"</f>
        <v>2009.09-2012.06南阳理工学院  会计电算化专业  学生
2012.06-2019.06南阳市南泰试验设备有限责任公司   职员
2019.03-2021.07南阳理工学院  财务管理专业  学生
2019.06-2021.06南阳中润机柜有限公司  职员
2021.08-至今  南阳九鼎材料科技股份有限公司</v>
      </c>
    </row>
    <row r="2743" spans="1:9">
      <c r="A2743" s="1" t="str">
        <f>"412801199901240853"</f>
        <v>412801199901240853</v>
      </c>
      <c r="B2743" s="1" t="str">
        <f>"共青团员"</f>
        <v>共青团员</v>
      </c>
      <c r="C2743" s="1" t="str">
        <f t="shared" si="1360"/>
        <v>本科</v>
      </c>
      <c r="D2743" s="1" t="str">
        <f>"2022-06-17"</f>
        <v>2022-06-17</v>
      </c>
      <c r="E2743" s="1" t="str">
        <f>"楚雄师范学院"</f>
        <v>楚雄师范学院</v>
      </c>
      <c r="F2743" s="1" t="str">
        <f>"公共事业管理"</f>
        <v>公共事业管理</v>
      </c>
      <c r="G2743" s="1" t="str">
        <f>"河南省驻马店市驿城区文明路飞龙小区东区"</f>
        <v>河南省驻马店市驿城区文明路飞龙小区东区</v>
      </c>
      <c r="H2743" s="1" t="str">
        <f t="shared" ref="H2743:H2752" si="1361">"无"</f>
        <v>无</v>
      </c>
      <c r="I2743" s="1" t="str">
        <f>"201809-202206 楚雄师范学院 经管学院 公共事业管理专业就读
202309-202606 黑龙江八一农垦大学 经管学院 农业管理专业就读，研究生非全日制"</f>
        <v>201809-202206 楚雄师范学院 经管学院 公共事业管理专业就读
202309-202606 黑龙江八一农垦大学 经管学院 农业管理专业就读，研究生非全日制</v>
      </c>
    </row>
    <row r="2744" spans="1:9">
      <c r="A2744" s="1" t="str">
        <f>"411327199909092117"</f>
        <v>411327199909092117</v>
      </c>
      <c r="B2744" s="1" t="str">
        <f t="shared" ref="B2744:B2751" si="1362">"群众"</f>
        <v>群众</v>
      </c>
      <c r="C2744" s="1" t="str">
        <f t="shared" si="1360"/>
        <v>本科</v>
      </c>
      <c r="D2744" s="1" t="str">
        <f>"2023年6月30日"</f>
        <v>2023年6月30日</v>
      </c>
      <c r="E2744" s="1" t="str">
        <f>"许昌学院"</f>
        <v>许昌学院</v>
      </c>
      <c r="F2744" s="1" t="str">
        <f>"英语"</f>
        <v>英语</v>
      </c>
      <c r="G2744" s="1" t="str">
        <f>"河南省南阳市内乡县师岗镇八里岗村西南16号"</f>
        <v>河南省南阳市内乡县师岗镇八里岗村西南16号</v>
      </c>
      <c r="H2744" s="1" t="str">
        <f t="shared" si="1361"/>
        <v>无</v>
      </c>
      <c r="I2744" s="1" t="str">
        <f>"2019.9-2023.6许昌学院外国语学院英语专业就读，全日制
2023.6-2024.9待业
2024.9-2025.3外出打工
2025.3-至今，待业
"</f>
        <v>2019.9-2023.6许昌学院外国语学院英语专业就读，全日制
2023.6-2024.9待业
2024.9-2025.3外出打工
2025.3-至今，待业
</v>
      </c>
    </row>
    <row r="2745" spans="1:9">
      <c r="A2745" s="1" t="str">
        <f>"411327200305160022"</f>
        <v>411327200305160022</v>
      </c>
      <c r="B2745" s="1" t="str">
        <f t="shared" si="1362"/>
        <v>群众</v>
      </c>
      <c r="C2745" s="1" t="str">
        <f t="shared" si="1360"/>
        <v>本科</v>
      </c>
      <c r="D2745" s="1" t="str">
        <f>"20250615"</f>
        <v>20250615</v>
      </c>
      <c r="E2745" s="1" t="str">
        <f>"河南理工大学"</f>
        <v>河南理工大学</v>
      </c>
      <c r="F2745" s="1" t="str">
        <f>"软件工程"</f>
        <v>软件工程</v>
      </c>
      <c r="G2745" s="1" t="str">
        <f>"河南省内乡县水利局"</f>
        <v>河南省内乡县水利局</v>
      </c>
      <c r="H2745" s="1" t="str">
        <f t="shared" si="1361"/>
        <v>无</v>
      </c>
      <c r="I2745" s="1" t="str">
        <f>"202109-202506河南理工大学软件学院软件工程就读，全日制学历"</f>
        <v>202109-202506河南理工大学软件学院软件工程就读，全日制学历</v>
      </c>
    </row>
    <row r="2746" spans="1:9">
      <c r="A2746" s="1" t="str">
        <f>"411327200301084587"</f>
        <v>411327200301084587</v>
      </c>
      <c r="B2746" s="1" t="str">
        <f>"共青团员"</f>
        <v>共青团员</v>
      </c>
      <c r="C2746" s="1" t="str">
        <f t="shared" si="1360"/>
        <v>本科</v>
      </c>
      <c r="D2746" s="1" t="str">
        <f>"20250620"</f>
        <v>20250620</v>
      </c>
      <c r="E2746" s="1" t="str">
        <f>"河南财经政法大学"</f>
        <v>河南财经政法大学</v>
      </c>
      <c r="F2746" s="1" t="str">
        <f>"秘书学"</f>
        <v>秘书学</v>
      </c>
      <c r="G2746" s="1" t="str">
        <f>"河南省南阳市内乡县赵店乡张庄村罗洼"</f>
        <v>河南省南阳市内乡县赵店乡张庄村罗洼</v>
      </c>
      <c r="H2746" s="1" t="str">
        <f t="shared" si="1361"/>
        <v>无</v>
      </c>
      <c r="I2746" s="1" t="str">
        <f>"202109-202506在河南财经政法大学就读秘书学专业，全日制本科。
202507-至今在河南省南阳市内乡县赵店乡待业。"</f>
        <v>202109-202506在河南财经政法大学就读秘书学专业，全日制本科。
202507-至今在河南省南阳市内乡县赵店乡待业。</v>
      </c>
    </row>
    <row r="2747" spans="1:9">
      <c r="A2747" s="1" t="str">
        <f>"410402199408245573"</f>
        <v>410402199408245573</v>
      </c>
      <c r="B2747" s="1" t="str">
        <f t="shared" si="1362"/>
        <v>群众</v>
      </c>
      <c r="C2747" s="1" t="str">
        <f>"专科"</f>
        <v>专科</v>
      </c>
      <c r="D2747" s="1" t="str">
        <f>"20170701"</f>
        <v>20170701</v>
      </c>
      <c r="E2747" s="1" t="str">
        <f>"安阳师范学院人文管理学院"</f>
        <v>安阳师范学院人文管理学院</v>
      </c>
      <c r="F2747" s="1" t="str">
        <f>"会计"</f>
        <v>会计</v>
      </c>
      <c r="G2747" s="1" t="str">
        <f>"河南省平顶山卫东区康馨花园小区"</f>
        <v>河南省平顶山卫东区康馨花园小区</v>
      </c>
      <c r="H2747" s="1" t="str">
        <f t="shared" si="1361"/>
        <v>无</v>
      </c>
      <c r="I2747" s="1" t="str">
        <f>"201409-201707安阳师范学院人文管理学院财会学院会计专业就读，专科学历；"</f>
        <v>201409-201707安阳师范学院人文管理学院财会学院会计专业就读，专科学历；</v>
      </c>
    </row>
    <row r="2748" spans="1:9">
      <c r="A2748" s="1" t="str">
        <f>"411327199402153515"</f>
        <v>411327199402153515</v>
      </c>
      <c r="B2748" s="1" t="str">
        <f t="shared" si="1362"/>
        <v>群众</v>
      </c>
      <c r="C2748" s="1" t="str">
        <f t="shared" ref="C2748:C2752" si="1363">"本科"</f>
        <v>本科</v>
      </c>
      <c r="D2748" s="1" t="str">
        <f>"20160701"</f>
        <v>20160701</v>
      </c>
      <c r="E2748" s="1" t="str">
        <f>"河南医学高等专科学校"</f>
        <v>河南医学高等专科学校</v>
      </c>
      <c r="F2748" s="1" t="str">
        <f>"医学影像技术"</f>
        <v>医学影像技术</v>
      </c>
      <c r="G2748" s="1" t="str">
        <f>"河南省南阳市内乡县左岸皇朝小区"</f>
        <v>河南省南阳市内乡县左岸皇朝小区</v>
      </c>
      <c r="H2748" s="1" t="str">
        <f t="shared" si="1361"/>
        <v>无</v>
      </c>
      <c r="I2748" s="1" t="str">
        <f>"2013、9-2016、7毕业于河南医学高等专科学校；
2016.9-2018.12工作于城关镇卫生院；
2018.12-2023.8工作于内乡县人民医院；
2023.8至今余关镇卫生院"</f>
        <v>2013、9-2016、7毕业于河南医学高等专科学校；
2016.9-2018.12工作于城关镇卫生院；
2018.12-2023.8工作于内乡县人民医院；
2023.8至今余关镇卫生院</v>
      </c>
    </row>
    <row r="2749" spans="1:9">
      <c r="A2749" s="1" t="str">
        <f>"411327199811230323"</f>
        <v>411327199811230323</v>
      </c>
      <c r="B2749" s="1" t="str">
        <f t="shared" si="1362"/>
        <v>群众</v>
      </c>
      <c r="C2749" s="1" t="str">
        <f>"专科"</f>
        <v>专科</v>
      </c>
      <c r="D2749" s="1" t="str">
        <f>"20190701"</f>
        <v>20190701</v>
      </c>
      <c r="E2749" s="1" t="str">
        <f>"郑州旅游职业学院"</f>
        <v>郑州旅游职业学院</v>
      </c>
      <c r="F2749" s="1" t="str">
        <f>"会计"</f>
        <v>会计</v>
      </c>
      <c r="G2749" s="1" t="str">
        <f>"河南省南阳市内乡县湍东镇安泰荣盛公馆"</f>
        <v>河南省南阳市内乡县湍东镇安泰荣盛公馆</v>
      </c>
      <c r="H2749" s="1" t="str">
        <f t="shared" si="1361"/>
        <v>无</v>
      </c>
      <c r="I2749" s="1" t="str">
        <f>"201509-202907  郑州旅游职业学院会计专业就读  全日制学历
202205-202208  河南京邦达供应链有限公司
202210至今  内乡县城关镇政府购岗人员借调内乡县纪委监委工作"</f>
        <v>201509-202907  郑州旅游职业学院会计专业就读  全日制学历
202205-202208  河南京邦达供应链有限公司
202210至今  内乡县城关镇政府购岗人员借调内乡县纪委监委工作</v>
      </c>
    </row>
    <row r="2750" spans="1:9">
      <c r="A2750" s="1" t="str">
        <f>"411330199711292517"</f>
        <v>411330199711292517</v>
      </c>
      <c r="B2750" s="1" t="str">
        <f t="shared" si="1362"/>
        <v>群众</v>
      </c>
      <c r="C2750" s="1" t="str">
        <f t="shared" si="1363"/>
        <v>本科</v>
      </c>
      <c r="D2750" s="1" t="str">
        <f>"20240701"</f>
        <v>20240701</v>
      </c>
      <c r="E2750" s="1" t="str">
        <f>"南阳师范学院"</f>
        <v>南阳师范学院</v>
      </c>
      <c r="F2750" s="1" t="str">
        <f>"教育学"</f>
        <v>教育学</v>
      </c>
      <c r="G2750" s="1" t="str">
        <f>"河南省南阳市西峡县重阳乡"</f>
        <v>河南省南阳市西峡县重阳乡</v>
      </c>
      <c r="H2750" s="1" t="str">
        <f t="shared" si="1361"/>
        <v>无</v>
      </c>
      <c r="I2750" s="1" t="str">
        <f>"201609-201907 三门峡职业技术学院汽车检测与维修技术就读 全日制
2019-2022待业
202203-202407 南阳师范学院 教育学 就读 函授学习"</f>
        <v>201609-201907 三门峡职业技术学院汽车检测与维修技术就读 全日制
2019-2022待业
202203-202407 南阳师范学院 教育学 就读 函授学习</v>
      </c>
    </row>
    <row r="2751" spans="1:9">
      <c r="A2751" s="1" t="str">
        <f>"411326199702093626"</f>
        <v>411326199702093626</v>
      </c>
      <c r="B2751" s="1" t="str">
        <f t="shared" si="1362"/>
        <v>群众</v>
      </c>
      <c r="C2751" s="1" t="str">
        <f t="shared" si="1363"/>
        <v>本科</v>
      </c>
      <c r="D2751" s="1" t="str">
        <f>"20200701"</f>
        <v>20200701</v>
      </c>
      <c r="E2751" s="1" t="str">
        <f>"河南农业大学"</f>
        <v>河南农业大学</v>
      </c>
      <c r="F2751" s="1" t="str">
        <f>"烟草"</f>
        <v>烟草</v>
      </c>
      <c r="G2751" s="1" t="str">
        <f>"河南省南召县"</f>
        <v>河南省南召县</v>
      </c>
      <c r="H2751" s="1" t="str">
        <f t="shared" si="1361"/>
        <v>无</v>
      </c>
      <c r="I2751" s="1" t="str">
        <f>"201609-202007河南农业大学就读 烟草学院烟草专业
"</f>
        <v>201609-202007河南农业大学就读 烟草学院烟草专业
</v>
      </c>
    </row>
    <row r="2752" spans="1:9">
      <c r="A2752" s="1" t="str">
        <f>"41152220010909125X"</f>
        <v>41152220010909125X</v>
      </c>
      <c r="B2752" s="1" t="str">
        <f t="shared" ref="B2752:B2754" si="1364">"共青团员"</f>
        <v>共青团员</v>
      </c>
      <c r="C2752" s="1" t="str">
        <f t="shared" si="1363"/>
        <v>本科</v>
      </c>
      <c r="D2752" s="1" t="str">
        <f>"20240627"</f>
        <v>20240627</v>
      </c>
      <c r="E2752" s="1" t="str">
        <f>"长春大学旅游学院"</f>
        <v>长春大学旅游学院</v>
      </c>
      <c r="F2752" s="1" t="str">
        <f>"环境设计"</f>
        <v>环境设计</v>
      </c>
      <c r="G2752" s="1" t="str">
        <f>"河南省信阳市光山县慧明小区三号楼六楼"</f>
        <v>河南省信阳市光山县慧明小区三号楼六楼</v>
      </c>
      <c r="H2752" s="1" t="str">
        <f t="shared" si="1361"/>
        <v>无</v>
      </c>
      <c r="I2752" s="1" t="str">
        <f>"202010-202406 长春大学旅游学院 就读环境设计专业 全日制学历；
202406-今 待业"</f>
        <v>202010-202406 长春大学旅游学院 就读环境设计专业 全日制学历；
202406-今 待业</v>
      </c>
    </row>
    <row r="2753" spans="1:9">
      <c r="A2753" s="1" t="str">
        <f>"411327199708012045"</f>
        <v>411327199708012045</v>
      </c>
      <c r="B2753" s="1" t="str">
        <f t="shared" si="1364"/>
        <v>共青团员</v>
      </c>
      <c r="C2753" s="1" t="str">
        <f>"专科"</f>
        <v>专科</v>
      </c>
      <c r="D2753" s="1" t="str">
        <f>"20190801"</f>
        <v>20190801</v>
      </c>
      <c r="E2753" s="1" t="str">
        <f>"河南工学院"</f>
        <v>河南工学院</v>
      </c>
      <c r="F2753" s="1" t="str">
        <f>"会计"</f>
        <v>会计</v>
      </c>
      <c r="G2753" s="1" t="str">
        <f>"河南省南阳市内乡县湍东镇龙头村范营"</f>
        <v>河南省南阳市内乡县湍东镇龙头村范营</v>
      </c>
      <c r="H2753" s="1" t="str">
        <f>"初级会计证"</f>
        <v>初级会计证</v>
      </c>
      <c r="I2753" s="1" t="str">
        <f>"201609-201916于河南工学院就读，会计专业，是全日制学历"</f>
        <v>201609-201916于河南工学院就读，会计专业，是全日制学历</v>
      </c>
    </row>
    <row r="2754" spans="1:9">
      <c r="A2754" s="1" t="str">
        <f>"410423200204214924"</f>
        <v>410423200204214924</v>
      </c>
      <c r="B2754" s="1" t="str">
        <f t="shared" si="1364"/>
        <v>共青团员</v>
      </c>
      <c r="C2754" s="1" t="str">
        <f t="shared" ref="C2754:C2766" si="1365">"本科"</f>
        <v>本科</v>
      </c>
      <c r="D2754" s="1" t="str">
        <f t="shared" ref="D2754:D2757" si="1366">"20250701"</f>
        <v>20250701</v>
      </c>
      <c r="E2754" s="1" t="str">
        <f>"郑州经贸学院"</f>
        <v>郑州经贸学院</v>
      </c>
      <c r="F2754" s="1" t="str">
        <f>"财务管理"</f>
        <v>财务管理</v>
      </c>
      <c r="G2754" s="1" t="str">
        <f>"河南省平顶山市鲁山县幸福城小区"</f>
        <v>河南省平顶山市鲁山县幸福城小区</v>
      </c>
      <c r="H2754" s="1" t="str">
        <f>"初级会计专业技术资格证书"</f>
        <v>初级会计专业技术资格证书</v>
      </c>
      <c r="I2754" s="1" t="str">
        <f>"20250701-20230901 郑州经贸学院会计学院财务管理学院就读 是全日制学历
20230701-20200901 河南财政金融学院韦伯国际学院会计专业就读 是全日制学历
"</f>
        <v>20250701-20230901 郑州经贸学院会计学院财务管理学院就读 是全日制学历
20230701-20200901 河南财政金融学院韦伯国际学院会计专业就读 是全日制学历
</v>
      </c>
    </row>
    <row r="2755" spans="1:9">
      <c r="A2755" s="1" t="str">
        <f>"411303199806200516"</f>
        <v>411303199806200516</v>
      </c>
      <c r="B2755" s="1" t="str">
        <f>"群众"</f>
        <v>群众</v>
      </c>
      <c r="C2755" s="1" t="str">
        <f t="shared" si="1365"/>
        <v>本科</v>
      </c>
      <c r="D2755" s="1" t="str">
        <f>"20210701"</f>
        <v>20210701</v>
      </c>
      <c r="E2755" s="1" t="str">
        <f>"河南大学民生学院"</f>
        <v>河南大学民生学院</v>
      </c>
      <c r="F2755" s="1" t="str">
        <f>"环境设计"</f>
        <v>环境设计</v>
      </c>
      <c r="G2755" s="1" t="str">
        <f>"河南省南阳市卧龙区桃源街386号"</f>
        <v>河南省南阳市卧龙区桃源街386号</v>
      </c>
      <c r="H2755" s="1" t="str">
        <f t="shared" ref="H2755:H2760" si="1367">"无"</f>
        <v>无</v>
      </c>
      <c r="I2755" s="1" t="str">
        <f>"2017.09-2019.07南阳师范学院 动漫制作与设计专业就读
2019.09-2021.07河南大学民生学院 环境设计专业就读
2021.07-2024.04在家待业
2024.05-2025.07南阳市再生资源有限责任公司就业"</f>
        <v>2017.09-2019.07南阳师范学院 动漫制作与设计专业就读
2019.09-2021.07河南大学民生学院 环境设计专业就读
2021.07-2024.04在家待业
2024.05-2025.07南阳市再生资源有限责任公司就业</v>
      </c>
    </row>
    <row r="2756" spans="1:9">
      <c r="A2756" s="1" t="str">
        <f>"411327200302231120"</f>
        <v>411327200302231120</v>
      </c>
      <c r="B2756" s="1" t="str">
        <f t="shared" ref="B2756:B2758" si="1368">"中共党员"</f>
        <v>中共党员</v>
      </c>
      <c r="C2756" s="1" t="str">
        <f t="shared" si="1365"/>
        <v>本科</v>
      </c>
      <c r="D2756" s="1" t="str">
        <f t="shared" si="1366"/>
        <v>20250701</v>
      </c>
      <c r="E2756" s="1" t="str">
        <f>"信阳师范大学"</f>
        <v>信阳师范大学</v>
      </c>
      <c r="F2756" s="1" t="str">
        <f>"地理科学"</f>
        <v>地理科学</v>
      </c>
      <c r="G2756" s="1" t="str">
        <f>"河南省南阳市内乡县赤眉镇夹道村"</f>
        <v>河南省南阳市内乡县赤眉镇夹道村</v>
      </c>
      <c r="H2756" s="1" t="str">
        <f t="shared" si="1367"/>
        <v>无</v>
      </c>
      <c r="I2756" s="1" t="str">
        <f>"202109-202507 在信阳师范大学地理科学学院地理科学专业就读 全日制学历"</f>
        <v>202109-202507 在信阳师范大学地理科学学院地理科学专业就读 全日制学历</v>
      </c>
    </row>
    <row r="2757" spans="1:9">
      <c r="A2757" s="1" t="str">
        <f>"411623200104080019"</f>
        <v>411623200104080019</v>
      </c>
      <c r="B2757" s="1" t="str">
        <f t="shared" si="1368"/>
        <v>中共党员</v>
      </c>
      <c r="C2757" s="1" t="str">
        <f t="shared" si="1365"/>
        <v>本科</v>
      </c>
      <c r="D2757" s="1" t="str">
        <f t="shared" si="1366"/>
        <v>20250701</v>
      </c>
      <c r="E2757" s="1" t="str">
        <f>"郑州财经学院"</f>
        <v>郑州财经学院</v>
      </c>
      <c r="F2757" s="1" t="str">
        <f>"网络工程"</f>
        <v>网络工程</v>
      </c>
      <c r="G2757" s="1" t="str">
        <f>"河南省周口市商水县阳城大道纺织品家属院"</f>
        <v>河南省周口市商水县阳城大道纺织品家属院</v>
      </c>
      <c r="H2757" s="1" t="str">
        <f t="shared" si="1367"/>
        <v>无</v>
      </c>
      <c r="I2757" s="1" t="str">
        <f>"202009-202307 河南林业职业学院 信息与艺术设计系 软件技术 就读
202309-202507 郑州财经学院 信息工程学院 网络工程 就读"</f>
        <v>202009-202307 河南林业职业学院 信息与艺术设计系 软件技术 就读
202309-202507 郑州财经学院 信息工程学院 网络工程 就读</v>
      </c>
    </row>
    <row r="2758" spans="1:9">
      <c r="A2758" s="1" t="str">
        <f>"411327199405163954"</f>
        <v>411327199405163954</v>
      </c>
      <c r="B2758" s="1" t="str">
        <f t="shared" si="1368"/>
        <v>中共党员</v>
      </c>
      <c r="C2758" s="1" t="str">
        <f t="shared" si="1365"/>
        <v>本科</v>
      </c>
      <c r="D2758" s="1" t="str">
        <f>"20200110"</f>
        <v>20200110</v>
      </c>
      <c r="E2758" s="1" t="str">
        <f>"中南大学"</f>
        <v>中南大学</v>
      </c>
      <c r="F2758" s="1" t="str">
        <f>"行政管理"</f>
        <v>行政管理</v>
      </c>
      <c r="G2758" s="1" t="str">
        <f>"内乡县学府公馆7号楼707"</f>
        <v>内乡县学府公馆7号楼707</v>
      </c>
      <c r="H2758" s="1" t="str">
        <f t="shared" si="1367"/>
        <v>无</v>
      </c>
      <c r="I2758" s="1" t="str">
        <f>"201203—201401  河南广播电视大学  就读  非全日制专科
201402—201412  青岛啤酒股份有限公司湖北分公司
201501—2018.12  南阳怡酩商贸有限公司
201709—202001  中南大学  就读  非全日制本科
202002—202102  在家待业
202103—至今       内乡县殡仪馆职工"</f>
        <v>201203—201401  河南广播电视大学  就读  非全日制专科
201402—201412  青岛啤酒股份有限公司湖北分公司
201501—2018.12  南阳怡酩商贸有限公司
201709—202001  中南大学  就读  非全日制本科
202002—202102  在家待业
202103—至今       内乡县殡仪馆职工</v>
      </c>
    </row>
    <row r="2759" spans="1:9">
      <c r="A2759" s="1" t="str">
        <f>"411327200109110028"</f>
        <v>411327200109110028</v>
      </c>
      <c r="B2759" s="1" t="str">
        <f>"共青团员"</f>
        <v>共青团员</v>
      </c>
      <c r="C2759" s="1" t="str">
        <f t="shared" si="1365"/>
        <v>本科</v>
      </c>
      <c r="D2759" s="1" t="str">
        <f>"2025-07-01"</f>
        <v>2025-07-01</v>
      </c>
      <c r="E2759" s="1" t="str">
        <f>"辽东学院"</f>
        <v>辽东学院</v>
      </c>
      <c r="F2759" s="1" t="str">
        <f>"旅游管理"</f>
        <v>旅游管理</v>
      </c>
      <c r="G2759" s="1" t="str">
        <f>"河南省南阳市内乡县大桥乡封营村"</f>
        <v>河南省南阳市内乡县大桥乡封营村</v>
      </c>
      <c r="H2759" s="1" t="str">
        <f t="shared" si="1367"/>
        <v>无</v>
      </c>
      <c r="I2759" s="1" t="str">
        <f>"202009-202306  辽宁民族师范高等学校 初等教育系 语文教育  全日制
202309-202506  辽东学院    旅游与文化学院    旅游管理专业   全日制"</f>
        <v>202009-202306  辽宁民族师范高等学校 初等教育系 语文教育  全日制
202309-202506  辽东学院    旅游与文化学院    旅游管理专业   全日制</v>
      </c>
    </row>
    <row r="2760" spans="1:9">
      <c r="A2760" s="1" t="str">
        <f>"42068220000908002X"</f>
        <v>42068220000908002X</v>
      </c>
      <c r="B2760" s="1" t="str">
        <f t="shared" ref="B2760:B2764" si="1369">"中共党员"</f>
        <v>中共党员</v>
      </c>
      <c r="C2760" s="1" t="str">
        <f t="shared" si="1365"/>
        <v>本科</v>
      </c>
      <c r="D2760" s="1" t="str">
        <f>"20220630"</f>
        <v>20220630</v>
      </c>
      <c r="E2760" s="1" t="str">
        <f>"湖北文理学院"</f>
        <v>湖北文理学院</v>
      </c>
      <c r="F2760" s="1" t="str">
        <f>"汉语言文学"</f>
        <v>汉语言文学</v>
      </c>
      <c r="G2760" s="1" t="str">
        <f>"湖北省襄阳市老河口市汉口路物资局家属院"</f>
        <v>湖北省襄阳市老河口市汉口路物资局家属院</v>
      </c>
      <c r="H2760" s="1" t="str">
        <f t="shared" si="1367"/>
        <v>无</v>
      </c>
      <c r="I2760" s="1" t="str">
        <f>"201809-202206 湖北文理学院 文学与传媒学院 汉语言文学专业就读，全日制本科；
202207-202404在湖北省襄阳市老河口市待业；
202405-202507在老河口市工伤保险服务中心任公益性岗位"</f>
        <v>201809-202206 湖北文理学院 文学与传媒学院 汉语言文学专业就读，全日制本科；
202207-202404在湖北省襄阳市老河口市待业；
202405-202507在老河口市工伤保险服务中心任公益性岗位</v>
      </c>
    </row>
    <row r="2761" spans="1:9">
      <c r="A2761" s="1" t="str">
        <f>"411327200111022043"</f>
        <v>411327200111022043</v>
      </c>
      <c r="B2761" s="1" t="str">
        <f t="shared" ref="B2761:B2766" si="1370">"共青团员"</f>
        <v>共青团员</v>
      </c>
      <c r="C2761" s="1" t="str">
        <f t="shared" si="1365"/>
        <v>本科</v>
      </c>
      <c r="D2761" s="1" t="str">
        <f>"20240701"</f>
        <v>20240701</v>
      </c>
      <c r="E2761" s="1" t="str">
        <f>"郑州升达经贸管理学院"</f>
        <v>郑州升达经贸管理学院</v>
      </c>
      <c r="F2761" s="1" t="str">
        <f>"财务管理"</f>
        <v>财务管理</v>
      </c>
      <c r="G2761" s="1" t="str">
        <f>"河南省南阳市内乡县建业森林半岛"</f>
        <v>河南省南阳市内乡县建业森林半岛</v>
      </c>
      <c r="H2761" s="1" t="str">
        <f>"初级会计职业证书"</f>
        <v>初级会计职业证书</v>
      </c>
      <c r="I2761" s="1" t="str">
        <f>"202009-202407 郑州升达经贸管理学院会计学院财务管理专业就读，全日制学历
202407起就职于河南省恒辉农牧设备有限公司"</f>
        <v>202009-202407 郑州升达经贸管理学院会计学院财务管理专业就读，全日制学历
202407起就职于河南省恒辉农牧设备有限公司</v>
      </c>
    </row>
    <row r="2762" spans="1:9">
      <c r="A2762" s="1" t="str">
        <f>"411327199701120625"</f>
        <v>411327199701120625</v>
      </c>
      <c r="B2762" s="1" t="str">
        <f>"群众"</f>
        <v>群众</v>
      </c>
      <c r="C2762" s="1" t="str">
        <f t="shared" si="1365"/>
        <v>本科</v>
      </c>
      <c r="D2762" s="1" t="str">
        <f>"20180630"</f>
        <v>20180630</v>
      </c>
      <c r="E2762" s="1" t="str">
        <f>"海南大学"</f>
        <v>海南大学</v>
      </c>
      <c r="F2762" s="1" t="str">
        <f>"法学"</f>
        <v>法学</v>
      </c>
      <c r="G2762" s="1" t="str">
        <f>"河南省南阳市汉冶街道尚城花园"</f>
        <v>河南省南阳市汉冶街道尚城花园</v>
      </c>
      <c r="H2762" s="1" t="str">
        <f t="shared" ref="H2762:H2768" si="1371">"无"</f>
        <v>无</v>
      </c>
      <c r="I2762" s="1" t="str">
        <f>"201409-201806 海南大学 法学院 法学专业 就读，全日制学历；
201807-202105 河南省内乡县马山口镇 待业；
202106-202202 励学教育科技有限公司；
202203-202205 河南兴华器械设备有限公司；
202206-202303 河南省内乡县马山口镇 待业；
202304-202306 勉学教育科技有限公司；
202307-202507 河南省内乡县马山口镇 待业"</f>
        <v>201409-201806 海南大学 法学院 法学专业 就读，全日制学历；
201807-202105 河南省内乡县马山口镇 待业；
202106-202202 励学教育科技有限公司；
202203-202205 河南兴华器械设备有限公司；
202206-202303 河南省内乡县马山口镇 待业；
202304-202306 勉学教育科技有限公司；
202307-202507 河南省内乡县马山口镇 待业</v>
      </c>
    </row>
    <row r="2763" spans="1:9">
      <c r="A2763" s="1" t="str">
        <f>"411330199904081513"</f>
        <v>411330199904081513</v>
      </c>
      <c r="B2763" s="1" t="str">
        <f t="shared" si="1369"/>
        <v>中共党员</v>
      </c>
      <c r="C2763" s="1" t="str">
        <f t="shared" si="1365"/>
        <v>本科</v>
      </c>
      <c r="D2763" s="1" t="str">
        <f>"20220701"</f>
        <v>20220701</v>
      </c>
      <c r="E2763" s="1" t="str">
        <f>"河南工学院"</f>
        <v>河南工学院</v>
      </c>
      <c r="F2763" s="1" t="str">
        <f>"自动化"</f>
        <v>自动化</v>
      </c>
      <c r="G2763" s="1" t="str">
        <f>"河南南阳西峡莲花南路154号"</f>
        <v>河南南阳西峡莲花南路154号</v>
      </c>
      <c r="H2763" s="1" t="str">
        <f t="shared" si="1371"/>
        <v>无</v>
      </c>
      <c r="I2763" s="1" t="str">
        <f>"201709-202007 新乡学院
202009-202207 河南工学院
202207-202312 待业
202312-至今 南阳市人力资本运营有限公司"</f>
        <v>201709-202007 新乡学院
202009-202207 河南工学院
202207-202312 待业
202312-至今 南阳市人力资本运营有限公司</v>
      </c>
    </row>
    <row r="2764" spans="1:9">
      <c r="A2764" s="1" t="str">
        <f>"410324200110291727"</f>
        <v>410324200110291727</v>
      </c>
      <c r="B2764" s="1" t="str">
        <f t="shared" si="1369"/>
        <v>中共党员</v>
      </c>
      <c r="C2764" s="1" t="str">
        <f t="shared" si="1365"/>
        <v>本科</v>
      </c>
      <c r="D2764" s="1" t="str">
        <f>"20240620"</f>
        <v>20240620</v>
      </c>
      <c r="E2764" s="1" t="str">
        <f>"黄河科技学院"</f>
        <v>黄河科技学院</v>
      </c>
      <c r="F2764" s="1" t="str">
        <f>"英语专业"</f>
        <v>英语专业</v>
      </c>
      <c r="G2764" s="1" t="str">
        <f>"河南省洛阳市栾川县秋扒乡"</f>
        <v>河南省洛阳市栾川县秋扒乡</v>
      </c>
      <c r="H2764" s="1" t="str">
        <f t="shared" si="1371"/>
        <v>无</v>
      </c>
      <c r="I2764" s="1" t="str">
        <f>"202009-202406在黄河科技学院外国语学院英语专业就读。"</f>
        <v>202009-202406在黄河科技学院外国语学院英语专业就读。</v>
      </c>
    </row>
    <row r="2765" spans="1:9">
      <c r="A2765" s="1" t="str">
        <f>"411322199911180026"</f>
        <v>411322199911180026</v>
      </c>
      <c r="B2765" s="1" t="str">
        <f t="shared" si="1370"/>
        <v>共青团员</v>
      </c>
      <c r="C2765" s="1" t="str">
        <f t="shared" si="1365"/>
        <v>本科</v>
      </c>
      <c r="D2765" s="1" t="str">
        <f>"20230701"</f>
        <v>20230701</v>
      </c>
      <c r="E2765" s="1" t="str">
        <f>"洛阳理工学院"</f>
        <v>洛阳理工学院</v>
      </c>
      <c r="F2765" s="1" t="str">
        <f>"环境工程"</f>
        <v>环境工程</v>
      </c>
      <c r="G2765" s="1" t="str">
        <f>"河南省南阳市方城县北环路709号"</f>
        <v>河南省南阳市方城县北环路709号</v>
      </c>
      <c r="H2765" s="1" t="str">
        <f t="shared" si="1371"/>
        <v>无</v>
      </c>
      <c r="I2765" s="1" t="str">
        <f>"2018年9月-2021年7月 河南工业职业技术学校就读，全日制
2021年9月-2023年7月 洛阳理工学院就读，全日制
2023年7月-至今待业"</f>
        <v>2018年9月-2021年7月 河南工业职业技术学校就读，全日制
2021年9月-2023年7月 洛阳理工学院就读，全日制
2023年7月-至今待业</v>
      </c>
    </row>
    <row r="2766" spans="1:9">
      <c r="A2766" s="1" t="str">
        <f>"411327200103234951"</f>
        <v>411327200103234951</v>
      </c>
      <c r="B2766" s="1" t="str">
        <f t="shared" si="1370"/>
        <v>共青团员</v>
      </c>
      <c r="C2766" s="1" t="str">
        <f t="shared" si="1365"/>
        <v>本科</v>
      </c>
      <c r="D2766" s="1" t="str">
        <f>"20250701"</f>
        <v>20250701</v>
      </c>
      <c r="E2766" s="1" t="str">
        <f>"郑州工业技术应用学院"</f>
        <v>郑州工业技术应用学院</v>
      </c>
      <c r="F2766" s="1" t="str">
        <f>"学前教育"</f>
        <v>学前教育</v>
      </c>
      <c r="G2766" s="1" t="str">
        <f>"河南省南阳市内乡县灌涨镇胡刘村路家"</f>
        <v>河南省南阳市内乡县灌涨镇胡刘村路家</v>
      </c>
      <c r="H2766" s="1" t="str">
        <f t="shared" si="1371"/>
        <v>无</v>
      </c>
      <c r="I2766" s="1" t="str">
        <f>"20210701-20250701郑州工业应用技术学院学前教育专业就读全日制普通本科学历就读"</f>
        <v>20210701-20250701郑州工业应用技术学院学前教育专业就读全日制普通本科学历就读</v>
      </c>
    </row>
    <row r="2767" spans="1:9">
      <c r="A2767" s="1" t="str">
        <f>"411326200007186359"</f>
        <v>411326200007186359</v>
      </c>
      <c r="B2767" s="1" t="str">
        <f t="shared" ref="B2767:B2770" si="1372">"群众"</f>
        <v>群众</v>
      </c>
      <c r="C2767" s="1" t="str">
        <f>"专科"</f>
        <v>专科</v>
      </c>
      <c r="D2767" s="1" t="str">
        <f>"20220701"</f>
        <v>20220701</v>
      </c>
      <c r="E2767" s="1" t="str">
        <f>"郑州工业应用技术学院"</f>
        <v>郑州工业应用技术学院</v>
      </c>
      <c r="F2767" s="1" t="str">
        <f>"计算机应用技术"</f>
        <v>计算机应用技术</v>
      </c>
      <c r="G2767" s="1" t="str">
        <f>"淅川县九重镇桦栎扒村"</f>
        <v>淅川县九重镇桦栎扒村</v>
      </c>
      <c r="H2767" s="1" t="str">
        <f t="shared" si="1371"/>
        <v>无</v>
      </c>
      <c r="I2767" s="1" t="str">
        <f>"202003-202207郑州工业应用技术学院计算机应用技术专业函授学习，非全日制。"</f>
        <v>202003-202207郑州工业应用技术学院计算机应用技术专业函授学习，非全日制。</v>
      </c>
    </row>
    <row r="2768" spans="1:9">
      <c r="A2768" s="1" t="str">
        <f>"411327200003110310"</f>
        <v>411327200003110310</v>
      </c>
      <c r="B2768" s="1" t="str">
        <f t="shared" si="1372"/>
        <v>群众</v>
      </c>
      <c r="C2768" s="1" t="str">
        <f t="shared" ref="C2768:C2774" si="1373">"本科"</f>
        <v>本科</v>
      </c>
      <c r="D2768" s="1" t="str">
        <f>"20250701"</f>
        <v>20250701</v>
      </c>
      <c r="E2768" s="1" t="str">
        <f>"郑州经贸学院"</f>
        <v>郑州经贸学院</v>
      </c>
      <c r="F2768" s="1" t="str">
        <f>"信息管理与信息系统"</f>
        <v>信息管理与信息系统</v>
      </c>
      <c r="G2768" s="1" t="str">
        <f>"河南省内乡县城关镇大成西路87号"</f>
        <v>河南省内乡县城关镇大成西路87号</v>
      </c>
      <c r="H2768" s="1" t="str">
        <f t="shared" si="1371"/>
        <v>无</v>
      </c>
      <c r="I2768" s="1" t="str">
        <f>"202309-202507在郑州经贸学院信息管理与信息系统专业就读，全日制学历。"</f>
        <v>202309-202507在郑州经贸学院信息管理与信息系统专业就读，全日制学历。</v>
      </c>
    </row>
    <row r="2769" spans="1:9">
      <c r="A2769" s="1" t="str">
        <f>"411327200001180323"</f>
        <v>411327200001180323</v>
      </c>
      <c r="B2769" s="1" t="str">
        <f t="shared" si="1372"/>
        <v>群众</v>
      </c>
      <c r="C2769" s="1" t="str">
        <f t="shared" si="1373"/>
        <v>本科</v>
      </c>
      <c r="D2769" s="1" t="str">
        <f>"20210607"</f>
        <v>20210607</v>
      </c>
      <c r="E2769" s="1" t="str">
        <f>"中原工学院信息商务学院"</f>
        <v>中原工学院信息商务学院</v>
      </c>
      <c r="F2769" s="1" t="str">
        <f>"电子商务"</f>
        <v>电子商务</v>
      </c>
      <c r="G2769" s="1" t="str">
        <f>"河南省南阳市内乡县三里桥"</f>
        <v>河南省南阳市内乡县三里桥</v>
      </c>
      <c r="H2769" s="1" t="str">
        <f>"电子商务师"</f>
        <v>电子商务师</v>
      </c>
      <c r="I2769" s="1" t="str">
        <f>"201709-202206  在中原工学院信息商务学院电子商务专业就读 
202206-202309   河南省郑州市二七区中原银行航海路支行做大堂经理
202309-202504    在郑州市二七区海一云商工作 职位为带货主播并获得2023双十一获新渠道主播综合数据排名第一
202504-202507 在家备考"</f>
        <v>201709-202206  在中原工学院信息商务学院电子商务专业就读 
202206-202309   河南省郑州市二七区中原银行航海路支行做大堂经理
202309-202504    在郑州市二七区海一云商工作 职位为带货主播并获得2023双十一获新渠道主播综合数据排名第一
202504-202507 在家备考</v>
      </c>
    </row>
    <row r="2770" spans="1:9">
      <c r="A2770" s="1" t="str">
        <f>"411327199901082520"</f>
        <v>411327199901082520</v>
      </c>
      <c r="B2770" s="1" t="str">
        <f t="shared" si="1372"/>
        <v>群众</v>
      </c>
      <c r="C2770" s="1" t="str">
        <f>"专科"</f>
        <v>专科</v>
      </c>
      <c r="D2770" s="1" t="str">
        <f>"20190701"</f>
        <v>20190701</v>
      </c>
      <c r="E2770" s="1" t="str">
        <f>"河南交通职业技术学院"</f>
        <v>河南交通职业技术学院</v>
      </c>
      <c r="F2770" s="1" t="str">
        <f>"道路桥梁工程技术"</f>
        <v>道路桥梁工程技术</v>
      </c>
      <c r="G2770" s="1" t="str">
        <f>"新都花园"</f>
        <v>新都花园</v>
      </c>
      <c r="H2770" s="1" t="str">
        <f t="shared" ref="H2770:H2782" si="1374">"无"</f>
        <v>无</v>
      </c>
      <c r="I2770" s="1" t="str">
        <f>"201409-201907  河南交通职业技术学院  道路桥梁工程技术专业  全日制学历；201907-至今 南阳天合路桥实业有限公司  资料员"</f>
        <v>201409-201907  河南交通职业技术学院  道路桥梁工程技术专业  全日制学历；201907-至今 南阳天合路桥实业有限公司  资料员</v>
      </c>
    </row>
    <row r="2771" spans="1:9">
      <c r="A2771" s="1" t="str">
        <f>"41302620000405513X"</f>
        <v>41302620000405513X</v>
      </c>
      <c r="B2771" s="1" t="str">
        <f>"共青团员"</f>
        <v>共青团员</v>
      </c>
      <c r="C2771" s="1" t="str">
        <f t="shared" si="1373"/>
        <v>本科</v>
      </c>
      <c r="D2771" s="1" t="str">
        <f>"20210701"</f>
        <v>20210701</v>
      </c>
      <c r="E2771" s="1" t="str">
        <f>"郑州大学"</f>
        <v>郑州大学</v>
      </c>
      <c r="F2771" s="1" t="str">
        <f>"给排水科学与工程"</f>
        <v>给排水科学与工程</v>
      </c>
      <c r="G2771" s="1" t="str">
        <f>"河南省固始县成功大道东段珑翠园"</f>
        <v>河南省固始县成功大道东段珑翠园</v>
      </c>
      <c r="H2771" s="1" t="str">
        <f t="shared" si="1374"/>
        <v>无</v>
      </c>
      <c r="I2771" s="1" t="str">
        <f>"201709-202107 郑州大学 水利科学与工程学院 给排水科学与工程 全日制 就读
202107-202304 待业
202304-202307 青岛海尔光电有限公司 型号经理 就业
202307-至今 待业"</f>
        <v>201709-202107 郑州大学 水利科学与工程学院 给排水科学与工程 全日制 就读
202107-202304 待业
202304-202307 青岛海尔光电有限公司 型号经理 就业
202307-至今 待业</v>
      </c>
    </row>
    <row r="2772" spans="1:9">
      <c r="A2772" s="1" t="str">
        <f>"411081199801090373"</f>
        <v>411081199801090373</v>
      </c>
      <c r="B2772" s="1" t="str">
        <f t="shared" ref="B2772:B2778" si="1375">"群众"</f>
        <v>群众</v>
      </c>
      <c r="C2772" s="1" t="str">
        <f t="shared" si="1373"/>
        <v>本科</v>
      </c>
      <c r="D2772" s="1" t="str">
        <f>"2025年7月1日"</f>
        <v>2025年7月1日</v>
      </c>
      <c r="E2772" s="1" t="str">
        <f>"郑州财经学院"</f>
        <v>郑州财经学院</v>
      </c>
      <c r="F2772" s="1" t="str">
        <f>"金融学"</f>
        <v>金融学</v>
      </c>
      <c r="G2772" s="1" t="str">
        <f>"河南省禹州市颍河湾小区"</f>
        <v>河南省禹州市颍河湾小区</v>
      </c>
      <c r="H2772" s="1" t="str">
        <f t="shared" si="1374"/>
        <v>无</v>
      </c>
      <c r="I2772" s="1" t="str">
        <f>"201509-201806 桂林理工大学 就读
202209-202507 郑州财经学院 函授"</f>
        <v>201509-201806 桂林理工大学 就读
202209-202507 郑州财经学院 函授</v>
      </c>
    </row>
    <row r="2773" spans="1:9">
      <c r="A2773" s="1" t="str">
        <f>"411327200010292028"</f>
        <v>411327200010292028</v>
      </c>
      <c r="B2773" s="1" t="str">
        <f>"中共党员"</f>
        <v>中共党员</v>
      </c>
      <c r="C2773" s="1" t="str">
        <f t="shared" si="1373"/>
        <v>本科</v>
      </c>
      <c r="D2773" s="1" t="str">
        <f>"20230701"</f>
        <v>20230701</v>
      </c>
      <c r="E2773" s="1" t="str">
        <f>"中原工学院信息商务学院"</f>
        <v>中原工学院信息商务学院</v>
      </c>
      <c r="F2773" s="1" t="str">
        <f>"电子商务"</f>
        <v>电子商务</v>
      </c>
      <c r="G2773" s="1" t="str">
        <f>"河南省南阳市内乡县师岗镇师苑社区5-5"</f>
        <v>河南省南阳市内乡县师岗镇师苑社区5-5</v>
      </c>
      <c r="H2773" s="1" t="str">
        <f t="shared" si="1374"/>
        <v>无</v>
      </c>
      <c r="I2773" s="1" t="str">
        <f>"201909-202307  中原工学院信息商务学院  商学院 电子商务专业 全日制    202307-至今  待业
"</f>
        <v>201909-202307  中原工学院信息商务学院  商学院 电子商务专业 全日制    202307-至今  待业
</v>
      </c>
    </row>
    <row r="2774" spans="1:9">
      <c r="A2774" s="1" t="str">
        <f>"411324200006050027"</f>
        <v>411324200006050027</v>
      </c>
      <c r="B2774" s="1" t="str">
        <f t="shared" si="1375"/>
        <v>群众</v>
      </c>
      <c r="C2774" s="1" t="str">
        <f t="shared" si="1373"/>
        <v>本科</v>
      </c>
      <c r="D2774" s="1" t="str">
        <f>"20220630"</f>
        <v>20220630</v>
      </c>
      <c r="E2774" s="1" t="str">
        <f>"郑州轻工业大学"</f>
        <v>郑州轻工业大学</v>
      </c>
      <c r="F2774" s="1" t="str">
        <f>"食品科学与工程"</f>
        <v>食品科学与工程</v>
      </c>
      <c r="G2774" s="1" t="str">
        <f>"河南省南阳市镇平县"</f>
        <v>河南省南阳市镇平县</v>
      </c>
      <c r="H2774" s="1" t="str">
        <f t="shared" si="1374"/>
        <v>无</v>
      </c>
      <c r="I2774" s="1" t="str">
        <f>"201809-202206 郑州轻工业大学食品与生物工程学院就读食品科学与工程专业；全日制本科"</f>
        <v>201809-202206 郑州轻工业大学食品与生物工程学院就读食品科学与工程专业；全日制本科</v>
      </c>
    </row>
    <row r="2775" spans="1:9">
      <c r="A2775" s="1" t="str">
        <f>"411224200101270719"</f>
        <v>411224200101270719</v>
      </c>
      <c r="B2775" s="1" t="str">
        <f>"中共党员"</f>
        <v>中共党员</v>
      </c>
      <c r="C2775" s="1" t="str">
        <f t="shared" ref="C2775:C2778" si="1376">"专科"</f>
        <v>专科</v>
      </c>
      <c r="D2775" s="1" t="str">
        <f>"20220630"</f>
        <v>20220630</v>
      </c>
      <c r="E2775" s="1" t="str">
        <f>"武昌职业学院"</f>
        <v>武昌职业学院</v>
      </c>
      <c r="F2775" s="1" t="str">
        <f>"计算机网络技术"</f>
        <v>计算机网络技术</v>
      </c>
      <c r="G2775" s="1" t="str">
        <f>"卢氏县易和园小区"</f>
        <v>卢氏县易和园小区</v>
      </c>
      <c r="H2775" s="1" t="str">
        <f t="shared" si="1374"/>
        <v>无</v>
      </c>
      <c r="I2775" s="1" t="str">
        <f>"201909-202206 在武昌职业学院士官学院计算机网络技术  全日制
202112-202409 中国人民解放军93413部队 话务班班长
202409至今在家待业"</f>
        <v>201909-202206 在武昌职业学院士官学院计算机网络技术  全日制
202112-202409 中国人民解放军93413部队 话务班班长
202409至今在家待业</v>
      </c>
    </row>
    <row r="2776" spans="1:9">
      <c r="A2776" s="1" t="str">
        <f>"362427200105050314"</f>
        <v>362427200105050314</v>
      </c>
      <c r="B2776" s="1" t="str">
        <f t="shared" si="1375"/>
        <v>群众</v>
      </c>
      <c r="C2776" s="1" t="str">
        <f t="shared" si="1376"/>
        <v>专科</v>
      </c>
      <c r="D2776" s="1" t="str">
        <f>"20220710"</f>
        <v>20220710</v>
      </c>
      <c r="E2776" s="1" t="str">
        <f>"九江职业技术学院"</f>
        <v>九江职业技术学院</v>
      </c>
      <c r="F2776" s="1" t="str">
        <f>"计算机网络技术"</f>
        <v>计算机网络技术</v>
      </c>
      <c r="G2776" s="1" t="str">
        <f>"江西省吉安市遂川县于田镇长盛村"</f>
        <v>江西省吉安市遂川县于田镇长盛村</v>
      </c>
      <c r="H2776" s="1" t="str">
        <f t="shared" si="1374"/>
        <v>无</v>
      </c>
      <c r="I2776" s="1" t="str">
        <f>"20190-202206九江职业技术学院信息工程学院计算机网络技术专业就读，为全日制学历，在家待业至2024年7月在深圳上班，2025年2月离职现在家待业"</f>
        <v>20190-202206九江职业技术学院信息工程学院计算机网络技术专业就读，为全日制学历，在家待业至2024年7月在深圳上班，2025年2月离职现在家待业</v>
      </c>
    </row>
    <row r="2777" spans="1:9">
      <c r="A2777" s="1" t="str">
        <f>"412828200204092758"</f>
        <v>412828200204092758</v>
      </c>
      <c r="B2777" s="1" t="str">
        <f t="shared" si="1375"/>
        <v>群众</v>
      </c>
      <c r="C2777" s="1" t="str">
        <f t="shared" ref="C2777:C2782" si="1377">"本科"</f>
        <v>本科</v>
      </c>
      <c r="D2777" s="1" t="str">
        <f>"20250701"</f>
        <v>20250701</v>
      </c>
      <c r="E2777" s="1" t="str">
        <f>"河南城建学院"</f>
        <v>河南城建学院</v>
      </c>
      <c r="F2777" s="1" t="str">
        <f>"环境工程"</f>
        <v>环境工程</v>
      </c>
      <c r="G2777" s="1" t="str">
        <f>"河南省驻马店市新蔡县建业百城"</f>
        <v>河南省驻马店市新蔡县建业百城</v>
      </c>
      <c r="H2777" s="1" t="str">
        <f t="shared" si="1374"/>
        <v>无</v>
      </c>
      <c r="I2777" s="1" t="str">
        <f>"2020.09--2023.07  河南省洛阳市洛阳理工学院环境工程与化学学院工业分析技术专业就读 是全日制
2023.09--2025.07  河南省平顶山市河南城建学院市政与环境工程学院环境工程专业就读 是全日制
"</f>
        <v>2020.09--2023.07  河南省洛阳市洛阳理工学院环境工程与化学学院工业分析技术专业就读 是全日制
2023.09--2025.07  河南省平顶山市河南城建学院市政与环境工程学院环境工程专业就读 是全日制
</v>
      </c>
    </row>
    <row r="2778" spans="1:9">
      <c r="A2778" s="1" t="str">
        <f>"411224199710220017"</f>
        <v>411224199710220017</v>
      </c>
      <c r="B2778" s="1" t="str">
        <f t="shared" si="1375"/>
        <v>群众</v>
      </c>
      <c r="C2778" s="1" t="str">
        <f t="shared" si="1376"/>
        <v>专科</v>
      </c>
      <c r="D2778" s="1" t="str">
        <f>"20180701"</f>
        <v>20180701</v>
      </c>
      <c r="E2778" s="1" t="str">
        <f>"河南林业职业学院"</f>
        <v>河南林业职业学院</v>
      </c>
      <c r="F2778" s="1" t="str">
        <f>"园林工程技术"</f>
        <v>园林工程技术</v>
      </c>
      <c r="G2778" s="1" t="str">
        <f>"河南省三门峡市"</f>
        <v>河南省三门峡市</v>
      </c>
      <c r="H2778" s="1" t="str">
        <f t="shared" si="1374"/>
        <v>无</v>
      </c>
      <c r="I2778" s="1" t="str">
        <f>"201509-201807 河南林业职业学院园林工程技术专业 就读
201909-202409 中国人民解放军32145部队 服役"</f>
        <v>201509-201807 河南林业职业学院园林工程技术专业 就读
201909-202409 中国人民解放军32145部队 服役</v>
      </c>
    </row>
    <row r="2779" spans="1:9">
      <c r="A2779" s="1" t="str">
        <f>"411327200407160023"</f>
        <v>411327200407160023</v>
      </c>
      <c r="B2779" s="1" t="str">
        <f>"共青团员"</f>
        <v>共青团员</v>
      </c>
      <c r="C2779" s="1" t="str">
        <f t="shared" si="1377"/>
        <v>本科</v>
      </c>
      <c r="D2779" s="1" t="str">
        <f>"20260603"</f>
        <v>20260603</v>
      </c>
      <c r="E2779" s="1" t="str">
        <f>"南阳理工"</f>
        <v>南阳理工</v>
      </c>
      <c r="F2779" s="1" t="str">
        <f>"自动化及电气化工程"</f>
        <v>自动化及电气化工程</v>
      </c>
      <c r="G2779" s="1" t="str">
        <f>"河南省南阳市内乡县大成西路16巷"</f>
        <v>河南省南阳市内乡县大成西路16巷</v>
      </c>
      <c r="H2779" s="1" t="str">
        <f t="shared" si="1374"/>
        <v>无</v>
      </c>
      <c r="I2779" s="1" t="str">
        <f>"大学自2022年9月3日起南阳理工中外合作智能制造学院电气化工程就读，为全日制学历"</f>
        <v>大学自2022年9月3日起南阳理工中外合作智能制造学院电气化工程就读，为全日制学历</v>
      </c>
    </row>
    <row r="2780" spans="1:9">
      <c r="A2780" s="1" t="str">
        <f>"411327200308160036"</f>
        <v>411327200308160036</v>
      </c>
      <c r="B2780" s="1" t="str">
        <f>"中共党员"</f>
        <v>中共党员</v>
      </c>
      <c r="C2780" s="1" t="str">
        <f t="shared" si="1377"/>
        <v>本科</v>
      </c>
      <c r="D2780" s="1" t="str">
        <f>"20250701"</f>
        <v>20250701</v>
      </c>
      <c r="E2780" s="1" t="str">
        <f>"华北水利水电大学"</f>
        <v>华北水利水电大学</v>
      </c>
      <c r="F2780" s="1" t="str">
        <f>"行政管理"</f>
        <v>行政管理</v>
      </c>
      <c r="G2780" s="1" t="str">
        <f>"河南省南阳市内乡县城关镇清真寺村东路一号"</f>
        <v>河南省南阳市内乡县城关镇清真寺村东路一号</v>
      </c>
      <c r="H2780" s="1" t="str">
        <f t="shared" si="1374"/>
        <v>无</v>
      </c>
      <c r="I2780" s="1" t="str">
        <f>"200909-201507河南省南阳市内乡县第二小学 就读
201509-201807河南省内南阳市内乡县初级中学 就读
201809-202107河南省南阳市内乡县第一高级中学 就读
202109-202507华北水利水电大学 就读"</f>
        <v>200909-201507河南省南阳市内乡县第二小学 就读
201509-201807河南省内南阳市内乡县初级中学 就读
201809-202107河南省南阳市内乡县第一高级中学 就读
202109-202507华北水利水电大学 就读</v>
      </c>
    </row>
    <row r="2781" spans="1:9">
      <c r="A2781" s="1" t="str">
        <f>"411327199409200011"</f>
        <v>411327199409200011</v>
      </c>
      <c r="B2781" s="1" t="str">
        <f t="shared" ref="B2781:B2784" si="1378">"群众"</f>
        <v>群众</v>
      </c>
      <c r="C2781" s="1" t="str">
        <f t="shared" si="1377"/>
        <v>本科</v>
      </c>
      <c r="D2781" s="1" t="str">
        <f>"20160701"</f>
        <v>20160701</v>
      </c>
      <c r="E2781" s="1" t="str">
        <f>"中原工学院信息商务学院"</f>
        <v>中原工学院信息商务学院</v>
      </c>
      <c r="F2781" s="1" t="str">
        <f>"计算机科学与技术"</f>
        <v>计算机科学与技术</v>
      </c>
      <c r="G2781" s="1" t="str">
        <f>"内乡县城关镇黉学路13巷"</f>
        <v>内乡县城关镇黉学路13巷</v>
      </c>
      <c r="H2781" s="1" t="str">
        <f t="shared" si="1374"/>
        <v>无</v>
      </c>
      <c r="I2781" s="1" t="str">
        <f>"201209-201607 中原工学院信息商务学院 计算机科学与技术专业 全日制本科。
201608-201708 河南买卖多商务有限公司。
201709-201810 南阳市致远金融有限公司。
201810-201904 郑州中电云科技有限公司。
201904-至今 内乡县灌涨镇人民政府。"</f>
        <v>201209-201607 中原工学院信息商务学院 计算机科学与技术专业 全日制本科。
201608-201708 河南买卖多商务有限公司。
201709-201810 南阳市致远金融有限公司。
201810-201904 郑州中电云科技有限公司。
201904-至今 内乡县灌涨镇人民政府。</v>
      </c>
    </row>
    <row r="2782" spans="1:9">
      <c r="A2782" s="1" t="str">
        <f>"411330200306071513"</f>
        <v>411330200306071513</v>
      </c>
      <c r="B2782" s="1" t="str">
        <f t="shared" si="1378"/>
        <v>群众</v>
      </c>
      <c r="C2782" s="1" t="str">
        <f t="shared" si="1377"/>
        <v>本科</v>
      </c>
      <c r="D2782" s="1" t="str">
        <f>"20250615"</f>
        <v>20250615</v>
      </c>
      <c r="E2782" s="1" t="str">
        <f>"新乡学院"</f>
        <v>新乡学院</v>
      </c>
      <c r="F2782" s="1" t="str">
        <f>"计算机科学与技术"</f>
        <v>计算机科学与技术</v>
      </c>
      <c r="G2782" s="1" t="str">
        <f>"河南省南阳市"</f>
        <v>河南省南阳市</v>
      </c>
      <c r="H2782" s="1" t="str">
        <f t="shared" si="1374"/>
        <v>无</v>
      </c>
      <c r="I2782" s="1" t="str">
        <f>"202109-202506于新乡学院计算机信息工程学院计算机科学与技术专业就读，是全日制学历"</f>
        <v>202109-202506于新乡学院计算机信息工程学院计算机科学与技术专业就读，是全日制学历</v>
      </c>
    </row>
    <row r="2783" spans="1:9">
      <c r="A2783" s="1" t="str">
        <f>"411323199007085043"</f>
        <v>411323199007085043</v>
      </c>
      <c r="B2783" s="1" t="str">
        <f>"中共党员"</f>
        <v>中共党员</v>
      </c>
      <c r="C2783" s="1" t="str">
        <f t="shared" ref="C2783:C2788" si="1379">"专科"</f>
        <v>专科</v>
      </c>
      <c r="D2783" s="1" t="str">
        <f>"20200701"</f>
        <v>20200701</v>
      </c>
      <c r="E2783" s="1" t="str">
        <f>"河南工程学院"</f>
        <v>河南工程学院</v>
      </c>
      <c r="F2783" s="1" t="str">
        <f>"会计"</f>
        <v>会计</v>
      </c>
      <c r="G2783" s="1" t="str">
        <f>"河南省南阳市淅川县上集镇罗寨村"</f>
        <v>河南省南阳市淅川县上集镇罗寨村</v>
      </c>
      <c r="H2783" s="1" t="str">
        <f>"初级会计证书"</f>
        <v>初级会计证书</v>
      </c>
      <c r="I2783" s="1" t="str">
        <f>"201803--202007在河南工程学院会计专业就读，非全日制；
201501-202201在淅川天宝气体有限公司上班；
202207至今在福熙传媒淅川县有限公司上班"</f>
        <v>201803--202007在河南工程学院会计专业就读，非全日制；
201501-202201在淅川天宝气体有限公司上班；
202207至今在福熙传媒淅川县有限公司上班</v>
      </c>
    </row>
    <row r="2784" spans="1:9">
      <c r="A2784" s="1" t="str">
        <f>"411325200009053027"</f>
        <v>411325200009053027</v>
      </c>
      <c r="B2784" s="1" t="str">
        <f t="shared" si="1378"/>
        <v>群众</v>
      </c>
      <c r="C2784" s="1" t="str">
        <f t="shared" ref="C2784:C2787" si="1380">"本科"</f>
        <v>本科</v>
      </c>
      <c r="D2784" s="1" t="str">
        <f>"20220701"</f>
        <v>20220701</v>
      </c>
      <c r="E2784" s="1" t="str">
        <f>"郑州航空工业管理学校"</f>
        <v>郑州航空工业管理学校</v>
      </c>
      <c r="F2784" s="1" t="str">
        <f>"数学与应用数学"</f>
        <v>数学与应用数学</v>
      </c>
      <c r="G2784" s="1" t="str">
        <f>"河南省南阳市内乡县城关镇渚阳大街黄金花园"</f>
        <v>河南省南阳市内乡县城关镇渚阳大街黄金花园</v>
      </c>
      <c r="H2784" s="1" t="str">
        <f t="shared" ref="H2784:H2804" si="1381">"无"</f>
        <v>无</v>
      </c>
      <c r="I2784" s="1" t="str">
        <f>"201809-202206 在郑州航空工业管理学校数学系，专业为数学与应用数学，全日制本科。
202206-2024-12在河南华福包装科技有限公司就职。
202412-202507在七里坪卫生院就职。"</f>
        <v>201809-202206 在郑州航空工业管理学校数学系，专业为数学与应用数学，全日制本科。
202206-2024-12在河南华福包装科技有限公司就职。
202412-202507在七里坪卫生院就职。</v>
      </c>
    </row>
    <row r="2785" spans="1:9">
      <c r="A2785" s="1" t="str">
        <f>"411324200110265829"</f>
        <v>411324200110265829</v>
      </c>
      <c r="B2785" s="1" t="str">
        <f>"共青团员"</f>
        <v>共青团员</v>
      </c>
      <c r="C2785" s="1" t="str">
        <f t="shared" si="1380"/>
        <v>本科</v>
      </c>
      <c r="D2785" s="1" t="str">
        <f>"20250608"</f>
        <v>20250608</v>
      </c>
      <c r="E2785" s="1" t="str">
        <f>"郑州轻工业大学"</f>
        <v>郑州轻工业大学</v>
      </c>
      <c r="F2785" s="1" t="str">
        <f>"网络工程（云计算）"</f>
        <v>网络工程（云计算）</v>
      </c>
      <c r="G2785" s="1" t="str">
        <f>"河南省南阳市镇平县遮山镇倒座堂村一组55号"</f>
        <v>河南省南阳市镇平县遮山镇倒座堂村一组55号</v>
      </c>
      <c r="H2785" s="1" t="str">
        <f>"初级中学教师资格证"</f>
        <v>初级中学教师资格证</v>
      </c>
      <c r="I2785" s="1" t="str">
        <f>"202009-202306 焦作大学 信息工程学院 计算机应用技术专业就读 全日制
202309-202506 郑州轻工业大学 计算机科学与技术学院 网络工程（云计算）专业就读 全日制
202506-至今  镇平县倒座堂村待业"</f>
        <v>202009-202306 焦作大学 信息工程学院 计算机应用技术专业就读 全日制
202309-202506 郑州轻工业大学 计算机科学与技术学院 网络工程（云计算）专业就读 全日制
202506-至今  镇平县倒座堂村待业</v>
      </c>
    </row>
    <row r="2786" spans="1:9">
      <c r="A2786" s="1" t="str">
        <f>"411327200210291126"</f>
        <v>411327200210291126</v>
      </c>
      <c r="B2786" s="1" t="str">
        <f t="shared" ref="B2786:B2790" si="1382">"群众"</f>
        <v>群众</v>
      </c>
      <c r="C2786" s="1" t="str">
        <f t="shared" si="1379"/>
        <v>专科</v>
      </c>
      <c r="D2786" s="1" t="str">
        <f>"20250607"</f>
        <v>20250607</v>
      </c>
      <c r="E2786" s="1" t="str">
        <f>"河南科技学院"</f>
        <v>河南科技学院</v>
      </c>
      <c r="F2786" s="1" t="str">
        <f>"计算机应用技术"</f>
        <v>计算机应用技术</v>
      </c>
      <c r="G2786" s="1" t="str">
        <f>"内乡县赤眉镇张堂村杨营17号"</f>
        <v>内乡县赤眉镇张堂村杨营17号</v>
      </c>
      <c r="H2786" s="1" t="str">
        <f>"计算机程序设计员三级"</f>
        <v>计算机程序设计员三级</v>
      </c>
      <c r="I2786" s="1" t="str">
        <f>"202209-202506在河南科技学院高等职业技术学院计算机应用技术专业就读，全日制学历。"</f>
        <v>202209-202506在河南科技学院高等职业技术学院计算机应用技术专业就读，全日制学历。</v>
      </c>
    </row>
    <row r="2787" spans="1:9">
      <c r="A2787" s="1" t="str">
        <f>"410381200302284019"</f>
        <v>410381200302284019</v>
      </c>
      <c r="B2787" s="1" t="str">
        <f>"共青团员"</f>
        <v>共青团员</v>
      </c>
      <c r="C2787" s="1" t="str">
        <f t="shared" si="1380"/>
        <v>本科</v>
      </c>
      <c r="D2787" s="1" t="str">
        <f>"20250701"</f>
        <v>20250701</v>
      </c>
      <c r="E2787" s="1" t="str">
        <f>"信阳农林学院"</f>
        <v>信阳农林学院</v>
      </c>
      <c r="F2787" s="1" t="str">
        <f>"物联网工程"</f>
        <v>物联网工程</v>
      </c>
      <c r="G2787" s="1" t="str">
        <f>"河南省洛阳市偃师区顾县镇曲家寨村"</f>
        <v>河南省洛阳市偃师区顾县镇曲家寨村</v>
      </c>
      <c r="H2787" s="1" t="str">
        <f>"物联网安装调试员"</f>
        <v>物联网安装调试员</v>
      </c>
      <c r="I2787" s="1" t="str">
        <f>"202109-202507在信阳农林学院信息工程学院物联网工程专业就读，是全日制学历。 "</f>
        <v>202109-202507在信阳农林学院信息工程学院物联网工程专业就读，是全日制学历。 </v>
      </c>
    </row>
    <row r="2788" spans="1:9">
      <c r="A2788" s="1" t="str">
        <f>"411327199808251537"</f>
        <v>411327199808251537</v>
      </c>
      <c r="B2788" s="1" t="str">
        <f t="shared" si="1382"/>
        <v>群众</v>
      </c>
      <c r="C2788" s="1" t="str">
        <f t="shared" si="1379"/>
        <v>专科</v>
      </c>
      <c r="D2788" s="1" t="str">
        <f>"20200701"</f>
        <v>20200701</v>
      </c>
      <c r="E2788" s="1" t="str">
        <f>"河南水利与环境职业学院"</f>
        <v>河南水利与环境职业学院</v>
      </c>
      <c r="F2788" s="1" t="str">
        <f>"电气自动化技术"</f>
        <v>电气自动化技术</v>
      </c>
      <c r="G2788" s="1" t="str">
        <f>"河南省南阳市内乡县临湍路状元府"</f>
        <v>河南省南阳市内乡县临湍路状元府</v>
      </c>
      <c r="H2788" s="1" t="str">
        <f t="shared" si="1381"/>
        <v>无</v>
      </c>
      <c r="I2788" s="1" t="str">
        <f>"201709-202006河南水利与环境职业学院机电系电气自动化技术就读，全日制专科学历
202006-202306在河南省内乡县待业
202306-至今内乡县公安局赤眉派出所就业"</f>
        <v>201709-202006河南水利与环境职业学院机电系电气自动化技术就读，全日制专科学历
202006-202306在河南省内乡县待业
202306-至今内乡县公安局赤眉派出所就业</v>
      </c>
    </row>
    <row r="2789" spans="1:9">
      <c r="A2789" s="1" t="str">
        <f>"411327200007264923"</f>
        <v>411327200007264923</v>
      </c>
      <c r="B2789" s="1" t="str">
        <f>"中共党员"</f>
        <v>中共党员</v>
      </c>
      <c r="C2789" s="1" t="str">
        <f t="shared" ref="C2789:C2792" si="1383">"本科"</f>
        <v>本科</v>
      </c>
      <c r="D2789" s="1" t="str">
        <f>"20230615"</f>
        <v>20230615</v>
      </c>
      <c r="E2789" s="1" t="str">
        <f>"安徽理工大学"</f>
        <v>安徽理工大学</v>
      </c>
      <c r="F2789" s="1" t="str">
        <f>"化学工程与工艺"</f>
        <v>化学工程与工艺</v>
      </c>
      <c r="G2789" s="1" t="str">
        <f>"河南省南阳市内乡县灌涨镇前湾村贾营"</f>
        <v>河南省南阳市内乡县灌涨镇前湾村贾营</v>
      </c>
      <c r="H2789" s="1" t="str">
        <f t="shared" si="1381"/>
        <v>无</v>
      </c>
      <c r="I2789" s="1" t="str">
        <f>"201909-202306 安徽理工大学化学工程学院化学工程与工艺专业就读 全日制"</f>
        <v>201909-202306 安徽理工大学化学工程学院化学工程与工艺专业就读 全日制</v>
      </c>
    </row>
    <row r="2790" spans="1:9">
      <c r="A2790" s="1" t="str">
        <f>"411327199510292555"</f>
        <v>411327199510292555</v>
      </c>
      <c r="B2790" s="1" t="str">
        <f t="shared" si="1382"/>
        <v>群众</v>
      </c>
      <c r="C2790" s="1" t="str">
        <f>"专科"</f>
        <v>专科</v>
      </c>
      <c r="D2790" s="1" t="str">
        <f>"20140101"</f>
        <v>20140101</v>
      </c>
      <c r="E2790" s="1" t="str">
        <f>"河南省广播电视大学"</f>
        <v>河南省广播电视大学</v>
      </c>
      <c r="F2790" s="1" t="str">
        <f>"数控技术"</f>
        <v>数控技术</v>
      </c>
      <c r="G2790" s="1" t="str">
        <f>"河南省内乡县王店镇显圣庙村刘营116号"</f>
        <v>河南省内乡县王店镇显圣庙村刘营116号</v>
      </c>
      <c r="H2790" s="1" t="str">
        <f t="shared" si="1381"/>
        <v>无</v>
      </c>
      <c r="I2790" s="1" t="str">
        <f>"201203-201401河南广播电视大学脱产学习数控技术，非全日制学历;201405-201601河南恒昌防水防腐有限公司南阳分公司业务员201602-201701武汉名嘉布业发货员201702-201704内乡待业201705-201806邓州牧原饲养员201807-202109南阳宏晟信扬商贸业务员202110-202210上海安靠封装测试有限公司测试操作员202211-202412内乡新宛地坪装饰施工员202501-202503内乡灵活就业202504-202507南阳待业"</f>
        <v>201203-201401河南广播电视大学脱产学习数控技术，非全日制学历;201405-201601河南恒昌防水防腐有限公司南阳分公司业务员201602-201701武汉名嘉布业发货员201702-201704内乡待业201705-201806邓州牧原饲养员201807-202109南阳宏晟信扬商贸业务员202110-202210上海安靠封装测试有限公司测试操作员202211-202412内乡新宛地坪装饰施工员202501-202503内乡灵活就业202504-202507南阳待业</v>
      </c>
    </row>
    <row r="2791" spans="1:9">
      <c r="A2791" s="1" t="str">
        <f>"411327199912251115"</f>
        <v>411327199912251115</v>
      </c>
      <c r="B2791" s="1" t="str">
        <f>"共青团员"</f>
        <v>共青团员</v>
      </c>
      <c r="C2791" s="1" t="str">
        <f t="shared" si="1383"/>
        <v>本科</v>
      </c>
      <c r="D2791" s="1" t="str">
        <f>"20220706"</f>
        <v>20220706</v>
      </c>
      <c r="E2791" s="1" t="str">
        <f>"信阳师范大学"</f>
        <v>信阳师范大学</v>
      </c>
      <c r="F2791" s="1" t="str">
        <f>"土木工程"</f>
        <v>土木工程</v>
      </c>
      <c r="G2791" s="1" t="str">
        <f>"河南省南阳市内乡县赤眉镇"</f>
        <v>河南省南阳市内乡县赤眉镇</v>
      </c>
      <c r="H2791" s="1" t="str">
        <f t="shared" si="1381"/>
        <v>无</v>
      </c>
      <c r="I2791" s="1" t="str">
        <f>"20180906-20220706 信阳师范大学 于建筑与土木工程学院土木工程专业就读
20220715-20220823 中铁十局集团第二工程有限公司
20220909-20240128 浙江万华特种不锈钢
20240215-20250323 南阳清新环保科技有限公司
20250327-至今 牧原肉食品有限公司"</f>
        <v>20180906-20220706 信阳师范大学 于建筑与土木工程学院土木工程专业就读
20220715-20220823 中铁十局集团第二工程有限公司
20220909-20240128 浙江万华特种不锈钢
20240215-20250323 南阳清新环保科技有限公司
20250327-至今 牧原肉食品有限公司</v>
      </c>
    </row>
    <row r="2792" spans="1:9">
      <c r="A2792" s="1" t="str">
        <f>"410221199103251348"</f>
        <v>410221199103251348</v>
      </c>
      <c r="B2792" s="1" t="str">
        <f t="shared" ref="B2792:B2796" si="1384">"群众"</f>
        <v>群众</v>
      </c>
      <c r="C2792" s="1" t="str">
        <f t="shared" si="1383"/>
        <v>本科</v>
      </c>
      <c r="D2792" s="1" t="str">
        <f>"20170701"</f>
        <v>20170701</v>
      </c>
      <c r="E2792" s="1" t="str">
        <f>"新乡医学院三全学院"</f>
        <v>新乡医学院三全学院</v>
      </c>
      <c r="F2792" s="1" t="str">
        <f>"公共事业管理"</f>
        <v>公共事业管理</v>
      </c>
      <c r="G2792" s="1" t="str">
        <f>"河南省开封市杞县裴村店乡谢王庄村"</f>
        <v>河南省开封市杞县裴村店乡谢王庄村</v>
      </c>
      <c r="H2792" s="1" t="str">
        <f t="shared" si="1381"/>
        <v>无</v>
      </c>
      <c r="I2792" s="1" t="str">
        <f>"201309-201707  新乡医学院三全学院   健康管理学院  公共事业管理专业   全日制
201607-201704  郑州第七人民医院实习
201708-201712  郑州行知熟教育有限公司
201803-201810  北京爱云校教育科技有限公司
202003-202007  郑州超亚医疗器械有限公司
202103-202109  杞县中医院
202110-至今  待业"</f>
        <v>201309-201707  新乡医学院三全学院   健康管理学院  公共事业管理专业   全日制
201607-201704  郑州第七人民医院实习
201708-201712  郑州行知熟教育有限公司
201803-201810  北京爱云校教育科技有限公司
202003-202007  郑州超亚医疗器械有限公司
202103-202109  杞县中医院
202110-至今  待业</v>
      </c>
    </row>
    <row r="2793" spans="1:9">
      <c r="A2793" s="1" t="str">
        <f>"142729199109105725"</f>
        <v>142729199109105725</v>
      </c>
      <c r="B2793" s="1" t="str">
        <f t="shared" si="1384"/>
        <v>群众</v>
      </c>
      <c r="C2793" s="1" t="str">
        <f>"专科"</f>
        <v>专科</v>
      </c>
      <c r="D2793" s="1" t="str">
        <f>"20140701"</f>
        <v>20140701</v>
      </c>
      <c r="E2793" s="1" t="str">
        <f>"湖南石油化工职业技术学院"</f>
        <v>湖南石油化工职业技术学院</v>
      </c>
      <c r="F2793" s="1" t="str">
        <f>"石油化工生产技术"</f>
        <v>石油化工生产技术</v>
      </c>
      <c r="G2793" s="1" t="str">
        <f>"山西省运城市闻喜县河底镇"</f>
        <v>山西省运城市闻喜县河底镇</v>
      </c>
      <c r="H2793" s="1" t="str">
        <f t="shared" si="1381"/>
        <v>无</v>
      </c>
      <c r="I2793" s="1" t="str">
        <f>"20110901--20140701就读于湖南石油化工职业技术学院石化系石油化工生产技术全日制学历20140701--201809待业201409--202107就职于冯家庄小学202109-202207就职于蓝天双语学校202207--至今  待业"</f>
        <v>20110901--20140701就读于湖南石油化工职业技术学院石化系石油化工生产技术全日制学历20140701--201809待业201409--202107就职于冯家庄小学202109-202207就职于蓝天双语学校202207--至今  待业</v>
      </c>
    </row>
    <row r="2794" spans="1:9">
      <c r="A2794" s="1" t="str">
        <f>"411481199812039014"</f>
        <v>411481199812039014</v>
      </c>
      <c r="B2794" s="1" t="str">
        <f t="shared" si="1384"/>
        <v>群众</v>
      </c>
      <c r="C2794" s="1" t="str">
        <f t="shared" ref="C2794:C2809" si="1385">"本科"</f>
        <v>本科</v>
      </c>
      <c r="D2794" s="1" t="str">
        <f>"20210701"</f>
        <v>20210701</v>
      </c>
      <c r="E2794" s="1" t="str">
        <f>"华北水利水电大学"</f>
        <v>华北水利水电大学</v>
      </c>
      <c r="F2794" s="1" t="str">
        <f>"地质工程"</f>
        <v>地质工程</v>
      </c>
      <c r="G2794" s="1" t="str">
        <f>"永城市茴村乡永城第二初级中学"</f>
        <v>永城市茴村乡永城第二初级中学</v>
      </c>
      <c r="H2794" s="1" t="str">
        <f t="shared" si="1381"/>
        <v>无</v>
      </c>
      <c r="I2794" s="1" t="str">
        <f>"201709-202107 华北水利水电大学 地球科学与工程学院 地质工程专业 全日制本科"</f>
        <v>201709-202107 华北水利水电大学 地球科学与工程学院 地质工程专业 全日制本科</v>
      </c>
    </row>
    <row r="2795" spans="1:9">
      <c r="A2795" s="1" t="str">
        <f>"412825200002150295"</f>
        <v>412825200002150295</v>
      </c>
      <c r="B2795" s="1" t="str">
        <f t="shared" si="1384"/>
        <v>群众</v>
      </c>
      <c r="C2795" s="1" t="str">
        <f t="shared" si="1385"/>
        <v>本科</v>
      </c>
      <c r="D2795" s="1" t="str">
        <f>"2024.06.30"</f>
        <v>2024.06.30</v>
      </c>
      <c r="E2795" s="1" t="str">
        <f>"武汉设计工程学院"</f>
        <v>武汉设计工程学院</v>
      </c>
      <c r="F2795" s="1" t="str">
        <f>"数字媒体艺术"</f>
        <v>数字媒体艺术</v>
      </c>
      <c r="G2795" s="1" t="str">
        <f>"河南省郑州市中原区莲湖街道阳光花苑32号楼十八层211室"</f>
        <v>河南省郑州市中原区莲湖街道阳光花苑32号楼十八层211室</v>
      </c>
      <c r="H2795" s="1" t="str">
        <f t="shared" si="1381"/>
        <v>无</v>
      </c>
      <c r="I2795" s="1" t="str">
        <f>"2020.09.01-2024.06.30就读于武汉设计工程学院
2024.06.30-至今未就业"</f>
        <v>2020.09.01-2024.06.30就读于武汉设计工程学院
2024.06.30-至今未就业</v>
      </c>
    </row>
    <row r="2796" spans="1:9">
      <c r="A2796" s="1" t="str">
        <f>"41132920020720002X"</f>
        <v>41132920020720002X</v>
      </c>
      <c r="B2796" s="1" t="str">
        <f t="shared" si="1384"/>
        <v>群众</v>
      </c>
      <c r="C2796" s="1" t="str">
        <f t="shared" si="1385"/>
        <v>本科</v>
      </c>
      <c r="D2796" s="1" t="str">
        <f>"20250701"</f>
        <v>20250701</v>
      </c>
      <c r="E2796" s="1" t="str">
        <f>"郑州升达经贸管理学院"</f>
        <v>郑州升达经贸管理学院</v>
      </c>
      <c r="F2796" s="1" t="str">
        <f>"会计学"</f>
        <v>会计学</v>
      </c>
      <c r="G2796" s="1" t="str">
        <f>"河南省南阳市内乡县"</f>
        <v>河南省南阳市内乡县</v>
      </c>
      <c r="H2796" s="1" t="str">
        <f t="shared" si="1381"/>
        <v>无</v>
      </c>
      <c r="I2796" s="1" t="str">
        <f>"202109-202507 郑州升达经贸管理学院会计学院会计学专业 全日制 就读"</f>
        <v>202109-202507 郑州升达经贸管理学院会计学院会计学专业 全日制 就读</v>
      </c>
    </row>
    <row r="2797" spans="1:9">
      <c r="A2797" s="1" t="str">
        <f>"411327199906273713"</f>
        <v>411327199906273713</v>
      </c>
      <c r="B2797" s="1" t="str">
        <f t="shared" ref="B2797:B2801" si="1386">"中共党员"</f>
        <v>中共党员</v>
      </c>
      <c r="C2797" s="1" t="str">
        <f t="shared" si="1385"/>
        <v>本科</v>
      </c>
      <c r="D2797" s="1" t="str">
        <f>"20210618"</f>
        <v>20210618</v>
      </c>
      <c r="E2797" s="1" t="str">
        <f>"青海大学"</f>
        <v>青海大学</v>
      </c>
      <c r="F2797" s="1" t="str">
        <f>"旅游管理"</f>
        <v>旅游管理</v>
      </c>
      <c r="G2797" s="1" t="str">
        <f>"河南省南阳市内乡县桃溪镇"</f>
        <v>河南省南阳市内乡县桃溪镇</v>
      </c>
      <c r="H2797" s="1" t="str">
        <f t="shared" si="1381"/>
        <v>无</v>
      </c>
      <c r="I2797" s="1" t="str">
        <f>"201709 - 202106     青海大学旅游与工商管理系旅游管理专业   全日制
202106 - 202203     汤臣倍健药业有限公司
202203 - 202410     内乡县待业
202410 - 202502     圆通速递
202502 - 至今          内乡县待业  "</f>
        <v>201709 - 202106     青海大学旅游与工商管理系旅游管理专业   全日制
202106 - 202203     汤臣倍健药业有限公司
202203 - 202410     内乡县待业
202410 - 202502     圆通速递
202502 - 至今          内乡县待业  </v>
      </c>
    </row>
    <row r="2798" spans="1:9">
      <c r="A2798" s="1" t="str">
        <f>"411330199904011515"</f>
        <v>411330199904011515</v>
      </c>
      <c r="B2798" s="1" t="str">
        <f t="shared" si="1386"/>
        <v>中共党员</v>
      </c>
      <c r="C2798" s="1" t="str">
        <f t="shared" si="1385"/>
        <v>本科</v>
      </c>
      <c r="D2798" s="1" t="str">
        <f>"20220616"</f>
        <v>20220616</v>
      </c>
      <c r="E2798" s="1" t="str">
        <f>"吉林农业大学"</f>
        <v>吉林农业大学</v>
      </c>
      <c r="F2798" s="1" t="str">
        <f>"生物技术"</f>
        <v>生物技术</v>
      </c>
      <c r="G2798" s="1" t="str">
        <f>"河南省南阳市卧龙区风帆B区32号楼5单元101"</f>
        <v>河南省南阳市卧龙区风帆B区32号楼5单元101</v>
      </c>
      <c r="H2798" s="1" t="str">
        <f t="shared" si="1381"/>
        <v>无</v>
      </c>
      <c r="I2798" s="1" t="str">
        <f>"201709-202206 吉林农业大学全日制就读
202206-202407 在家待业
202407-202501 河南省西峡县五里桥镇政府劳务派遣
202501-至今 南阳市鸭河金地投资公司"</f>
        <v>201709-202206 吉林农业大学全日制就读
202206-202407 在家待业
202407-202501 河南省西峡县五里桥镇政府劳务派遣
202501-至今 南阳市鸭河金地投资公司</v>
      </c>
    </row>
    <row r="2799" spans="1:9">
      <c r="A2799" s="1" t="str">
        <f>"41132620011220001X"</f>
        <v>41132620011220001X</v>
      </c>
      <c r="B2799" s="1" t="str">
        <f>"共青团员"</f>
        <v>共青团员</v>
      </c>
      <c r="C2799" s="1" t="str">
        <f t="shared" si="1385"/>
        <v>本科</v>
      </c>
      <c r="D2799" s="1" t="str">
        <f>"20250610"</f>
        <v>20250610</v>
      </c>
      <c r="E2799" s="1" t="str">
        <f>"中原科技学院"</f>
        <v>中原科技学院</v>
      </c>
      <c r="F2799" s="1" t="str">
        <f>"城市地下空间工程"</f>
        <v>城市地下空间工程</v>
      </c>
      <c r="G2799" s="1" t="str">
        <f>"河南省南召县城关镇"</f>
        <v>河南省南召县城关镇</v>
      </c>
      <c r="H2799" s="1" t="str">
        <f t="shared" si="1381"/>
        <v>无</v>
      </c>
      <c r="I2799" s="1" t="str">
        <f>"202009-202306 商丘学院应用科技学院 建筑装饰工程技术专业就读 是全日制
202306-202309 在家待业
202309-202506 中原科技学院 城市地下空间工程专业就读 是全日制"</f>
        <v>202009-202306 商丘学院应用科技学院 建筑装饰工程技术专业就读 是全日制
202306-202309 在家待业
202309-202506 中原科技学院 城市地下空间工程专业就读 是全日制</v>
      </c>
    </row>
    <row r="2800" spans="1:9">
      <c r="A2800" s="1" t="str">
        <f>"411327200004143122"</f>
        <v>411327200004143122</v>
      </c>
      <c r="B2800" s="1" t="str">
        <f>"共青团员"</f>
        <v>共青团员</v>
      </c>
      <c r="C2800" s="1" t="str">
        <f t="shared" si="1385"/>
        <v>本科</v>
      </c>
      <c r="D2800" s="1" t="str">
        <f>"20230701"</f>
        <v>20230701</v>
      </c>
      <c r="E2800" s="1" t="str">
        <f>"南阳师范学院"</f>
        <v>南阳师范学院</v>
      </c>
      <c r="F2800" s="1" t="str">
        <f>"宝石及材料工艺学"</f>
        <v>宝石及材料工艺学</v>
      </c>
      <c r="G2800" s="1" t="str">
        <f>"河南省内乡县夏馆镇栗园村坡边组"</f>
        <v>河南省内乡县夏馆镇栗园村坡边组</v>
      </c>
      <c r="H2800" s="1" t="str">
        <f t="shared" si="1381"/>
        <v>无</v>
      </c>
      <c r="I2800" s="1" t="str">
        <f>"201909-202306 南阳师范学院珠宝玉雕学院宝石及材料工艺学专业就读 全日制"</f>
        <v>201909-202306 南阳师范学院珠宝玉雕学院宝石及材料工艺学专业就读 全日制</v>
      </c>
    </row>
    <row r="2801" spans="1:9">
      <c r="A2801" s="1" t="str">
        <f>"411327199907250046"</f>
        <v>411327199907250046</v>
      </c>
      <c r="B2801" s="1" t="str">
        <f t="shared" si="1386"/>
        <v>中共党员</v>
      </c>
      <c r="C2801" s="1" t="str">
        <f t="shared" si="1385"/>
        <v>本科</v>
      </c>
      <c r="D2801" s="1" t="str">
        <f>"2022.7"</f>
        <v>2022.7</v>
      </c>
      <c r="E2801" s="1" t="str">
        <f>"郑州工商学院"</f>
        <v>郑州工商学院</v>
      </c>
      <c r="F2801" s="1" t="str">
        <f>"法学"</f>
        <v>法学</v>
      </c>
      <c r="G2801" s="1" t="str">
        <f>"河南省南阳市内乡县城关镇新民路69号"</f>
        <v>河南省南阳市内乡县城关镇新民路69号</v>
      </c>
      <c r="H2801" s="1" t="str">
        <f t="shared" si="1381"/>
        <v>无</v>
      </c>
      <c r="I2801" s="1" t="str">
        <f>"2017年9月-2020年6月，河南检察职业学院司法警务专业就读；2020年9月-2022年6月，郑州工商学院法学专业就读；2022年7月-11月，内乡县人民法院，书记员；2022.12-至今，南阳内邓高速公路有限公司，职员。"</f>
        <v>2017年9月-2020年6月，河南检察职业学院司法警务专业就读；2020年9月-2022年6月，郑州工商学院法学专业就读；2022年7月-11月，内乡县人民法院，书记员；2022.12-至今，南阳内邓高速公路有限公司，职员。</v>
      </c>
    </row>
    <row r="2802" spans="1:9">
      <c r="A2802" s="1" t="str">
        <f>"412822199602102014"</f>
        <v>412822199602102014</v>
      </c>
      <c r="B2802" s="1" t="str">
        <f t="shared" ref="B2802:B2805" si="1387">"群众"</f>
        <v>群众</v>
      </c>
      <c r="C2802" s="1" t="str">
        <f t="shared" si="1385"/>
        <v>本科</v>
      </c>
      <c r="D2802" s="1" t="str">
        <f>"20210701"</f>
        <v>20210701</v>
      </c>
      <c r="E2802" s="1" t="str">
        <f>"郑州升达经贸管理学院"</f>
        <v>郑州升达经贸管理学院</v>
      </c>
      <c r="F2802" s="1" t="str">
        <f>"计算机科学与技术"</f>
        <v>计算机科学与技术</v>
      </c>
      <c r="G2802" s="1" t="str">
        <f>"河南省驻马店市泌阳县官庄镇"</f>
        <v>河南省驻马店市泌阳县官庄镇</v>
      </c>
      <c r="H2802" s="1" t="str">
        <f t="shared" si="1381"/>
        <v>无</v>
      </c>
      <c r="I2802" s="1" t="str">
        <f>"201609-201907  焦作大学  信息工程学院  通信技术  全日制
201909-202107  郑州升达经贸管理学院  信息工程学院  计算机科学与技术  全日制"</f>
        <v>201609-201907  焦作大学  信息工程学院  通信技术  全日制
201909-202107  郑州升达经贸管理学院  信息工程学院  计算机科学与技术  全日制</v>
      </c>
    </row>
    <row r="2803" spans="1:9">
      <c r="A2803" s="1" t="str">
        <f>"411327200206173928"</f>
        <v>411327200206173928</v>
      </c>
      <c r="B2803" s="1" t="str">
        <f t="shared" si="1387"/>
        <v>群众</v>
      </c>
      <c r="C2803" s="1" t="str">
        <f t="shared" si="1385"/>
        <v>本科</v>
      </c>
      <c r="D2803" s="1" t="str">
        <f>"20240620"</f>
        <v>20240620</v>
      </c>
      <c r="E2803" s="1" t="str">
        <f>"洛阳理工学院"</f>
        <v>洛阳理工学院</v>
      </c>
      <c r="F2803" s="1" t="str">
        <f>"汉语言文学"</f>
        <v>汉语言文学</v>
      </c>
      <c r="G2803" s="1" t="str">
        <f>"河南省南阳市内乡县城关镇教育路25巷33号"</f>
        <v>河南省南阳市内乡县城关镇教育路25巷33号</v>
      </c>
      <c r="H2803" s="1" t="str">
        <f t="shared" si="1381"/>
        <v>无</v>
      </c>
      <c r="I2803" s="1" t="str">
        <f>"202009-202406洛阳理工学院就读
202407-202411待业
202412-至今厚坡镇人民政府九级职员"</f>
        <v>202009-202406洛阳理工学院就读
202407-202411待业
202412-至今厚坡镇人民政府九级职员</v>
      </c>
    </row>
    <row r="2804" spans="1:9">
      <c r="A2804" s="1" t="str">
        <f>"412824200108194329"</f>
        <v>412824200108194329</v>
      </c>
      <c r="B2804" s="1" t="str">
        <f>"中共党员"</f>
        <v>中共党员</v>
      </c>
      <c r="C2804" s="1" t="str">
        <f t="shared" si="1385"/>
        <v>本科</v>
      </c>
      <c r="D2804" s="1" t="str">
        <f>"20230615"</f>
        <v>20230615</v>
      </c>
      <c r="E2804" s="1" t="str">
        <f>"武夷学院"</f>
        <v>武夷学院</v>
      </c>
      <c r="F2804" s="1" t="str">
        <f>"电子信息工程"</f>
        <v>电子信息工程</v>
      </c>
      <c r="G2804" s="1" t="str">
        <f>"河南省驻马店市西平县环城乡郝刘村"</f>
        <v>河南省驻马店市西平县环城乡郝刘村</v>
      </c>
      <c r="H2804" s="1" t="str">
        <f t="shared" si="1381"/>
        <v>无</v>
      </c>
      <c r="I2804" s="1" t="str">
        <f>"201909-202306 武夷学院 就读
202309-至今 河南省驻马店市西平县环城乡郝刘村 待业"</f>
        <v>201909-202306 武夷学院 就读
202309-至今 河南省驻马店市西平县环城乡郝刘村 待业</v>
      </c>
    </row>
    <row r="2805" spans="1:9">
      <c r="A2805" s="1" t="str">
        <f>"411327199910251533"</f>
        <v>411327199910251533</v>
      </c>
      <c r="B2805" s="1" t="str">
        <f t="shared" si="1387"/>
        <v>群众</v>
      </c>
      <c r="C2805" s="1" t="str">
        <f t="shared" si="1385"/>
        <v>本科</v>
      </c>
      <c r="D2805" s="1" t="str">
        <f>"2023-07-01"</f>
        <v>2023-07-01</v>
      </c>
      <c r="E2805" s="1" t="str">
        <f>"黄河科技学院"</f>
        <v>黄河科技学院</v>
      </c>
      <c r="F2805" s="1" t="str">
        <f>"会计学"</f>
        <v>会计学</v>
      </c>
      <c r="G2805" s="1" t="str">
        <f>"河南省南阳市内乡县湍东镇茶庵村南陈组26号"</f>
        <v>河南省南阳市内乡县湍东镇茶庵村南陈组26号</v>
      </c>
      <c r="H2805" s="1" t="str">
        <f>"初级会计技术证书"</f>
        <v>初级会计技术证书</v>
      </c>
      <c r="I2805" s="1" t="str">
        <f>"2018.09-2021.07 郑州西亚斯学院 会计 全日制
2021.09-2023.07 黄河科技学院 会计学 全日制"</f>
        <v>2018.09-2021.07 郑州西亚斯学院 会计 全日制
2021.09-2023.07 黄河科技学院 会计学 全日制</v>
      </c>
    </row>
    <row r="2806" spans="1:9">
      <c r="A2806" s="1" t="str">
        <f>"411323200110240529"</f>
        <v>411323200110240529</v>
      </c>
      <c r="B2806" s="1" t="str">
        <f>"共青团员"</f>
        <v>共青团员</v>
      </c>
      <c r="C2806" s="1" t="str">
        <f t="shared" si="1385"/>
        <v>本科</v>
      </c>
      <c r="D2806" s="1" t="str">
        <f>"20230630"</f>
        <v>20230630</v>
      </c>
      <c r="E2806" s="1" t="str">
        <f t="shared" ref="E2806:E2811" si="1388">"河南科技学院"</f>
        <v>河南科技学院</v>
      </c>
      <c r="F2806" s="1" t="str">
        <f>"食品质量与安全"</f>
        <v>食品质量与安全</v>
      </c>
      <c r="G2806" s="1" t="str">
        <f>"河南省南阳市淅川县上集镇西坪头社区"</f>
        <v>河南省南阳市淅川县上集镇西坪头社区</v>
      </c>
      <c r="H2806" s="1" t="str">
        <f t="shared" ref="H2806:H2812" si="1389">"无"</f>
        <v>无</v>
      </c>
      <c r="I2806" s="1" t="str">
        <f>"201909-202306   河南科技学院食品学院食品质量与安全专业   就读
202306-202406   在家   待业
202406-至今   南阳力诺药业   在职"</f>
        <v>201909-202306   河南科技学院食品学院食品质量与安全专业   就读
202306-202406   在家   待业
202406-至今   南阳力诺药业   在职</v>
      </c>
    </row>
    <row r="2807" spans="1:9">
      <c r="A2807" s="1" t="str">
        <f>"413026199702109195"</f>
        <v>413026199702109195</v>
      </c>
      <c r="B2807" s="1" t="str">
        <f t="shared" ref="B2807:B2810" si="1390">"群众"</f>
        <v>群众</v>
      </c>
      <c r="C2807" s="1" t="str">
        <f t="shared" si="1385"/>
        <v>本科</v>
      </c>
      <c r="D2807" s="1" t="str">
        <f>"2022-06"</f>
        <v>2022-06</v>
      </c>
      <c r="E2807" s="1" t="str">
        <f>"武汉科技大学"</f>
        <v>武汉科技大学</v>
      </c>
      <c r="F2807" s="1" t="str">
        <f>"信息安全"</f>
        <v>信息安全</v>
      </c>
      <c r="G2807" s="1" t="str">
        <f>"河南省信阳市固始县凤凰大道与民权路交叉口"</f>
        <v>河南省信阳市固始县凤凰大道与民权路交叉口</v>
      </c>
      <c r="H2807" s="1" t="str">
        <f t="shared" si="1389"/>
        <v>无</v>
      </c>
      <c r="I2807" s="1" t="str">
        <f>"2012年9月至2016年6月就读于固始县永和高级中学；
2016年9月至2022年6月就读于武汉科技大学黄家湖校区；"</f>
        <v>2012年9月至2016年6月就读于固始县永和高级中学；
2016年9月至2022年6月就读于武汉科技大学黄家湖校区；</v>
      </c>
    </row>
    <row r="2808" spans="1:9">
      <c r="A2808" s="1" t="str">
        <f>"41132720001129114X"</f>
        <v>41132720001129114X</v>
      </c>
      <c r="B2808" s="1" t="str">
        <f t="shared" si="1390"/>
        <v>群众</v>
      </c>
      <c r="C2808" s="1" t="str">
        <f t="shared" si="1385"/>
        <v>本科</v>
      </c>
      <c r="D2808" s="1" t="str">
        <f>"20250607"</f>
        <v>20250607</v>
      </c>
      <c r="E2808" s="1" t="str">
        <f>"郑州工业应用技术学院"</f>
        <v>郑州工业应用技术学院</v>
      </c>
      <c r="F2808" s="1" t="str">
        <f>"市场营销"</f>
        <v>市场营销</v>
      </c>
      <c r="G2808" s="1" t="str">
        <f>"河南省南阳市内乡县"</f>
        <v>河南省南阳市内乡县</v>
      </c>
      <c r="H2808" s="1" t="str">
        <f>"普通话二乙"</f>
        <v>普通话二乙</v>
      </c>
      <c r="I2808" s="1" t="str">
        <f>"202309-202506 郑州工业应用技术学院商学院市场营销专业就读，全日制学历。"</f>
        <v>202309-202506 郑州工业应用技术学院商学院市场营销专业就读，全日制学历。</v>
      </c>
    </row>
    <row r="2809" spans="1:9">
      <c r="A2809" s="1" t="str">
        <f>"410724200110119582"</f>
        <v>410724200110119582</v>
      </c>
      <c r="B2809" s="1" t="str">
        <f t="shared" ref="B2809:B2814" si="1391">"中共党员"</f>
        <v>中共党员</v>
      </c>
      <c r="C2809" s="1" t="str">
        <f t="shared" si="1385"/>
        <v>本科</v>
      </c>
      <c r="D2809" s="1" t="str">
        <f>"20240701"</f>
        <v>20240701</v>
      </c>
      <c r="E2809" s="1" t="str">
        <f t="shared" si="1388"/>
        <v>河南科技学院</v>
      </c>
      <c r="F2809" s="1" t="str">
        <f>"数据科学与大数据技术"</f>
        <v>数据科学与大数据技术</v>
      </c>
      <c r="G2809" s="1" t="str">
        <f>"河南省获嘉县中和镇前五福村振兴路西段43号"</f>
        <v>河南省获嘉县中和镇前五福村振兴路西段43号</v>
      </c>
      <c r="H2809" s="1" t="str">
        <f t="shared" si="1389"/>
        <v>无</v>
      </c>
      <c r="I2809" s="1" t="str">
        <f>"202009-202406 河南科技学院计算机科学与技术学院数据科学与大数据技术专业 就读 是全日制学历"</f>
        <v>202009-202406 河南科技学院计算机科学与技术学院数据科学与大数据技术专业 就读 是全日制学历</v>
      </c>
    </row>
    <row r="2810" spans="1:9">
      <c r="A2810" s="1" t="str">
        <f>"411327200112250312"</f>
        <v>411327200112250312</v>
      </c>
      <c r="B2810" s="1" t="str">
        <f t="shared" si="1390"/>
        <v>群众</v>
      </c>
      <c r="C2810" s="1" t="str">
        <f>"专科"</f>
        <v>专科</v>
      </c>
      <c r="D2810" s="1" t="str">
        <f>"2023.7.1"</f>
        <v>2023.7.1</v>
      </c>
      <c r="E2810" s="1" t="str">
        <f>"河南艺术职业学院"</f>
        <v>河南艺术职业学院</v>
      </c>
      <c r="F2810" s="1" t="str">
        <f>"艺术设计"</f>
        <v>艺术设计</v>
      </c>
      <c r="G2810" s="1" t="str">
        <f>"内乡县大桥乡堰庄村125号"</f>
        <v>内乡县大桥乡堰庄村125号</v>
      </c>
      <c r="H2810" s="1" t="str">
        <f t="shared" si="1389"/>
        <v>无</v>
      </c>
      <c r="I2810" s="1" t="str">
        <f>"202009-202307  河南艺术职业学院美术学院就读   是全日制学历
202307-202507   南阳市少儿美术中心就业"</f>
        <v>202009-202307  河南艺术职业学院美术学院就读   是全日制学历
202307-202507   南阳市少儿美术中心就业</v>
      </c>
    </row>
    <row r="2811" spans="1:9">
      <c r="A2811" s="1" t="str">
        <f>"411327199412014551"</f>
        <v>411327199412014551</v>
      </c>
      <c r="B2811" s="1" t="str">
        <f t="shared" si="1391"/>
        <v>中共党员</v>
      </c>
      <c r="C2811" s="1" t="str">
        <f t="shared" ref="C2811:C2834" si="1392">"本科"</f>
        <v>本科</v>
      </c>
      <c r="D2811" s="1" t="str">
        <f>"20240701"</f>
        <v>20240701</v>
      </c>
      <c r="E2811" s="1" t="str">
        <f t="shared" si="1388"/>
        <v>河南科技学院</v>
      </c>
      <c r="F2811" s="1" t="str">
        <f>"计算机科学与技术"</f>
        <v>计算机科学与技术</v>
      </c>
      <c r="G2811" s="1" t="str">
        <f>"河南省南阳市内乡县三里桥锦绣佳苑"</f>
        <v>河南省南阳市内乡县三里桥锦绣佳苑</v>
      </c>
      <c r="H2811" s="1" t="str">
        <f t="shared" si="1389"/>
        <v>无</v>
      </c>
      <c r="I2811" s="1" t="str">
        <f>"201309-201607   郑州信息工程职业学院就读   全日制
201609-202109   甘肃省兰州市永登县31683部队服役
202109-202110   河南省南阳市内乡县待业
202110至今 河南省南阳市内乡县公安局看护管理大队就业
202203-202407   河南科技学院就读   非全日制"</f>
        <v>201309-201607   郑州信息工程职业学院就读   全日制
201609-202109   甘肃省兰州市永登县31683部队服役
202109-202110   河南省南阳市内乡县待业
202110至今 河南省南阳市内乡县公安局看护管理大队就业
202203-202407   河南科技学院就读   非全日制</v>
      </c>
    </row>
    <row r="2812" spans="1:9">
      <c r="A2812" s="1" t="str">
        <f>"411327199901052962"</f>
        <v>411327199901052962</v>
      </c>
      <c r="B2812" s="1" t="str">
        <f t="shared" ref="B2812:B2816" si="1393">"共青团员"</f>
        <v>共青团员</v>
      </c>
      <c r="C2812" s="1" t="str">
        <f>"专科"</f>
        <v>专科</v>
      </c>
      <c r="D2812" s="1" t="str">
        <f>"20210701"</f>
        <v>20210701</v>
      </c>
      <c r="E2812" s="1" t="str">
        <f>"许昌职业技术学院"</f>
        <v>许昌职业技术学院</v>
      </c>
      <c r="F2812" s="1" t="str">
        <f>"语文教育"</f>
        <v>语文教育</v>
      </c>
      <c r="G2812" s="1" t="str">
        <f>"福建省福州市长乐区文武砂镇"</f>
        <v>福建省福州市长乐区文武砂镇</v>
      </c>
      <c r="H2812" s="1" t="str">
        <f t="shared" si="1389"/>
        <v>无</v>
      </c>
      <c r="I2812" s="1" t="str">
        <f>"201809-202107在许昌职业技术学院人文系语文教育专业就读全日制学历
202304-202507在河南师范大学汉语言专业就读函授非全日制学历"</f>
        <v>201809-202107在许昌职业技术学院人文系语文教育专业就读全日制学历
202304-202507在河南师范大学汉语言专业就读函授非全日制学历</v>
      </c>
    </row>
    <row r="2813" spans="1:9">
      <c r="A2813" s="1" t="str">
        <f>"411526199912056322"</f>
        <v>411526199912056322</v>
      </c>
      <c r="B2813" s="1" t="str">
        <f>"群众"</f>
        <v>群众</v>
      </c>
      <c r="C2813" s="1" t="str">
        <f t="shared" si="1392"/>
        <v>本科</v>
      </c>
      <c r="D2813" s="1" t="str">
        <f>"20220701"</f>
        <v>20220701</v>
      </c>
      <c r="E2813" s="1" t="str">
        <f>"信阳学院"</f>
        <v>信阳学院</v>
      </c>
      <c r="F2813" s="1" t="str">
        <f>"汉语言文学"</f>
        <v>汉语言文学</v>
      </c>
      <c r="G2813" s="1" t="str">
        <f>"河南省信阳市潢川县双柳树镇"</f>
        <v>河南省信阳市潢川县双柳树镇</v>
      </c>
      <c r="H2813" s="1" t="str">
        <f>"初中语文教师资格证"</f>
        <v>初中语文教师资格证</v>
      </c>
      <c r="I2813" s="1" t="str">
        <f>"201808-202207信阳学院文学院汉语言文学专业就读，是全日制；202207-202309在家待业；202309-2025双柳高中教学"</f>
        <v>201808-202207信阳学院文学院汉语言文学专业就读，是全日制；202207-202309在家待业；202309-2025双柳高中教学</v>
      </c>
    </row>
    <row r="2814" spans="1:9">
      <c r="A2814" s="1" t="str">
        <f>"411303199003120037"</f>
        <v>411303199003120037</v>
      </c>
      <c r="B2814" s="1" t="str">
        <f t="shared" si="1391"/>
        <v>中共党员</v>
      </c>
      <c r="C2814" s="1" t="str">
        <f t="shared" si="1392"/>
        <v>本科</v>
      </c>
      <c r="D2814" s="1" t="str">
        <f>"20180701"</f>
        <v>20180701</v>
      </c>
      <c r="E2814" s="1" t="str">
        <f>"南阳师范学院"</f>
        <v>南阳师范学院</v>
      </c>
      <c r="F2814" s="1" t="str">
        <f>"法学"</f>
        <v>法学</v>
      </c>
      <c r="G2814" s="1" t="str">
        <f>"河南省南阳市宛城区范蠡东路丽康花园"</f>
        <v>河南省南阳市宛城区范蠡东路丽康花园</v>
      </c>
      <c r="H2814" s="1" t="str">
        <f>"助理工程师，十一级"</f>
        <v>助理工程师，十一级</v>
      </c>
      <c r="I2814" s="1" t="str">
        <f>"201603-201807 南阳师范学院 就读 否
201711-202304 南阳市林业稽查大队
202305-至今 待业"</f>
        <v>201603-201807 南阳师范学院 就读 否
201711-202304 南阳市林业稽查大队
202305-至今 待业</v>
      </c>
    </row>
    <row r="2815" spans="1:9">
      <c r="A2815" s="1" t="str">
        <f>"411327200101030066"</f>
        <v>411327200101030066</v>
      </c>
      <c r="B2815" s="1" t="str">
        <f t="shared" si="1393"/>
        <v>共青团员</v>
      </c>
      <c r="C2815" s="1" t="str">
        <f t="shared" si="1392"/>
        <v>本科</v>
      </c>
      <c r="D2815" s="1" t="str">
        <f>"20220701"</f>
        <v>20220701</v>
      </c>
      <c r="E2815" s="1" t="str">
        <f>"黄河交通学院"</f>
        <v>黄河交通学院</v>
      </c>
      <c r="F2815" s="1" t="str">
        <f>"财务管理"</f>
        <v>财务管理</v>
      </c>
      <c r="G2815" s="1" t="str">
        <f>"河南省内乡县城关镇郦都大道东十巷"</f>
        <v>河南省内乡县城关镇郦都大道东十巷</v>
      </c>
      <c r="H2815" s="1" t="str">
        <f t="shared" ref="H2815:H2819" si="1394">"无"</f>
        <v>无</v>
      </c>
      <c r="I2815" s="1" t="str">
        <f>"201809-202207 黄河交通学院经济管理学院财务管理专业 就读
202211-202409 临汾飞信科技有限公司 职员"</f>
        <v>201809-202207 黄河交通学院经济管理学院财务管理专业 就读
202211-202409 临汾飞信科技有限公司 职员</v>
      </c>
    </row>
    <row r="2816" spans="1:9">
      <c r="A2816" s="1" t="str">
        <f>"411327199909132043"</f>
        <v>411327199909132043</v>
      </c>
      <c r="B2816" s="1" t="str">
        <f t="shared" si="1393"/>
        <v>共青团员</v>
      </c>
      <c r="C2816" s="1" t="str">
        <f t="shared" si="1392"/>
        <v>本科</v>
      </c>
      <c r="D2816" s="1" t="str">
        <f>"2021年7月1日"</f>
        <v>2021年7月1日</v>
      </c>
      <c r="E2816" s="1" t="str">
        <f>"郑州商学院"</f>
        <v>郑州商学院</v>
      </c>
      <c r="F2816" s="1" t="str">
        <f>"会计学（管理会计方向）"</f>
        <v>会计学（管理会计方向）</v>
      </c>
      <c r="G2816" s="1" t="str">
        <f>"河南省南阳市内乡县湍东镇东王营村"</f>
        <v>河南省南阳市内乡县湍东镇东王营村</v>
      </c>
      <c r="H2816" s="1" t="str">
        <f>"初级会计证书"</f>
        <v>初级会计证书</v>
      </c>
      <c r="I2816" s="1" t="str">
        <f>"2017.9-2021.7郑州商学院就读
2021.7-2022.11在家待业
2022.11-2023.1河南融创新和科技有限公司
2023.1-2023.7河南聚爱管材科技有限公司
2023.7-至今南阳寅兴实业有限公司"</f>
        <v>2017.9-2021.7郑州商学院就读
2021.7-2022.11在家待业
2022.11-2023.1河南融创新和科技有限公司
2023.1-2023.7河南聚爱管材科技有限公司
2023.7-至今南阳寅兴实业有限公司</v>
      </c>
    </row>
    <row r="2817" spans="1:9">
      <c r="A2817" s="1" t="str">
        <f>"371422199202166718"</f>
        <v>371422199202166718</v>
      </c>
      <c r="B2817" s="1" t="str">
        <f t="shared" ref="B2817:B2821" si="1395">"中共党员"</f>
        <v>中共党员</v>
      </c>
      <c r="C2817" s="1" t="str">
        <f t="shared" si="1392"/>
        <v>本科</v>
      </c>
      <c r="D2817" s="1" t="str">
        <f>"20160701"</f>
        <v>20160701</v>
      </c>
      <c r="E2817" s="1" t="str">
        <f>"河南工业大学"</f>
        <v>河南工业大学</v>
      </c>
      <c r="F2817" s="1" t="str">
        <f>"车辆工程"</f>
        <v>车辆工程</v>
      </c>
      <c r="G2817" s="1" t="str">
        <f>"河南省南阳市西峡县阳城镇牛王村"</f>
        <v>河南省南阳市西峡县阳城镇牛王村</v>
      </c>
      <c r="H2817" s="1" t="str">
        <f t="shared" si="1394"/>
        <v>无</v>
      </c>
      <c r="I2817" s="1" t="str">
        <f>"201209-201607河南工业大学机电工程学院车辆工程专业就读。
201607-201804西峡县阳城镇牛王村待业
201804-201809新疆蔚犁县公安局巡控大队
201809-202009西峡县阳城镇牛王村待业
202009-202203西峡县阳城镇牛王村委会工作
202203-202211西峡县阳城镇牛王村待业
202211-至今西峡县阳城派出所工作
"</f>
        <v>201209-201607河南工业大学机电工程学院车辆工程专业就读。
201607-201804西峡县阳城镇牛王村待业
201804-201809新疆蔚犁县公安局巡控大队
201809-202009西峡县阳城镇牛王村待业
202009-202203西峡县阳城镇牛王村委会工作
202203-202211西峡县阳城镇牛王村待业
202211-至今西峡县阳城派出所工作
</v>
      </c>
    </row>
    <row r="2818" spans="1:9">
      <c r="A2818" s="1" t="str">
        <f>"411327200101084945"</f>
        <v>411327200101084945</v>
      </c>
      <c r="B2818" s="1" t="str">
        <f t="shared" si="1395"/>
        <v>中共党员</v>
      </c>
      <c r="C2818" s="1" t="str">
        <f t="shared" si="1392"/>
        <v>本科</v>
      </c>
      <c r="D2818" s="1" t="str">
        <f>"20230621"</f>
        <v>20230621</v>
      </c>
      <c r="E2818" s="1" t="str">
        <f>"陕西学前师范学院"</f>
        <v>陕西学前师范学院</v>
      </c>
      <c r="F2818" s="1" t="str">
        <f>"体育教育"</f>
        <v>体育教育</v>
      </c>
      <c r="G2818" s="1" t="str">
        <f>"河南省南阳市内乡县灌涨镇"</f>
        <v>河南省南阳市内乡县灌涨镇</v>
      </c>
      <c r="H2818" s="1" t="str">
        <f t="shared" si="1394"/>
        <v>无</v>
      </c>
      <c r="I2818" s="1" t="str">
        <f>"201909-202309陕西学前师范学院体育学院体育教育专业就读，全日制学历。
202309-202507待业"</f>
        <v>201909-202309陕西学前师范学院体育学院体育教育专业就读，全日制学历。
202309-202507待业</v>
      </c>
    </row>
    <row r="2819" spans="1:9">
      <c r="A2819" s="1" t="str">
        <f>"360981200103037611"</f>
        <v>360981200103037611</v>
      </c>
      <c r="B2819" s="1" t="str">
        <f t="shared" ref="B2819:B2822" si="1396">"共青团员"</f>
        <v>共青团员</v>
      </c>
      <c r="C2819" s="1" t="str">
        <f t="shared" si="1392"/>
        <v>本科</v>
      </c>
      <c r="D2819" s="1" t="str">
        <f>"20240630"</f>
        <v>20240630</v>
      </c>
      <c r="E2819" s="1" t="str">
        <f>"江西农业大学南昌商学院"</f>
        <v>江西农业大学南昌商学院</v>
      </c>
      <c r="F2819" s="1" t="str">
        <f>"汉语言"</f>
        <v>汉语言</v>
      </c>
      <c r="G2819" s="1" t="str">
        <f>"江西省丰城市三千套A区41栋一单元"</f>
        <v>江西省丰城市三千套A区41栋一单元</v>
      </c>
      <c r="H2819" s="1" t="str">
        <f t="shared" si="1394"/>
        <v>无</v>
      </c>
      <c r="I2819" s="1" t="str">
        <f>"202009-202406江西农业大学南昌商学院人文与艺术系汉语言专业就读，是全日制学历"</f>
        <v>202009-202406江西农业大学南昌商学院人文与艺术系汉语言专业就读，是全日制学历</v>
      </c>
    </row>
    <row r="2820" spans="1:9">
      <c r="A2820" s="1" t="str">
        <f>"411327199802244256"</f>
        <v>411327199802244256</v>
      </c>
      <c r="B2820" s="1" t="str">
        <f t="shared" si="1396"/>
        <v>共青团员</v>
      </c>
      <c r="C2820" s="1" t="str">
        <f t="shared" si="1392"/>
        <v>本科</v>
      </c>
      <c r="D2820" s="1" t="str">
        <f>"20210701"</f>
        <v>20210701</v>
      </c>
      <c r="E2820" s="1" t="str">
        <f>"新乡学院"</f>
        <v>新乡学院</v>
      </c>
      <c r="F2820" s="1" t="str">
        <f>"历史学"</f>
        <v>历史学</v>
      </c>
      <c r="G2820" s="1" t="str">
        <f>"南阳市内乡县城关镇东风村李家营"</f>
        <v>南阳市内乡县城关镇东风村李家营</v>
      </c>
      <c r="H2820" s="1" t="str">
        <f>"中学二级教师"</f>
        <v>中学二级教师</v>
      </c>
      <c r="I2820" s="1" t="str">
        <f>"201509-201609 新乡学院 历史与社会发展学院 历史学专业 就读
201609-201809 中国人民解放军 71602部队 战士
201809-202109 新乡学院 人文学院 历史学专业就读
202109-202408 内乡菊潭高级中学 历史教师
202408-至今 待业"</f>
        <v>201509-201609 新乡学院 历史与社会发展学院 历史学专业 就读
201609-201809 中国人民解放军 71602部队 战士
201809-202109 新乡学院 人文学院 历史学专业就读
202109-202408 内乡菊潭高级中学 历史教师
202408-至今 待业</v>
      </c>
    </row>
    <row r="2821" spans="1:9">
      <c r="A2821" s="1" t="str">
        <f>"412822200011081181"</f>
        <v>412822200011081181</v>
      </c>
      <c r="B2821" s="1" t="str">
        <f t="shared" si="1395"/>
        <v>中共党员</v>
      </c>
      <c r="C2821" s="1" t="str">
        <f t="shared" si="1392"/>
        <v>本科</v>
      </c>
      <c r="D2821" s="1" t="str">
        <f>"20240601"</f>
        <v>20240601</v>
      </c>
      <c r="E2821" s="1" t="str">
        <f>"郑州升达经贸管理学院"</f>
        <v>郑州升达经贸管理学院</v>
      </c>
      <c r="F2821" s="1" t="str">
        <f>"视觉传达设计"</f>
        <v>视觉传达设计</v>
      </c>
      <c r="G2821" s="1" t="str">
        <f>"河南省驻马店泌阳县双庙乡"</f>
        <v>河南省驻马店泌阳县双庙乡</v>
      </c>
      <c r="H2821" s="1" t="str">
        <f t="shared" ref="H2821:H2826" si="1397">"无"</f>
        <v>无</v>
      </c>
      <c r="I2821" s="1" t="str">
        <f>"2019年9月-2022年7月，河南省新郑市郑州理工职业学院 艺术学院 全日制
2022年9月-2024年6月，河南省郑州市 郑州升达经贸管理学院 艺术学院视觉传达 全日制
2024年6月-至今，待业"</f>
        <v>2019年9月-2022年7月，河南省新郑市郑州理工职业学院 艺术学院 全日制
2022年9月-2024年6月，河南省郑州市 郑州升达经贸管理学院 艺术学院视觉传达 全日制
2024年6月-至今，待业</v>
      </c>
    </row>
    <row r="2822" spans="1:9">
      <c r="A2822" s="1" t="str">
        <f>"412822200005282665"</f>
        <v>412822200005282665</v>
      </c>
      <c r="B2822" s="1" t="str">
        <f t="shared" si="1396"/>
        <v>共青团员</v>
      </c>
      <c r="C2822" s="1" t="str">
        <f t="shared" si="1392"/>
        <v>本科</v>
      </c>
      <c r="D2822" s="1" t="str">
        <f>"20230615"</f>
        <v>20230615</v>
      </c>
      <c r="E2822" s="1" t="str">
        <f>"武夷学院"</f>
        <v>武夷学院</v>
      </c>
      <c r="F2822" s="1" t="str">
        <f>"酒店管理"</f>
        <v>酒店管理</v>
      </c>
      <c r="G2822" s="1" t="str">
        <f>"河南省泌阳县"</f>
        <v>河南省泌阳县</v>
      </c>
      <c r="H2822" s="1" t="str">
        <f t="shared" si="1397"/>
        <v>无</v>
      </c>
      <c r="I2822" s="1" t="str">
        <f>"201909-202306 武夷学院旅游学院酒店管理专业就读，全日制本科学历"</f>
        <v>201909-202306 武夷学院旅游学院酒店管理专业就读，全日制本科学历</v>
      </c>
    </row>
    <row r="2823" spans="1:9">
      <c r="A2823" s="1" t="str">
        <f>"411327200204080023"</f>
        <v>411327200204080023</v>
      </c>
      <c r="B2823" s="1" t="str">
        <f t="shared" ref="B2823:B2828" si="1398">"群众"</f>
        <v>群众</v>
      </c>
      <c r="C2823" s="1" t="str">
        <f t="shared" si="1392"/>
        <v>本科</v>
      </c>
      <c r="D2823" s="1" t="str">
        <f>"20240605"</f>
        <v>20240605</v>
      </c>
      <c r="E2823" s="1" t="str">
        <f>"安阳学院"</f>
        <v>安阳学院</v>
      </c>
      <c r="F2823" s="1" t="str">
        <f>"机械电子工程"</f>
        <v>机械电子工程</v>
      </c>
      <c r="G2823" s="1" t="str">
        <f>"河南省南阳市内乡县城关镇范蠡大街和谐小区三单元"</f>
        <v>河南省南阳市内乡县城关镇范蠡大街和谐小区三单元</v>
      </c>
      <c r="H2823" s="1" t="str">
        <f t="shared" si="1397"/>
        <v>无</v>
      </c>
      <c r="I2823" s="1" t="str">
        <f>"202009—20240605 安阳学院 就读
202407—至今 在家待业"</f>
        <v>202009—20240605 安阳学院 就读
202407—至今 在家待业</v>
      </c>
    </row>
    <row r="2824" spans="1:9">
      <c r="A2824" s="1" t="str">
        <f>"411327200210060029"</f>
        <v>411327200210060029</v>
      </c>
      <c r="B2824" s="1" t="str">
        <f t="shared" si="1398"/>
        <v>群众</v>
      </c>
      <c r="C2824" s="1" t="str">
        <f t="shared" si="1392"/>
        <v>本科</v>
      </c>
      <c r="D2824" s="1" t="str">
        <f>"20240614"</f>
        <v>20240614</v>
      </c>
      <c r="E2824" s="1" t="str">
        <f>"信阳农林学院"</f>
        <v>信阳农林学院</v>
      </c>
      <c r="F2824" s="1" t="str">
        <f>"农学"</f>
        <v>农学</v>
      </c>
      <c r="G2824" s="1" t="str">
        <f>"河南省南阳市内乡县湍东镇龙头社区"</f>
        <v>河南省南阳市内乡县湍东镇龙头社区</v>
      </c>
      <c r="H2824" s="1" t="str">
        <f t="shared" si="1397"/>
        <v>无</v>
      </c>
      <c r="I2824" s="1" t="str">
        <f>"202009-202406信阳农林学院农学院农学专业就读，是全日制学历
202406-202508在家待业"</f>
        <v>202009-202406信阳农林学院农学院农学专业就读，是全日制学历
202406-202508在家待业</v>
      </c>
    </row>
    <row r="2825" spans="1:9">
      <c r="A2825" s="1" t="str">
        <f>"412823200204140017"</f>
        <v>412823200204140017</v>
      </c>
      <c r="B2825" s="1" t="str">
        <f t="shared" ref="B2825:B2827" si="1399">"共青团员"</f>
        <v>共青团员</v>
      </c>
      <c r="C2825" s="1" t="str">
        <f t="shared" si="1392"/>
        <v>本科</v>
      </c>
      <c r="D2825" s="1" t="str">
        <f>"20260701"</f>
        <v>20260701</v>
      </c>
      <c r="E2825" s="1" t="str">
        <f>"南宁理工学院"</f>
        <v>南宁理工学院</v>
      </c>
      <c r="F2825" s="1" t="str">
        <f>"环境设计"</f>
        <v>环境设计</v>
      </c>
      <c r="G2825" s="1" t="str">
        <f>"河南省驻马店市遂平县嵖岈山路70号"</f>
        <v>河南省驻马店市遂平县嵖岈山路70号</v>
      </c>
      <c r="H2825" s="1" t="str">
        <f t="shared" si="1397"/>
        <v>无</v>
      </c>
      <c r="I2825" s="1" t="str">
        <f>"202209-202607南宁理工学院 就读。2022年9月至2026年7月在南宁理工学院艺术与传媒学院环境设计就读，是全日制学历"</f>
        <v>202209-202607南宁理工学院 就读。2022年9月至2026年7月在南宁理工学院艺术与传媒学院环境设计就读，是全日制学历</v>
      </c>
    </row>
    <row r="2826" spans="1:9">
      <c r="A2826" s="1" t="str">
        <f>"411422200101271541"</f>
        <v>411422200101271541</v>
      </c>
      <c r="B2826" s="1" t="str">
        <f t="shared" si="1399"/>
        <v>共青团员</v>
      </c>
      <c r="C2826" s="1" t="str">
        <f t="shared" si="1392"/>
        <v>本科</v>
      </c>
      <c r="D2826" s="1" t="str">
        <f t="shared" ref="D2826:D2830" si="1400">"20250701"</f>
        <v>20250701</v>
      </c>
      <c r="E2826" s="1" t="str">
        <f>"郑州升达经贸管理学院"</f>
        <v>郑州升达经贸管理学院</v>
      </c>
      <c r="F2826" s="1" t="str">
        <f>"汉语言文学"</f>
        <v>汉语言文学</v>
      </c>
      <c r="G2826" s="1" t="str">
        <f>"河南省商丘市睢县"</f>
        <v>河南省商丘市睢县</v>
      </c>
      <c r="H2826" s="1" t="str">
        <f t="shared" si="1397"/>
        <v>无</v>
      </c>
      <c r="I2826" s="1" t="str">
        <f>"202009-202307 信阳职业技术学院 小学教育专业 专科
202309-202507 郑州升达经贸管理学院 汉语言专业 本科"</f>
        <v>202009-202307 信阳职业技术学院 小学教育专业 专科
202309-202507 郑州升达经贸管理学院 汉语言专业 本科</v>
      </c>
    </row>
    <row r="2827" spans="1:9">
      <c r="A2827" s="1" t="str">
        <f>"411327200003060640"</f>
        <v>411327200003060640</v>
      </c>
      <c r="B2827" s="1" t="str">
        <f t="shared" si="1399"/>
        <v>共青团员</v>
      </c>
      <c r="C2827" s="1" t="str">
        <f t="shared" si="1392"/>
        <v>本科</v>
      </c>
      <c r="D2827" s="1" t="str">
        <f>"20220701"</f>
        <v>20220701</v>
      </c>
      <c r="E2827" s="1" t="str">
        <f>"吉林工商学院"</f>
        <v>吉林工商学院</v>
      </c>
      <c r="F2827" s="1" t="str">
        <f>"金融学"</f>
        <v>金融学</v>
      </c>
      <c r="G2827" s="1" t="str">
        <f>"河南省南阳市内乡县"</f>
        <v>河南省南阳市内乡县</v>
      </c>
      <c r="H2827" s="1" t="str">
        <f>"证券从业资格证"</f>
        <v>证券从业资格证</v>
      </c>
      <c r="I2827" s="1" t="str">
        <f>"201809—202207吉林工商学院金融学院金融学专业就读；
202111—202209在上海益盟股份有限公司就业；
202209至今待业"</f>
        <v>201809—202207吉林工商学院金融学院金融学专业就读；
202111—202209在上海益盟股份有限公司就业；
202209至今待业</v>
      </c>
    </row>
    <row r="2828" spans="1:9">
      <c r="A2828" s="1" t="str">
        <f>"411327200011131568"</f>
        <v>411327200011131568</v>
      </c>
      <c r="B2828" s="1" t="str">
        <f t="shared" si="1398"/>
        <v>群众</v>
      </c>
      <c r="C2828" s="1" t="str">
        <f t="shared" si="1392"/>
        <v>本科</v>
      </c>
      <c r="D2828" s="1" t="str">
        <f t="shared" si="1400"/>
        <v>20250701</v>
      </c>
      <c r="E2828" s="1" t="str">
        <f>"吉林师范"</f>
        <v>吉林师范</v>
      </c>
      <c r="F2828" s="1" t="str">
        <f>"小学教育"</f>
        <v>小学教育</v>
      </c>
      <c r="G2828" s="1" t="str">
        <f>"河南省南阳市内乡县"</f>
        <v>河南省南阳市内乡县</v>
      </c>
      <c r="H2828" s="1" t="str">
        <f>"教师资格证书"</f>
        <v>教师资格证书</v>
      </c>
      <c r="I2828" s="1" t="str">
        <f>"201809-202106 郑州铁路职业技术学院 酒店管理专业 是全日制
202305-202507 吉林师范大学 小学教育 非全日制"</f>
        <v>201809-202106 郑州铁路职业技术学院 酒店管理专业 是全日制
202305-202507 吉林师范大学 小学教育 非全日制</v>
      </c>
    </row>
    <row r="2829" spans="1:9">
      <c r="A2829" s="1" t="str">
        <f>"142724199809193322"</f>
        <v>142724199809193322</v>
      </c>
      <c r="B2829" s="1" t="str">
        <f>"共青团员"</f>
        <v>共青团员</v>
      </c>
      <c r="C2829" s="1" t="str">
        <f t="shared" si="1392"/>
        <v>本科</v>
      </c>
      <c r="D2829" s="1" t="str">
        <f>"20200529"</f>
        <v>20200529</v>
      </c>
      <c r="E2829" s="1" t="str">
        <f>"四川师范大学"</f>
        <v>四川师范大学</v>
      </c>
      <c r="F2829" s="1" t="str">
        <f>"土木工程"</f>
        <v>土木工程</v>
      </c>
      <c r="G2829" s="1" t="str">
        <f>"山西省运城市临猗县耽子镇莫道池村"</f>
        <v>山西省运城市临猗县耽子镇莫道池村</v>
      </c>
      <c r="H2829" s="1" t="str">
        <f t="shared" ref="H2829:H2834" si="1401">"无"</f>
        <v>无</v>
      </c>
      <c r="I2829" s="1" t="str">
        <f>"201309-201606，在临晋中学就读，全日制高中；201609-202006，在四川师范大学-工学院-土木工程专业就读，全日制大学本科；2020年6月至今，在山西省运城市待业。"</f>
        <v>201309-201606，在临晋中学就读，全日制高中；201609-202006，在四川师范大学-工学院-土木工程专业就读，全日制大学本科；2020年6月至今，在山西省运城市待业。</v>
      </c>
    </row>
    <row r="2830" spans="1:9">
      <c r="A2830" s="1" t="str">
        <f>"410423199402038815"</f>
        <v>410423199402038815</v>
      </c>
      <c r="B2830" s="1" t="str">
        <f>"中共党员"</f>
        <v>中共党员</v>
      </c>
      <c r="C2830" s="1" t="str">
        <f t="shared" si="1392"/>
        <v>本科</v>
      </c>
      <c r="D2830" s="1" t="str">
        <f t="shared" si="1400"/>
        <v>20250701</v>
      </c>
      <c r="E2830" s="1" t="str">
        <f>"河南师范大学"</f>
        <v>河南师范大学</v>
      </c>
      <c r="F2830" s="1" t="str">
        <f>"计算机科学与技术"</f>
        <v>计算机科学与技术</v>
      </c>
      <c r="G2830" s="1" t="str">
        <f>"河南省鲁山县仓头乡"</f>
        <v>河南省鲁山县仓头乡</v>
      </c>
      <c r="H2830" s="1" t="str">
        <f t="shared" si="1401"/>
        <v>无</v>
      </c>
      <c r="I2830" s="1" t="str">
        <f>"202303-202507河南师范学校 计算机与信息工程学院 专业计算机科学与技术专业，不是全日制学历"</f>
        <v>202303-202507河南师范学校 计算机与信息工程学院 专业计算机科学与技术专业，不是全日制学历</v>
      </c>
    </row>
    <row r="2831" spans="1:9">
      <c r="A2831" s="1" t="str">
        <f>"411323199805252635"</f>
        <v>411323199805252635</v>
      </c>
      <c r="B2831" s="1" t="str">
        <f>"中共预备党员"</f>
        <v>中共预备党员</v>
      </c>
      <c r="C2831" s="1" t="str">
        <f t="shared" si="1392"/>
        <v>本科</v>
      </c>
      <c r="D2831" s="1" t="str">
        <f>"20200630"</f>
        <v>20200630</v>
      </c>
      <c r="E2831" s="1" t="str">
        <f>"武汉纺织大学"</f>
        <v>武汉纺织大学</v>
      </c>
      <c r="F2831" s="1" t="str">
        <f>"应用化学"</f>
        <v>应用化学</v>
      </c>
      <c r="G2831" s="1" t="str">
        <f>"河南省内乡县建业森林半岛3期"</f>
        <v>河南省内乡县建业森林半岛3期</v>
      </c>
      <c r="H2831" s="1" t="str">
        <f>"助理工程师"</f>
        <v>助理工程师</v>
      </c>
      <c r="I2831" s="1" t="str">
        <f>"201609-202006 武汉纺织大学化学与化工学院应用化学专业就读，全日制
202006-202008 参加入职培训
202008-至今 中石化江汉石油工程公司钻井一公司人力资源部 业务主办"</f>
        <v>201609-202006 武汉纺织大学化学与化工学院应用化学专业就读，全日制
202006-202008 参加入职培训
202008-至今 中石化江汉石油工程公司钻井一公司人力资源部 业务主办</v>
      </c>
    </row>
    <row r="2832" ht="108" spans="1:9">
      <c r="A2832" s="1" t="str">
        <f>"41132719940315152X"</f>
        <v>41132719940315152X</v>
      </c>
      <c r="B2832" s="1" t="str">
        <f t="shared" ref="B2832:B2836" si="1402">"群众"</f>
        <v>群众</v>
      </c>
      <c r="C2832" s="1" t="str">
        <f t="shared" si="1392"/>
        <v>本科</v>
      </c>
      <c r="D2832" s="1" t="str">
        <f>"20180701"</f>
        <v>20180701</v>
      </c>
      <c r="E2832" s="1" t="str">
        <f>"周口师范学院"</f>
        <v>周口师范学院</v>
      </c>
      <c r="F2832" s="1" t="str">
        <f>"财务管理专业"</f>
        <v>财务管理专业</v>
      </c>
      <c r="G2832" s="1" t="str">
        <f>"河南省内乡县湍东镇北符营村"</f>
        <v>河南省内乡县湍东镇北符营村</v>
      </c>
      <c r="H2832" s="1" t="str">
        <f>"初级会计师/中级会计师"</f>
        <v>初级会计师/中级会计师</v>
      </c>
      <c r="I2832" s="3" t="s">
        <v>257</v>
      </c>
    </row>
    <row r="2833" spans="1:9">
      <c r="A2833" s="1" t="str">
        <f>"411327200303090024"</f>
        <v>411327200303090024</v>
      </c>
      <c r="B2833" s="1" t="str">
        <f t="shared" si="1402"/>
        <v>群众</v>
      </c>
      <c r="C2833" s="1" t="str">
        <f t="shared" si="1392"/>
        <v>本科</v>
      </c>
      <c r="D2833" s="1" t="str">
        <f>"2025-07-01"</f>
        <v>2025-07-01</v>
      </c>
      <c r="E2833" s="1" t="str">
        <f>"信阳师范大学"</f>
        <v>信阳师范大学</v>
      </c>
      <c r="F2833" s="1" t="str">
        <f>"旅游管理"</f>
        <v>旅游管理</v>
      </c>
      <c r="G2833" s="1" t="str">
        <f>"河南省南阳市内乡县城关镇县衙路建佛寺组258号"</f>
        <v>河南省南阳市内乡县城关镇县衙路建佛寺组258号</v>
      </c>
      <c r="H2833" s="1" t="str">
        <f>"初级导游资格证书"</f>
        <v>初级导游资格证书</v>
      </c>
      <c r="I2833" s="1" t="str">
        <f>"202109-202506 信阳师范大学旅游学院旅游管理及专业就读，为全日制学历"</f>
        <v>202109-202506 信阳师范大学旅游学院旅游管理及专业就读，为全日制学历</v>
      </c>
    </row>
    <row r="2834" spans="1:9">
      <c r="A2834" s="1" t="str">
        <f>"411327200211110040"</f>
        <v>411327200211110040</v>
      </c>
      <c r="B2834" s="1" t="str">
        <f t="shared" si="1402"/>
        <v>群众</v>
      </c>
      <c r="C2834" s="1" t="str">
        <f t="shared" si="1392"/>
        <v>本科</v>
      </c>
      <c r="D2834" s="1" t="str">
        <f>"20250615"</f>
        <v>20250615</v>
      </c>
      <c r="E2834" s="1" t="str">
        <f>"华北水利水电大学"</f>
        <v>华北水利水电大学</v>
      </c>
      <c r="F2834" s="1" t="str">
        <f>"环境工程"</f>
        <v>环境工程</v>
      </c>
      <c r="G2834" s="1" t="str">
        <f>"河南省内乡县城关镇新民路192号"</f>
        <v>河南省内乡县城关镇新民路192号</v>
      </c>
      <c r="H2834" s="1" t="str">
        <f t="shared" si="1401"/>
        <v>无</v>
      </c>
      <c r="I2834" s="1" t="str">
        <f>"202109-202506 在华北水利水电大学 生态环境学院 环境工程专业 就读 是全日制"</f>
        <v>202109-202506 在华北水利水电大学 生态环境学院 环境工程专业 就读 是全日制</v>
      </c>
    </row>
    <row r="2835" spans="1:9">
      <c r="A2835" s="1" t="str">
        <f>"411381200407302640"</f>
        <v>411381200407302640</v>
      </c>
      <c r="B2835" s="1" t="str">
        <f t="shared" si="1402"/>
        <v>群众</v>
      </c>
      <c r="C2835" s="1" t="str">
        <f>"专科"</f>
        <v>专科</v>
      </c>
      <c r="D2835" s="1" t="str">
        <f>"20250701"</f>
        <v>20250701</v>
      </c>
      <c r="E2835" s="1" t="str">
        <f>"河南科技学院"</f>
        <v>河南科技学院</v>
      </c>
      <c r="F2835" s="1" t="str">
        <f>"种子生产与经营"</f>
        <v>种子生产与经营</v>
      </c>
      <c r="G2835" s="1" t="str">
        <f>"河南省南阳市内乡县湍东镇东王营"</f>
        <v>河南省南阳市内乡县湍东镇东王营</v>
      </c>
      <c r="H2835" s="1" t="str">
        <f>"农艺工（粮食作物栽培工）三级/高级工"</f>
        <v>农艺工（粮食作物栽培工）三级/高级工</v>
      </c>
      <c r="I2835" s="1" t="str">
        <f>"202209-202507河南科技学院就读种子生产与经营专业全日制学历"</f>
        <v>202209-202507河南科技学院就读种子生产与经营专业全日制学历</v>
      </c>
    </row>
    <row r="2836" spans="1:9">
      <c r="A2836" s="1" t="str">
        <f>"411323200012175356"</f>
        <v>411323200012175356</v>
      </c>
      <c r="B2836" s="1" t="str">
        <f t="shared" si="1402"/>
        <v>群众</v>
      </c>
      <c r="C2836" s="1" t="str">
        <f t="shared" ref="C2836:C2844" si="1403">"本科"</f>
        <v>本科</v>
      </c>
      <c r="D2836" s="1" t="str">
        <f>"2023-07-01"</f>
        <v>2023-07-01</v>
      </c>
      <c r="E2836" s="1" t="str">
        <f>"信阳学院"</f>
        <v>信阳学院</v>
      </c>
      <c r="F2836" s="1" t="str">
        <f>"化学"</f>
        <v>化学</v>
      </c>
      <c r="G2836" s="1" t="str">
        <f>"河南省南阳市淅川县香花镇何家沟村四组二号"</f>
        <v>河南省南阳市淅川县香花镇何家沟村四组二号</v>
      </c>
      <c r="H2836" s="1" t="str">
        <f t="shared" ref="H2836:H2844" si="1404">"无"</f>
        <v>无</v>
      </c>
      <c r="I2836" s="1" t="str">
        <f>"201909-202307 信阳学院理工学院化学专业就读，是全日制学历；"</f>
        <v>201909-202307 信阳学院理工学院化学专业就读，是全日制学历；</v>
      </c>
    </row>
    <row r="2837" spans="1:9">
      <c r="A2837" s="1" t="str">
        <f>"411327200202023922"</f>
        <v>411327200202023922</v>
      </c>
      <c r="B2837" s="1" t="str">
        <f t="shared" ref="B2837:B2840" si="1405">"共青团员"</f>
        <v>共青团员</v>
      </c>
      <c r="C2837" s="1" t="str">
        <f>"专科"</f>
        <v>专科</v>
      </c>
      <c r="D2837" s="1" t="str">
        <f>"20220701"</f>
        <v>20220701</v>
      </c>
      <c r="E2837" s="1" t="str">
        <f>"河南财政金融学院"</f>
        <v>河南财政金融学院</v>
      </c>
      <c r="F2837" s="1" t="str">
        <f>"报关与国际货运"</f>
        <v>报关与国际货运</v>
      </c>
      <c r="G2837" s="1" t="str">
        <f>"河南省南阳市内乡县桃溪镇桃源路一号"</f>
        <v>河南省南阳市内乡县桃溪镇桃源路一号</v>
      </c>
      <c r="H2837" s="1" t="str">
        <f>"三级电子商务师"</f>
        <v>三级电子商务师</v>
      </c>
      <c r="I2837" s="1" t="str">
        <f>"201909-202207在河南财政金融学院国际经济与贸易学院报关与国际货运就读，是全日制学历。
202207-202507在家待业"</f>
        <v>201909-202207在河南财政金融学院国际经济与贸易学院报关与国际货运就读，是全日制学历。
202207-202507在家待业</v>
      </c>
    </row>
    <row r="2838" spans="1:9">
      <c r="A2838" s="1" t="str">
        <f>"411627200106212527"</f>
        <v>411627200106212527</v>
      </c>
      <c r="B2838" s="1" t="str">
        <f>"中共党员"</f>
        <v>中共党员</v>
      </c>
      <c r="C2838" s="1" t="str">
        <f t="shared" si="1403"/>
        <v>本科</v>
      </c>
      <c r="D2838" s="1" t="str">
        <f>"20230607"</f>
        <v>20230607</v>
      </c>
      <c r="E2838" s="1" t="str">
        <f>"天津农学院"</f>
        <v>天津农学院</v>
      </c>
      <c r="F2838" s="1" t="str">
        <f>"市场营销"</f>
        <v>市场营销</v>
      </c>
      <c r="G2838" s="1" t="str">
        <f>"河南省周口市太康县芝麻洼乡"</f>
        <v>河南省周口市太康县芝麻洼乡</v>
      </c>
      <c r="H2838" s="1" t="str">
        <f t="shared" si="1404"/>
        <v>无</v>
      </c>
      <c r="I2838" s="1" t="str">
        <f>"201909-202306 天津农学院经济管理学院市场营销专业就读（全日制）
202307-202507 河南周口市太康县待业"</f>
        <v>201909-202306 天津农学院经济管理学院市场营销专业就读（全日制）
202307-202507 河南周口市太康县待业</v>
      </c>
    </row>
    <row r="2839" spans="1:9">
      <c r="A2839" s="1" t="str">
        <f>"411326199901015540"</f>
        <v>411326199901015540</v>
      </c>
      <c r="B2839" s="1" t="str">
        <f t="shared" si="1405"/>
        <v>共青团员</v>
      </c>
      <c r="C2839" s="1" t="str">
        <f t="shared" si="1403"/>
        <v>本科</v>
      </c>
      <c r="D2839" s="1" t="str">
        <f>"20220701"</f>
        <v>20220701</v>
      </c>
      <c r="E2839" s="1" t="str">
        <f>"信阳农林学院"</f>
        <v>信阳农林学院</v>
      </c>
      <c r="F2839" s="1" t="str">
        <f>"园艺（观赏园艺）"</f>
        <v>园艺（观赏园艺）</v>
      </c>
      <c r="G2839" s="1" t="str">
        <f>"河南省南阳市内乡县马山口镇新星幸福苑"</f>
        <v>河南省南阳市内乡县马山口镇新星幸福苑</v>
      </c>
      <c r="H2839" s="1" t="str">
        <f t="shared" si="1404"/>
        <v>无</v>
      </c>
      <c r="I2839" s="1" t="str">
        <f>"201809-202207信阳农林学院园艺学院园艺专业就读是全日制学历"</f>
        <v>201809-202207信阳农林学院园艺学院园艺专业就读是全日制学历</v>
      </c>
    </row>
    <row r="2840" spans="1:9">
      <c r="A2840" s="1" t="str">
        <f>"411327199604021529"</f>
        <v>411327199604021529</v>
      </c>
      <c r="B2840" s="1" t="str">
        <f t="shared" si="1405"/>
        <v>共青团员</v>
      </c>
      <c r="C2840" s="1" t="str">
        <f t="shared" si="1403"/>
        <v>本科</v>
      </c>
      <c r="D2840" s="1" t="str">
        <f>"20190701"</f>
        <v>20190701</v>
      </c>
      <c r="E2840" s="1" t="str">
        <f>"江西应用科技学院"</f>
        <v>江西应用科技学院</v>
      </c>
      <c r="F2840" s="1" t="str">
        <f>"国际商务"</f>
        <v>国际商务</v>
      </c>
      <c r="G2840" s="1" t="str">
        <f>"河南省南阳市内乡县"</f>
        <v>河南省南阳市内乡县</v>
      </c>
      <c r="H2840" s="1" t="str">
        <f t="shared" si="1404"/>
        <v>无</v>
      </c>
      <c r="I2840" s="1" t="str">
        <f>"201409-201906 江西应用科技学院就读经济管理学院国际商务专业，是全日制学历
201906-至今 毕业后自主创业"</f>
        <v>201409-201906 江西应用科技学院就读经济管理学院国际商务专业，是全日制学历
201906-至今 毕业后自主创业</v>
      </c>
    </row>
    <row r="2841" spans="1:9">
      <c r="A2841" s="1" t="str">
        <f>"410122199606119817"</f>
        <v>410122199606119817</v>
      </c>
      <c r="B2841" s="1" t="str">
        <f>"中共党员"</f>
        <v>中共党员</v>
      </c>
      <c r="C2841" s="1" t="str">
        <f t="shared" si="1403"/>
        <v>本科</v>
      </c>
      <c r="D2841" s="1" t="str">
        <f>"20200701"</f>
        <v>20200701</v>
      </c>
      <c r="E2841" s="1" t="str">
        <f>"郑州商学院"</f>
        <v>郑州商学院</v>
      </c>
      <c r="F2841" s="1" t="str">
        <f>"学前教育"</f>
        <v>学前教育</v>
      </c>
      <c r="G2841" s="1" t="str">
        <f>"河南省郑州市经开区前程办事处螺蚳湖安置区"</f>
        <v>河南省郑州市经开区前程办事处螺蚳湖安置区</v>
      </c>
      <c r="H2841" s="1" t="str">
        <f t="shared" si="1404"/>
        <v>无</v>
      </c>
      <c r="I2841" s="1" t="str">
        <f>"2015年9月-2018年7月开封文化艺术职业学院，学前教育专业，取得本科大专学历；全日制
2018年9月-2020年7月郑州商学，学前教育专业，取得本科学历；全日制
2020年7月-2020年10月待业
2020年11月-2021年1月再诚伯信息有限公司上班
2021年2月-2022年8月待业
2022年9月-2023年4月再诚伯信息有限公司上班
2023年5月4日-至今在河南浩昶企业管理咨询有限公司上班，劳务派遣（郑州经济技术开发区应急管理局）"</f>
        <v>2015年9月-2018年7月开封文化艺术职业学院，学前教育专业，取得本科大专学历；全日制
2018年9月-2020年7月郑州商学，学前教育专业，取得本科学历；全日制
2020年7月-2020年10月待业
2020年11月-2021年1月再诚伯信息有限公司上班
2021年2月-2022年8月待业
2022年9月-2023年4月再诚伯信息有限公司上班
2023年5月4日-至今在河南浩昶企业管理咨询有限公司上班，劳务派遣（郑州经济技术开发区应急管理局）</v>
      </c>
    </row>
    <row r="2842" spans="1:9">
      <c r="A2842" s="1" t="str">
        <f>"411330199808065126"</f>
        <v>411330199808065126</v>
      </c>
      <c r="B2842" s="1" t="str">
        <f>"中共预备党员"</f>
        <v>中共预备党员</v>
      </c>
      <c r="C2842" s="1" t="str">
        <f t="shared" si="1403"/>
        <v>本科</v>
      </c>
      <c r="D2842" s="1" t="str">
        <f>"20210625"</f>
        <v>20210625</v>
      </c>
      <c r="E2842" s="1" t="str">
        <f>"西安科技大学"</f>
        <v>西安科技大学</v>
      </c>
      <c r="F2842" s="1" t="str">
        <f>"信息管理与信息系统"</f>
        <v>信息管理与信息系统</v>
      </c>
      <c r="G2842" s="1" t="str">
        <f>"河南省西峡县腾龙小区"</f>
        <v>河南省西峡县腾龙小区</v>
      </c>
      <c r="H2842" s="1" t="str">
        <f t="shared" si="1404"/>
        <v>无</v>
      </c>
      <c r="I2842" s="1" t="str">
        <f>"201709-202106西安科技大学就读
202106-202208西峡县待业
202208-202404西峡县攀润食品有限公司
202404-至今西峡县待业"</f>
        <v>201709-202106西安科技大学就读
202106-202208西峡县待业
202208-202404西峡县攀润食品有限公司
202404-至今西峡县待业</v>
      </c>
    </row>
    <row r="2843" spans="1:9">
      <c r="A2843" s="1" t="str">
        <f>"411327200304050614"</f>
        <v>411327200304050614</v>
      </c>
      <c r="B2843" s="1" t="str">
        <f>"共青团员"</f>
        <v>共青团员</v>
      </c>
      <c r="C2843" s="1" t="str">
        <f t="shared" si="1403"/>
        <v>本科</v>
      </c>
      <c r="D2843" s="1" t="str">
        <f>"2025-07-01"</f>
        <v>2025-07-01</v>
      </c>
      <c r="E2843" s="1" t="str">
        <f>"河南工业大学"</f>
        <v>河南工业大学</v>
      </c>
      <c r="F2843" s="1" t="str">
        <f>"测控技术与仪器"</f>
        <v>测控技术与仪器</v>
      </c>
      <c r="G2843" s="1" t="str">
        <f>"南阳市内乡县学府公馆"</f>
        <v>南阳市内乡县学府公馆</v>
      </c>
      <c r="H2843" s="1" t="str">
        <f t="shared" si="1404"/>
        <v>无</v>
      </c>
      <c r="I2843" s="1" t="str">
        <f>"202109-202506 河南工业大学电气工程学院测控技术与仪器专业就读是全日制"</f>
        <v>202109-202506 河南工业大学电气工程学院测控技术与仪器专业就读是全日制</v>
      </c>
    </row>
    <row r="2844" spans="1:9">
      <c r="A2844" s="1" t="str">
        <f>"41282619980101221X"</f>
        <v>41282619980101221X</v>
      </c>
      <c r="B2844" s="1" t="str">
        <f t="shared" ref="B2844:B2849" si="1406">"群众"</f>
        <v>群众</v>
      </c>
      <c r="C2844" s="1" t="str">
        <f t="shared" si="1403"/>
        <v>本科</v>
      </c>
      <c r="D2844" s="1" t="str">
        <f>"20220701"</f>
        <v>20220701</v>
      </c>
      <c r="E2844" s="1" t="str">
        <f>"华北水利水电大学"</f>
        <v>华北水利水电大学</v>
      </c>
      <c r="F2844" s="1" t="str">
        <f>"测绘工程"</f>
        <v>测绘工程</v>
      </c>
      <c r="G2844" s="1" t="str">
        <f>"河南省驻马店市汝南县王岗镇后营村173号"</f>
        <v>河南省驻马店市汝南县王岗镇后营村173号</v>
      </c>
      <c r="H2844" s="1" t="str">
        <f t="shared" si="1404"/>
        <v>无</v>
      </c>
      <c r="I2844" s="1" t="str">
        <f>"201309-201606汝南县第二高级中学读书
201609-201906河南城建学院工程测量技术全日制专科
202003-202209华北水利水电大学测绘工程非全日制本科
202209-202309在家无业
202309-至今汝南县公安局辅警"</f>
        <v>201309-201606汝南县第二高级中学读书
201609-201906河南城建学院工程测量技术全日制专科
202003-202209华北水利水电大学测绘工程非全日制本科
202209-202309在家无业
202309-至今汝南县公安局辅警</v>
      </c>
    </row>
    <row r="2845" spans="1:9">
      <c r="A2845" s="1" t="str">
        <f>"642224199910301659"</f>
        <v>642224199910301659</v>
      </c>
      <c r="B2845" s="1" t="str">
        <f>"共青团员"</f>
        <v>共青团员</v>
      </c>
      <c r="C2845" s="1" t="str">
        <f>"专科"</f>
        <v>专科</v>
      </c>
      <c r="D2845" s="1" t="str">
        <f>"20220619"</f>
        <v>20220619</v>
      </c>
      <c r="E2845" s="1" t="str">
        <f>"天津滨海职业学院"</f>
        <v>天津滨海职业学院</v>
      </c>
      <c r="F2845" s="1" t="str">
        <f>"会计"</f>
        <v>会计</v>
      </c>
      <c r="G2845" s="1" t="str">
        <f>"宁夏回族自治区固原市隆德县沙塘镇张树村"</f>
        <v>宁夏回族自治区固原市隆德县沙塘镇张树村</v>
      </c>
      <c r="H2845" s="1" t="str">
        <f>"个税初级职业资格证"</f>
        <v>个税初级职业资格证</v>
      </c>
      <c r="I2845" s="1" t="str">
        <f>"201909-202206，天津滨海职业学院 就读（全日制）
202203-202403，31674部队  担任副班长
202403-202406，待业
202406-202501，沈阳承亿汽车有限公司 客户经理
202501至今 待业"</f>
        <v>201909-202206，天津滨海职业学院 就读（全日制）
202203-202403，31674部队  担任副班长
202403-202406，待业
202406-202501，沈阳承亿汽车有限公司 客户经理
202501至今 待业</v>
      </c>
    </row>
    <row r="2846" spans="1:9">
      <c r="A2846" s="1" t="str">
        <f>"411381200208138219"</f>
        <v>411381200208138219</v>
      </c>
      <c r="B2846" s="1" t="str">
        <f>"中共预备党员"</f>
        <v>中共预备党员</v>
      </c>
      <c r="C2846" s="1" t="str">
        <f t="shared" ref="C2846:C2859" si="1407">"本科"</f>
        <v>本科</v>
      </c>
      <c r="D2846" s="1" t="str">
        <f>"20250615"</f>
        <v>20250615</v>
      </c>
      <c r="E2846" s="1" t="str">
        <f>"河南工程学院"</f>
        <v>河南工程学院</v>
      </c>
      <c r="F2846" s="1" t="str">
        <f>"人工智能"</f>
        <v>人工智能</v>
      </c>
      <c r="G2846" s="1" t="str">
        <f>"河南省南阳市邓州市新华路理想城"</f>
        <v>河南省南阳市邓州市新华路理想城</v>
      </c>
      <c r="H2846" s="1" t="str">
        <f>"人工智能训练师"</f>
        <v>人工智能训练师</v>
      </c>
      <c r="I2846" s="1" t="str">
        <f>"2021年9月至2025年6月在河南工程学院电气信息工程学院人工智能专业就读，全日制学历"</f>
        <v>2021年9月至2025年6月在河南工程学院电气信息工程学院人工智能专业就读，全日制学历</v>
      </c>
    </row>
    <row r="2847" spans="1:9">
      <c r="A2847" s="1" t="str">
        <f>"410711199904041011"</f>
        <v>410711199904041011</v>
      </c>
      <c r="B2847" s="1" t="str">
        <f t="shared" si="1406"/>
        <v>群众</v>
      </c>
      <c r="C2847" s="1" t="str">
        <f>"硕士研究生"</f>
        <v>硕士研究生</v>
      </c>
      <c r="D2847" s="1" t="str">
        <f>"20240112"</f>
        <v>20240112</v>
      </c>
      <c r="E2847" s="1" t="str">
        <f>"英国伯明翰大学"</f>
        <v>英国伯明翰大学</v>
      </c>
      <c r="F2847" s="1" t="str">
        <f>"国际关系030207"</f>
        <v>国际关系030207</v>
      </c>
      <c r="G2847" s="1" t="str">
        <f>"河南省新乡市红旗区道清路"</f>
        <v>河南省新乡市红旗区道清路</v>
      </c>
      <c r="H2847" s="1" t="str">
        <f t="shared" ref="H2847:H2854" si="1408">"无"</f>
        <v>无</v>
      </c>
      <c r="I2847" s="1" t="str">
        <f>"201808-202106：中央财经大学-外国语学院SQA系-国际金融专业--全日制本科;
202109-202206：英国德比大学-商学院金融系-国际商务与金融专业--全日制本科学士学位;
202209-202401：英国伯明翰大学-社会科学院政治系-国际关系专业  全日制硕士研究生。
"</f>
        <v>201808-202106：中央财经大学-外国语学院SQA系-国际金融专业--全日制本科;
202109-202206：英国德比大学-商学院金融系-国际商务与金融专业--全日制本科学士学位;
202209-202401：英国伯明翰大学-社会科学院政治系-国际关系专业  全日制硕士研究生。
</v>
      </c>
    </row>
    <row r="2848" spans="1:9">
      <c r="A2848" s="1" t="str">
        <f>"411324199812230019"</f>
        <v>411324199812230019</v>
      </c>
      <c r="B2848" s="1" t="str">
        <f>"中共党员"</f>
        <v>中共党员</v>
      </c>
      <c r="C2848" s="1" t="str">
        <f t="shared" si="1407"/>
        <v>本科</v>
      </c>
      <c r="D2848" s="1" t="str">
        <f>"20210701"</f>
        <v>20210701</v>
      </c>
      <c r="E2848" s="1" t="str">
        <f>"陕西服装工程学院"</f>
        <v>陕西服装工程学院</v>
      </c>
      <c r="F2848" s="1" t="str">
        <f>"环境设计"</f>
        <v>环境设计</v>
      </c>
      <c r="G2848" s="1" t="str">
        <f>"河南省南阳市镇平县"</f>
        <v>河南省南阳市镇平县</v>
      </c>
      <c r="H2848" s="1" t="str">
        <f t="shared" si="1408"/>
        <v>无</v>
      </c>
      <c r="I2848" s="1" t="str">
        <f>"20170901-20210701 在陕西服装工程学院 环境设计专业就读，全日制学历20210701至今待业"</f>
        <v>20170901-20210701 在陕西服装工程学院 环境设计专业就读，全日制学历20210701至今待业</v>
      </c>
    </row>
    <row r="2849" spans="1:9">
      <c r="A2849" s="1" t="str">
        <f>"41032919960220960X"</f>
        <v>41032919960220960X</v>
      </c>
      <c r="B2849" s="1" t="str">
        <f t="shared" si="1406"/>
        <v>群众</v>
      </c>
      <c r="C2849" s="1" t="str">
        <f>"专科"</f>
        <v>专科</v>
      </c>
      <c r="D2849" s="1" t="str">
        <f>"20170701"</f>
        <v>20170701</v>
      </c>
      <c r="E2849" s="1" t="str">
        <f>"南阳理工学院"</f>
        <v>南阳理工学院</v>
      </c>
      <c r="F2849" s="1" t="str">
        <f>"初等教育（中文与社会方向）"</f>
        <v>初等教育（中文与社会方向）</v>
      </c>
      <c r="G2849" s="1" t="str">
        <f>"河南省南阳市西峡县二郎坪镇"</f>
        <v>河南省南阳市西峡县二郎坪镇</v>
      </c>
      <c r="H2849" s="1" t="str">
        <f t="shared" si="1408"/>
        <v>无</v>
      </c>
      <c r="I2849" s="1" t="str">
        <f>"201409-201707  南阳理工学院就读"</f>
        <v>201409-201707  南阳理工学院就读</v>
      </c>
    </row>
    <row r="2850" spans="1:9">
      <c r="A2850" s="1" t="str">
        <f>"411023200201162048"</f>
        <v>411023200201162048</v>
      </c>
      <c r="B2850" s="1" t="str">
        <f t="shared" ref="B2850:B2862" si="1409">"共青团员"</f>
        <v>共青团员</v>
      </c>
      <c r="C2850" s="1" t="str">
        <f t="shared" si="1407"/>
        <v>本科</v>
      </c>
      <c r="D2850" s="1" t="str">
        <f>"20240606"</f>
        <v>20240606</v>
      </c>
      <c r="E2850" s="1" t="str">
        <f>"河南大学"</f>
        <v>河南大学</v>
      </c>
      <c r="F2850" s="1" t="str">
        <f>"文化产业管理"</f>
        <v>文化产业管理</v>
      </c>
      <c r="G2850" s="1" t="str">
        <f>"河南省许昌市建安区邓庄街道空港新城一期"</f>
        <v>河南省许昌市建安区邓庄街道空港新城一期</v>
      </c>
      <c r="H2850" s="1" t="str">
        <f t="shared" si="1408"/>
        <v>无</v>
      </c>
      <c r="I2850" s="1" t="str">
        <f>"202009-202406 河南大学就读
202406至今 在家待业"</f>
        <v>202009-202406 河南大学就读
202406至今 在家待业</v>
      </c>
    </row>
    <row r="2851" spans="1:9">
      <c r="A2851" s="1" t="str">
        <f>"411327200102211520"</f>
        <v>411327200102211520</v>
      </c>
      <c r="B2851" s="1" t="str">
        <f t="shared" si="1409"/>
        <v>共青团员</v>
      </c>
      <c r="C2851" s="1" t="str">
        <f t="shared" si="1407"/>
        <v>本科</v>
      </c>
      <c r="D2851" s="1" t="str">
        <f>"20220701"</f>
        <v>20220701</v>
      </c>
      <c r="E2851" s="1" t="str">
        <f>"信阳农林学院"</f>
        <v>信阳农林学院</v>
      </c>
      <c r="F2851" s="1" t="str">
        <f>"园林"</f>
        <v>园林</v>
      </c>
      <c r="G2851" s="1" t="str">
        <f>"河南省南阳市内乡县湍东镇"</f>
        <v>河南省南阳市内乡县湍东镇</v>
      </c>
      <c r="H2851" s="1" t="str">
        <f t="shared" si="1408"/>
        <v>无</v>
      </c>
      <c r="I2851" s="1" t="str">
        <f>"201809-202207  信阳农林学院林学院园林专业就读  全日制
202207-202308   内乡县盛达置业有限公司
202310-202507   南阳市华安房地产开发有限公司内乡分公司"</f>
        <v>201809-202207  信阳农林学院林学院园林专业就读  全日制
202207-202308   内乡县盛达置业有限公司
202310-202507   南阳市华安房地产开发有限公司内乡分公司</v>
      </c>
    </row>
    <row r="2852" spans="1:9">
      <c r="A2852" s="1" t="str">
        <f>"412828199609173921"</f>
        <v>412828199609173921</v>
      </c>
      <c r="B2852" s="1" t="str">
        <f>"群众"</f>
        <v>群众</v>
      </c>
      <c r="C2852" s="1" t="str">
        <f t="shared" si="1407"/>
        <v>本科</v>
      </c>
      <c r="D2852" s="1" t="str">
        <f>"20200701"</f>
        <v>20200701</v>
      </c>
      <c r="E2852" s="1" t="str">
        <f>"河南牧业经济学院"</f>
        <v>河南牧业经济学院</v>
      </c>
      <c r="F2852" s="1" t="str">
        <f>"食品质量与安全"</f>
        <v>食品质量与安全</v>
      </c>
      <c r="G2852" s="1" t="str">
        <f>"河南省驻马店市新蔡县月亮湾街道仁和家园"</f>
        <v>河南省驻马店市新蔡县月亮湾街道仁和家园</v>
      </c>
      <c r="H2852" s="1" t="str">
        <f t="shared" si="1408"/>
        <v>无</v>
      </c>
      <c r="I2852" s="1" t="str">
        <f>"201609-202007：河南牧业经济学院，食品质量与安全专业学习，本科，学士
202007-202103：河南全印检测技术有限公司，检测员
202103-202106：上海掌门科技有限公司，班主任
202108-202210：河南银华锐进电子商务有限公司，产品开发
202302-至今: 新蔡明英中学，英语老师"</f>
        <v>201609-202007：河南牧业经济学院，食品质量与安全专业学习，本科，学士
202007-202103：河南全印检测技术有限公司，检测员
202103-202106：上海掌门科技有限公司，班主任
202108-202210：河南银华锐进电子商务有限公司，产品开发
202302-至今: 新蔡明英中学，英语老师</v>
      </c>
    </row>
    <row r="2853" spans="1:9">
      <c r="A2853" s="1" t="str">
        <f>"511921200111260031"</f>
        <v>511921200111260031</v>
      </c>
      <c r="B2853" s="1" t="str">
        <f>"中共党员"</f>
        <v>中共党员</v>
      </c>
      <c r="C2853" s="1" t="str">
        <f t="shared" si="1407"/>
        <v>本科</v>
      </c>
      <c r="D2853" s="1" t="str">
        <f>"20240613"</f>
        <v>20240613</v>
      </c>
      <c r="E2853" s="1" t="str">
        <f>"新疆政法学院"</f>
        <v>新疆政法学院</v>
      </c>
      <c r="F2853" s="1" t="str">
        <f>"汉语言文学（师范类）"</f>
        <v>汉语言文学（师范类）</v>
      </c>
      <c r="G2853" s="1" t="str">
        <f>"四川省巴中市通江县诺江镇七水村二社43号"</f>
        <v>四川省巴中市通江县诺江镇七水村二社43号</v>
      </c>
      <c r="H2853" s="1" t="str">
        <f t="shared" si="1408"/>
        <v>无</v>
      </c>
      <c r="I2853" s="1" t="str">
        <f>"201709-202009 四川省通江县实验中学校就读高中
202009-202406 新疆政法学院汉语言文学（师范类）专业就读本科
202406-202507 四川省通江县待业"</f>
        <v>201709-202009 四川省通江县实验中学校就读高中
202009-202406 新疆政法学院汉语言文学（师范类）专业就读本科
202406-202507 四川省通江县待业</v>
      </c>
    </row>
    <row r="2854" spans="1:9">
      <c r="A2854" s="1" t="str">
        <f>"411302200412260531"</f>
        <v>411302200412260531</v>
      </c>
      <c r="B2854" s="1" t="str">
        <f>"群众"</f>
        <v>群众</v>
      </c>
      <c r="C2854" s="1" t="str">
        <f t="shared" si="1407"/>
        <v>本科</v>
      </c>
      <c r="D2854" s="1" t="str">
        <f>"202307"</f>
        <v>202307</v>
      </c>
      <c r="E2854" s="1" t="str">
        <f>"郑州工业应用技术学院"</f>
        <v>郑州工业应用技术学院</v>
      </c>
      <c r="F2854" s="1" t="str">
        <f>"物流管理"</f>
        <v>物流管理</v>
      </c>
      <c r="G2854" s="1" t="str">
        <f>"河南省宛城区菱角池社区"</f>
        <v>河南省宛城区菱角池社区</v>
      </c>
      <c r="H2854" s="1" t="str">
        <f t="shared" si="1408"/>
        <v>无</v>
      </c>
      <c r="I2854" s="1" t="str">
        <f>"201809-202106郑州科技学院就读电子商务全日制大专
202109-202306郑州工业应用技术学院就读物流管理全日制本科"</f>
        <v>201809-202106郑州科技学院就读电子商务全日制大专
202109-202306郑州工业应用技术学院就读物流管理全日制本科</v>
      </c>
    </row>
    <row r="2855" spans="1:9">
      <c r="A2855" s="1" t="str">
        <f>"411325200307252024"</f>
        <v>411325200307252024</v>
      </c>
      <c r="B2855" s="1" t="str">
        <f t="shared" si="1409"/>
        <v>共青团员</v>
      </c>
      <c r="C2855" s="1" t="str">
        <f t="shared" si="1407"/>
        <v>本科</v>
      </c>
      <c r="D2855" s="1" t="str">
        <f>"20250610"</f>
        <v>20250610</v>
      </c>
      <c r="E2855" s="1" t="str">
        <f>"中原科技学院"</f>
        <v>中原科技学院</v>
      </c>
      <c r="F2855" s="1" t="str">
        <f>"汉语言文学"</f>
        <v>汉语言文学</v>
      </c>
      <c r="G2855" s="1" t="str">
        <f>"河南省南阳市内乡县西关郑伟汽修楼上"</f>
        <v>河南省南阳市内乡县西关郑伟汽修楼上</v>
      </c>
      <c r="H2855" s="1" t="str">
        <f>"高级中学语文教师资格证书"</f>
        <v>高级中学语文教师资格证书</v>
      </c>
      <c r="I2855" s="1" t="str">
        <f>"202109-202506 在中原科技学院汉语言文学专业就读，是全日制学历"</f>
        <v>202109-202506 在中原科技学院汉语言文学专业就读，是全日制学历</v>
      </c>
    </row>
    <row r="2856" spans="1:9">
      <c r="A2856" s="1" t="str">
        <f>"410523200103230082"</f>
        <v>410523200103230082</v>
      </c>
      <c r="B2856" s="1" t="str">
        <f t="shared" si="1409"/>
        <v>共青团员</v>
      </c>
      <c r="C2856" s="1" t="str">
        <f t="shared" si="1407"/>
        <v>本科</v>
      </c>
      <c r="D2856" s="1" t="str">
        <f>"20250605"</f>
        <v>20250605</v>
      </c>
      <c r="E2856" s="1" t="str">
        <f>"新乡工程学院"</f>
        <v>新乡工程学院</v>
      </c>
      <c r="F2856" s="1" t="str">
        <f>"汉语言文学050101"</f>
        <v>汉语言文学050101</v>
      </c>
      <c r="G2856" s="1" t="str">
        <f>"河南省安阳市汤阴县政通苑二区"</f>
        <v>河南省安阳市汤阴县政通苑二区</v>
      </c>
      <c r="H2856" s="1" t="str">
        <f t="shared" ref="H2856:H2866" si="1410">"无"</f>
        <v>无</v>
      </c>
      <c r="I2856" s="1" t="str">
        <f>"201608-202007  汤阴县第一中学就读
202008-202307  焦作师范高等专科学校 全日制 语文教育专业
202308-202506  新乡工程学院  全日制本科   学士  汉语言文学专业"</f>
        <v>201608-202007  汤阴县第一中学就读
202008-202307  焦作师范高等专科学校 全日制 语文教育专业
202308-202506  新乡工程学院  全日制本科   学士  汉语言文学专业</v>
      </c>
    </row>
    <row r="2857" spans="1:9">
      <c r="A2857" s="1" t="str">
        <f>"411330200001174829"</f>
        <v>411330200001174829</v>
      </c>
      <c r="B2857" s="1" t="str">
        <f t="shared" si="1409"/>
        <v>共青团员</v>
      </c>
      <c r="C2857" s="1" t="str">
        <f t="shared" si="1407"/>
        <v>本科</v>
      </c>
      <c r="D2857" s="1" t="str">
        <f>"20230701"</f>
        <v>20230701</v>
      </c>
      <c r="E2857" s="1" t="str">
        <f>"新乡工程学院"</f>
        <v>新乡工程学院</v>
      </c>
      <c r="F2857" s="1" t="str">
        <f>"电气工程及其自动化"</f>
        <v>电气工程及其自动化</v>
      </c>
      <c r="G2857" s="1" t="str">
        <f>"河南省南阳市西峡县紫金路富贵家园"</f>
        <v>河南省南阳市西峡县紫金路富贵家园</v>
      </c>
      <c r="H2857" s="1" t="str">
        <f t="shared" si="1410"/>
        <v>无</v>
      </c>
      <c r="I2857" s="1" t="str">
        <f>"201809-202106  新乡学院 物理与电子工程学院电子信息工程技术专业就读 
全日制
202109-202306 新乡工程学院 机电工程学院电气工程及其自动化专业就读全日制"</f>
        <v>201809-202106  新乡学院 物理与电子工程学院电子信息工程技术专业就读 
全日制
202109-202306 新乡工程学院 机电工程学院电气工程及其自动化专业就读全日制</v>
      </c>
    </row>
    <row r="2858" spans="1:9">
      <c r="A2858" s="1" t="str">
        <f>"410223200202286042"</f>
        <v>410223200202286042</v>
      </c>
      <c r="B2858" s="1" t="str">
        <f t="shared" si="1409"/>
        <v>共青团员</v>
      </c>
      <c r="C2858" s="1" t="str">
        <f t="shared" si="1407"/>
        <v>本科</v>
      </c>
      <c r="D2858" s="1" t="str">
        <f>"20250701"</f>
        <v>20250701</v>
      </c>
      <c r="E2858" s="1" t="str">
        <f>"黄河交通学院"</f>
        <v>黄河交通学院</v>
      </c>
      <c r="F2858" s="1" t="str">
        <f>"财务管理"</f>
        <v>财务管理</v>
      </c>
      <c r="G2858" s="1" t="str">
        <f>"河南省郑州市航空港区大营镇"</f>
        <v>河南省郑州市航空港区大营镇</v>
      </c>
      <c r="H2858" s="1" t="str">
        <f>"企业人力资源管理师"</f>
        <v>企业人力资源管理师</v>
      </c>
      <c r="I2858" s="1" t="str">
        <f>"202109-202507 黄河交通学院财务管理专业就读，全日制学历"</f>
        <v>202109-202507 黄河交通学院财务管理专业就读，全日制学历</v>
      </c>
    </row>
    <row r="2859" spans="1:9">
      <c r="A2859" s="1" t="str">
        <f>"411327199812300637"</f>
        <v>411327199812300637</v>
      </c>
      <c r="B2859" s="1" t="str">
        <f t="shared" si="1409"/>
        <v>共青团员</v>
      </c>
      <c r="C2859" s="1" t="str">
        <f t="shared" si="1407"/>
        <v>本科</v>
      </c>
      <c r="D2859" s="1" t="str">
        <f>"2021/6"</f>
        <v>2021/6</v>
      </c>
      <c r="E2859" s="1" t="str">
        <f>"北京科技大学天津学院"</f>
        <v>北京科技大学天津学院</v>
      </c>
      <c r="F2859" s="1" t="str">
        <f>"材料科学与工程"</f>
        <v>材料科学与工程</v>
      </c>
      <c r="G2859" s="1" t="str">
        <f>"河南省南阳市内乡县马山口镇花北村"</f>
        <v>河南省南阳市内乡县马山口镇花北村</v>
      </c>
      <c r="H2859" s="1" t="str">
        <f t="shared" si="1410"/>
        <v>无</v>
      </c>
      <c r="I2859" s="1" t="str">
        <f>"2017年9月-2021年6月就读于北京科技大学天津学院 材料科学与工程专业 2021年6月-2021年8月待业，2021年8月-至今 工作于五冶集团上海有限公司"</f>
        <v>2017年9月-2021年6月就读于北京科技大学天津学院 材料科学与工程专业 2021年6月-2021年8月待业，2021年8月-至今 工作于五冶集团上海有限公司</v>
      </c>
    </row>
    <row r="2860" spans="1:9">
      <c r="A2860" s="1" t="str">
        <f>"371422200207275425"</f>
        <v>371422200207275425</v>
      </c>
      <c r="B2860" s="1" t="str">
        <f t="shared" si="1409"/>
        <v>共青团员</v>
      </c>
      <c r="C2860" s="1" t="str">
        <f t="shared" ref="C2860:C2864" si="1411">"专科"</f>
        <v>专科</v>
      </c>
      <c r="D2860" s="1" t="str">
        <f>"20140701"</f>
        <v>20140701</v>
      </c>
      <c r="E2860" s="1" t="str">
        <f>"山东现代学院"</f>
        <v>山东现代学院</v>
      </c>
      <c r="F2860" s="1" t="str">
        <f>"针灸推拿"</f>
        <v>针灸推拿</v>
      </c>
      <c r="G2860" s="1" t="str">
        <f>"山东省德州市宁津县"</f>
        <v>山东省德州市宁津县</v>
      </c>
      <c r="H2860" s="1" t="str">
        <f t="shared" si="1410"/>
        <v>无</v>
      </c>
      <c r="I2860" s="1" t="str">
        <f>"201209-201407 于山东现代学院医学院针灸推拿专业，全日制专科。
201407-至今待业"</f>
        <v>201209-201407 于山东现代学院医学院针灸推拿专业，全日制专科。
201407-至今待业</v>
      </c>
    </row>
    <row r="2861" spans="1:9">
      <c r="A2861" s="1" t="str">
        <f>"411330200112204314"</f>
        <v>411330200112204314</v>
      </c>
      <c r="B2861" s="1" t="str">
        <f t="shared" si="1409"/>
        <v>共青团员</v>
      </c>
      <c r="C2861" s="1" t="str">
        <f t="shared" ref="C2861:C2865" si="1412">"本科"</f>
        <v>本科</v>
      </c>
      <c r="D2861" s="1" t="str">
        <f t="shared" ref="D2861:D2864" si="1413">"20240701"</f>
        <v>20240701</v>
      </c>
      <c r="E2861" s="1" t="str">
        <f>"河南工业大学"</f>
        <v>河南工业大学</v>
      </c>
      <c r="F2861" s="1" t="str">
        <f>"土木工程"</f>
        <v>土木工程</v>
      </c>
      <c r="G2861" s="1" t="str">
        <f>"河南省南阳市西峡县石界河镇"</f>
        <v>河南省南阳市西峡县石界河镇</v>
      </c>
      <c r="H2861" s="1" t="str">
        <f t="shared" si="1410"/>
        <v>无</v>
      </c>
      <c r="I2861" s="1" t="str">
        <f>"202009-202407 河南工业大学土木建筑学院土木工程专业就读 全日制本科
202407-202507 在家待业"</f>
        <v>202009-202407 河南工业大学土木建筑学院土木工程专业就读 全日制本科
202407-202507 在家待业</v>
      </c>
    </row>
    <row r="2862" spans="1:9">
      <c r="A2862" s="1" t="str">
        <f>"410225200205310012"</f>
        <v>410225200205310012</v>
      </c>
      <c r="B2862" s="1" t="str">
        <f t="shared" si="1409"/>
        <v>共青团员</v>
      </c>
      <c r="C2862" s="1" t="str">
        <f t="shared" si="1411"/>
        <v>专科</v>
      </c>
      <c r="D2862" s="1" t="str">
        <f>"20230701"</f>
        <v>20230701</v>
      </c>
      <c r="E2862" s="1" t="str">
        <f>"郑州信息科技职业学院"</f>
        <v>郑州信息科技职业学院</v>
      </c>
      <c r="F2862" s="1" t="str">
        <f>"机电一体化专业"</f>
        <v>机电一体化专业</v>
      </c>
      <c r="G2862" s="1" t="str">
        <f>"河南省兰考县桐乡街道望湖小区"</f>
        <v>河南省兰考县桐乡街道望湖小区</v>
      </c>
      <c r="H2862" s="1" t="str">
        <f t="shared" si="1410"/>
        <v>无</v>
      </c>
      <c r="I2862" s="1" t="str">
        <f>"20200901-20230701 郑州信息科技职业学院机电一体化专业全日制 就读；20230701-20250730 河南省兰考县 待业。"</f>
        <v>20200901-20230701 郑州信息科技职业学院机电一体化专业全日制 就读；20230701-20250730 河南省兰考县 待业。</v>
      </c>
    </row>
    <row r="2863" spans="1:9">
      <c r="A2863" s="1" t="str">
        <f>"411324200012214817"</f>
        <v>411324200012214817</v>
      </c>
      <c r="B2863" s="1" t="str">
        <f t="shared" ref="B2863:B2866" si="1414">"群众"</f>
        <v>群众</v>
      </c>
      <c r="C2863" s="1" t="str">
        <f t="shared" si="1412"/>
        <v>本科</v>
      </c>
      <c r="D2863" s="1" t="str">
        <f t="shared" si="1413"/>
        <v>20240701</v>
      </c>
      <c r="E2863" s="1" t="str">
        <f>"河南财政金融学院"</f>
        <v>河南财政金融学院</v>
      </c>
      <c r="F2863" s="1" t="str">
        <f>"健康服务与管理"</f>
        <v>健康服务与管理</v>
      </c>
      <c r="G2863" s="1" t="str">
        <f>"河南省南阳市镇平县侯集镇项店村"</f>
        <v>河南省南阳市镇平县侯集镇项店村</v>
      </c>
      <c r="H2863" s="1" t="str">
        <f t="shared" si="1410"/>
        <v>无</v>
      </c>
      <c r="I2863" s="1" t="str">
        <f>"20200901-20240701河南财政金融学院就读
20240612-20250612牧原食品股份有限公司任职"</f>
        <v>20200901-20240701河南财政金融学院就读
20240612-20250612牧原食品股份有限公司任职</v>
      </c>
    </row>
    <row r="2864" spans="1:9">
      <c r="A2864" s="1" t="str">
        <f>"412825200207120268"</f>
        <v>412825200207120268</v>
      </c>
      <c r="B2864" s="1" t="str">
        <f t="shared" si="1414"/>
        <v>群众</v>
      </c>
      <c r="C2864" s="1" t="str">
        <f t="shared" si="1411"/>
        <v>专科</v>
      </c>
      <c r="D2864" s="1" t="str">
        <f t="shared" si="1413"/>
        <v>20240701</v>
      </c>
      <c r="E2864" s="1" t="str">
        <f>"安徽中医药高等专科学校"</f>
        <v>安徽中医药高等专科学校</v>
      </c>
      <c r="F2864" s="1" t="str">
        <f>"药品质量与安全"</f>
        <v>药品质量与安全</v>
      </c>
      <c r="G2864" s="1" t="str">
        <f>"河南省驻马店市上蔡县"</f>
        <v>河南省驻马店市上蔡县</v>
      </c>
      <c r="H2864" s="1" t="str">
        <f t="shared" si="1410"/>
        <v>无</v>
      </c>
      <c r="I2864" s="1" t="str">
        <f>"202010-202407 在安徽中医药高等专科学校药品质量与安全专业就读，全日制"</f>
        <v>202010-202407 在安徽中医药高等专科学校药品质量与安全专业就读，全日制</v>
      </c>
    </row>
    <row r="2865" spans="1:9">
      <c r="A2865" s="1" t="str">
        <f>"411327199611093942"</f>
        <v>411327199611093942</v>
      </c>
      <c r="B2865" s="1" t="str">
        <f t="shared" ref="B2865:B2869" si="1415">"共青团员"</f>
        <v>共青团员</v>
      </c>
      <c r="C2865" s="1" t="str">
        <f t="shared" si="1412"/>
        <v>本科</v>
      </c>
      <c r="D2865" s="1" t="str">
        <f>"20200701"</f>
        <v>20200701</v>
      </c>
      <c r="E2865" s="1" t="str">
        <f>"河南师范大学"</f>
        <v>河南师范大学</v>
      </c>
      <c r="F2865" s="1" t="str">
        <f>"学前教育"</f>
        <v>学前教育</v>
      </c>
      <c r="G2865" s="1" t="str">
        <f>"河南省南阳市内乡县"</f>
        <v>河南省南阳市内乡县</v>
      </c>
      <c r="H2865" s="1" t="str">
        <f t="shared" si="1410"/>
        <v>无</v>
      </c>
      <c r="I2865" s="1" t="str">
        <f>"201609-202007 河南师范大学 教育学院学前教育专业就读，是全日制学历"</f>
        <v>201609-202007 河南师范大学 教育学院学前教育专业就读，是全日制学历</v>
      </c>
    </row>
    <row r="2866" spans="1:9">
      <c r="A2866" s="1" t="str">
        <f>"411327200108090010"</f>
        <v>411327200108090010</v>
      </c>
      <c r="B2866" s="1" t="str">
        <f t="shared" si="1414"/>
        <v>群众</v>
      </c>
      <c r="C2866" s="1" t="str">
        <f>"专科"</f>
        <v>专科</v>
      </c>
      <c r="D2866" s="1" t="str">
        <f>"20220701"</f>
        <v>20220701</v>
      </c>
      <c r="E2866" s="1" t="str">
        <f>"黄河科技学院"</f>
        <v>黄河科技学院</v>
      </c>
      <c r="F2866" s="1" t="str">
        <f>"视觉传播设计与制作"</f>
        <v>视觉传播设计与制作</v>
      </c>
      <c r="G2866" s="1" t="str">
        <f>"河南省南阳市内乡县城关镇"</f>
        <v>河南省南阳市内乡县城关镇</v>
      </c>
      <c r="H2866" s="1" t="str">
        <f t="shared" si="1410"/>
        <v>无</v>
      </c>
      <c r="I2866" s="1" t="str">
        <f>"201709—202207郑州黄河科技学院
202307-至今 内乡县应急管理局"</f>
        <v>201709—202207郑州黄河科技学院
202307-至今 内乡县应急管理局</v>
      </c>
    </row>
    <row r="2867" spans="1:9">
      <c r="A2867" s="1" t="str">
        <f>"411327200208104547"</f>
        <v>411327200208104547</v>
      </c>
      <c r="B2867" s="1" t="str">
        <f t="shared" si="1415"/>
        <v>共青团员</v>
      </c>
      <c r="C2867" s="1" t="str">
        <f t="shared" ref="C2867:C2872" si="1416">"本科"</f>
        <v>本科</v>
      </c>
      <c r="D2867" s="1" t="str">
        <f>"20240701"</f>
        <v>20240701</v>
      </c>
      <c r="E2867" s="1" t="str">
        <f>"信阳师范大学"</f>
        <v>信阳师范大学</v>
      </c>
      <c r="F2867" s="1" t="str">
        <f>"旅游管理"</f>
        <v>旅游管理</v>
      </c>
      <c r="G2867" s="1" t="str">
        <f>"河南省南阳市内乡县城关镇菊园小区"</f>
        <v>河南省南阳市内乡县城关镇菊园小区</v>
      </c>
      <c r="H2867" s="1" t="str">
        <f>"中等职业学校教师资格证"</f>
        <v>中等职业学校教师资格证</v>
      </c>
      <c r="I2867" s="1" t="str">
        <f>"202009-202407在信阳师范大学旅游学院旅游管理专业就读，为全日制学历"</f>
        <v>202009-202407在信阳师范大学旅游学院旅游管理专业就读，为全日制学历</v>
      </c>
    </row>
    <row r="2868" spans="1:9">
      <c r="A2868" s="1" t="str">
        <f>"411327199811012529"</f>
        <v>411327199811012529</v>
      </c>
      <c r="B2868" s="1" t="str">
        <f>"中共党员"</f>
        <v>中共党员</v>
      </c>
      <c r="C2868" s="1" t="str">
        <f>"专科"</f>
        <v>专科</v>
      </c>
      <c r="D2868" s="1" t="str">
        <f>"20190618"</f>
        <v>20190618</v>
      </c>
      <c r="E2868" s="1" t="str">
        <f>"湖南工艺美术职业学院"</f>
        <v>湖南工艺美术职业学院</v>
      </c>
      <c r="F2868" s="1" t="str">
        <f>"环境艺术设计"</f>
        <v>环境艺术设计</v>
      </c>
      <c r="G2868" s="1" t="str">
        <f>"河南省南阳市内乡县亲水家园"</f>
        <v>河南省南阳市内乡县亲水家园</v>
      </c>
      <c r="H2868" s="1" t="str">
        <f>"助理工程师"</f>
        <v>助理工程师</v>
      </c>
      <c r="I2868" s="1" t="str">
        <f>"201609-201906湖南工艺美术职业学院环境艺术设计系景观设计专业就读，全日制学历。"</f>
        <v>201609-201906湖南工艺美术职业学院环境艺术设计系景观设计专业就读，全日制学历。</v>
      </c>
    </row>
    <row r="2869" spans="1:9">
      <c r="A2869" s="1" t="str">
        <f>"411324200205064878"</f>
        <v>411324200205064878</v>
      </c>
      <c r="B2869" s="1" t="str">
        <f t="shared" si="1415"/>
        <v>共青团员</v>
      </c>
      <c r="C2869" s="1" t="str">
        <f t="shared" si="1416"/>
        <v>本科</v>
      </c>
      <c r="D2869" s="1" t="str">
        <f>"20240628"</f>
        <v>20240628</v>
      </c>
      <c r="E2869" s="1" t="str">
        <f>"南宁师范大学师园学院"</f>
        <v>南宁师范大学师园学院</v>
      </c>
      <c r="F2869" s="1" t="str">
        <f>"数学与应用数学"</f>
        <v>数学与应用数学</v>
      </c>
      <c r="G2869" s="1" t="str">
        <f>"河南省镇平县侯集镇谭寨村4组410号"</f>
        <v>河南省镇平县侯集镇谭寨村4组410号</v>
      </c>
      <c r="H2869" s="1" t="str">
        <f t="shared" ref="H2869:H2872" si="1417">"无"</f>
        <v>无</v>
      </c>
      <c r="I2869" s="1" t="str">
        <f>"202009-202406南宁师范大学师园学院理工系数学与应用数学专业全日制本科"</f>
        <v>202009-202406南宁师范大学师园学院理工系数学与应用数学专业全日制本科</v>
      </c>
    </row>
    <row r="2870" spans="1:9">
      <c r="A2870" s="1" t="str">
        <f>"411327199901061527"</f>
        <v>411327199901061527</v>
      </c>
      <c r="B2870" s="1" t="str">
        <f>"群众"</f>
        <v>群众</v>
      </c>
      <c r="C2870" s="1" t="str">
        <f t="shared" si="1416"/>
        <v>本科</v>
      </c>
      <c r="D2870" s="1" t="str">
        <f>"20210701"</f>
        <v>20210701</v>
      </c>
      <c r="E2870" s="1" t="str">
        <f>"河南师范大学"</f>
        <v>河南师范大学</v>
      </c>
      <c r="F2870" s="1" t="str">
        <f>"电子信息工程"</f>
        <v>电子信息工程</v>
      </c>
      <c r="G2870" s="1" t="str">
        <f>"河南省南阳市邓州市张村镇"</f>
        <v>河南省南阳市邓州市张村镇</v>
      </c>
      <c r="H2870" s="1" t="str">
        <f t="shared" si="1417"/>
        <v>无</v>
      </c>
      <c r="I2870" s="1" t="str">
        <f>"201709-202107 河南师范大学就读，全日制学历；
202109-202307 内乡菊潭高级中学担任数学教师；
202309-至今 邓州待业"</f>
        <v>201709-202107 河南师范大学就读，全日制学历；
202109-202307 内乡菊潭高级中学担任数学教师；
202309-至今 邓州待业</v>
      </c>
    </row>
    <row r="2871" spans="1:9">
      <c r="A2871" s="1" t="str">
        <f>"411327200201254518"</f>
        <v>411327200201254518</v>
      </c>
      <c r="B2871" s="1" t="str">
        <f t="shared" ref="B2871:B2875" si="1418">"共青团员"</f>
        <v>共青团员</v>
      </c>
      <c r="C2871" s="1" t="str">
        <f t="shared" si="1416"/>
        <v>本科</v>
      </c>
      <c r="D2871" s="1" t="str">
        <f>"20250701"</f>
        <v>20250701</v>
      </c>
      <c r="E2871" s="1" t="str">
        <f>"郑州工程技术学院"</f>
        <v>郑州工程技术学院</v>
      </c>
      <c r="F2871" s="1" t="str">
        <f>"食品质量与安全"</f>
        <v>食品质量与安全</v>
      </c>
      <c r="G2871" s="1" t="str">
        <f>"河南省南阳市内乡县赵店乡郦城村"</f>
        <v>河南省南阳市内乡县赵店乡郦城村</v>
      </c>
      <c r="H2871" s="1" t="str">
        <f t="shared" si="1417"/>
        <v>无</v>
      </c>
      <c r="I2871" s="1" t="str">
        <f>"202109-202507在郑州工程技术学院的食品与健康工程学院的食品质量与安全专业就读是全日制学历"</f>
        <v>202109-202507在郑州工程技术学院的食品与健康工程学院的食品质量与安全专业就读是全日制学历</v>
      </c>
    </row>
    <row r="2872" spans="1:9">
      <c r="A2872" s="1" t="str">
        <f>"41132719971013114X"</f>
        <v>41132719971013114X</v>
      </c>
      <c r="B2872" s="1" t="str">
        <f>"群众"</f>
        <v>群众</v>
      </c>
      <c r="C2872" s="1" t="str">
        <f t="shared" si="1416"/>
        <v>本科</v>
      </c>
      <c r="D2872" s="1" t="str">
        <f>"20190617"</f>
        <v>20190617</v>
      </c>
      <c r="E2872" s="1" t="str">
        <f>"四川轻化工大学"</f>
        <v>四川轻化工大学</v>
      </c>
      <c r="F2872" s="1" t="str">
        <f>"信息与计算科学"</f>
        <v>信息与计算科学</v>
      </c>
      <c r="G2872" s="1" t="str">
        <f>"河南省内乡县师岗镇"</f>
        <v>河南省内乡县师岗镇</v>
      </c>
      <c r="H2872" s="1" t="str">
        <f t="shared" si="1417"/>
        <v>无</v>
      </c>
      <c r="I2872" s="1" t="str">
        <f>"201509-201906四川轻化工大学就读
201908-202108郑州纳睿文化传播有限公司任编辑
202109-202303郑州宣雨文化传播有限公司任编辑
202304-202406葛洲坝集团劳务派遣
202407至今在河南省内乡县待业"</f>
        <v>201509-201906四川轻化工大学就读
201908-202108郑州纳睿文化传播有限公司任编辑
202109-202303郑州宣雨文化传播有限公司任编辑
202304-202406葛洲坝集团劳务派遣
202407至今在河南省内乡县待业</v>
      </c>
    </row>
    <row r="2873" spans="1:9">
      <c r="A2873" s="1" t="str">
        <f>"411330199605150021"</f>
        <v>411330199605150021</v>
      </c>
      <c r="B2873" s="1" t="str">
        <f t="shared" si="1418"/>
        <v>共青团员</v>
      </c>
      <c r="C2873" s="1" t="str">
        <f>"硕士研究生"</f>
        <v>硕士研究生</v>
      </c>
      <c r="D2873" s="1" t="str">
        <f>"20250810"</f>
        <v>20250810</v>
      </c>
      <c r="E2873" s="1" t="str">
        <f>"马来西亚理科大学"</f>
        <v>马来西亚理科大学</v>
      </c>
      <c r="F2873" s="1" t="str">
        <f>"应用经济学"</f>
        <v>应用经济学</v>
      </c>
      <c r="G2873" s="1" t="str">
        <f>"河南省南阳市西峡县"</f>
        <v>河南省南阳市西峡县</v>
      </c>
      <c r="H2873" s="1" t="str">
        <f>"中级资产评估师"</f>
        <v>中级资产评估师</v>
      </c>
      <c r="I2873" s="1" t="str">
        <f>"本人于201509-202007在河南财经政法大学金融学院金融学就读本科，全日制。
本人于202009-202406在南阳市宛南枫桥学校从事高中英语教学工作。
本人于202407-202508在马来西亚理科大学管理学院应用经济学专业就读研究生专业，全日制。"</f>
        <v>本人于201509-202007在河南财经政法大学金融学院金融学就读本科，全日制。
本人于202009-202406在南阳市宛南枫桥学校从事高中英语教学工作。
本人于202407-202508在马来西亚理科大学管理学院应用经济学专业就读研究生专业，全日制。</v>
      </c>
    </row>
    <row r="2874" spans="1:9">
      <c r="A2874" s="1" t="str">
        <f>"411122200102208206"</f>
        <v>411122200102208206</v>
      </c>
      <c r="B2874" s="1" t="str">
        <f t="shared" si="1418"/>
        <v>共青团员</v>
      </c>
      <c r="C2874" s="1" t="str">
        <f>"专科"</f>
        <v>专科</v>
      </c>
      <c r="D2874" s="1" t="str">
        <f>"20220701"</f>
        <v>20220701</v>
      </c>
      <c r="E2874" s="1" t="str">
        <f>"长垣烹饪"</f>
        <v>长垣烹饪</v>
      </c>
      <c r="F2874" s="1" t="str">
        <f>"中西面点"</f>
        <v>中西面点</v>
      </c>
      <c r="G2874" s="1" t="str">
        <f>"河南省漯河市临颍县瓦店镇刘庄村233号"</f>
        <v>河南省漯河市临颍县瓦店镇刘庄村233号</v>
      </c>
      <c r="H2874" s="1" t="str">
        <f>"中级面点师证，普通话证"</f>
        <v>中级面点师证，普通话证</v>
      </c>
      <c r="I2874" s="1" t="str">
        <f>"201909-202207长垣烹饪职业技术学校中西面点专业就读，全日制专科学历
202207-202403万达瑞华酒店，饼房厨师
202404-至今    邓州市职业技术学校  烹饪教师"</f>
        <v>201909-202207长垣烹饪职业技术学校中西面点专业就读，全日制专科学历
202207-202403万达瑞华酒店，饼房厨师
202404-至今    邓州市职业技术学校  烹饪教师</v>
      </c>
    </row>
    <row r="2875" spans="1:9">
      <c r="A2875" s="1" t="str">
        <f>"372321200010117158"</f>
        <v>372321200010117158</v>
      </c>
      <c r="B2875" s="1" t="str">
        <f t="shared" si="1418"/>
        <v>共青团员</v>
      </c>
      <c r="C2875" s="1" t="str">
        <f t="shared" ref="C2875:C2881" si="1419">"本科"</f>
        <v>本科</v>
      </c>
      <c r="D2875" s="1" t="str">
        <f>"20240614"</f>
        <v>20240614</v>
      </c>
      <c r="E2875" s="1" t="str">
        <f>"泰山科技学院"</f>
        <v>泰山科技学院</v>
      </c>
      <c r="F2875" s="1" t="str">
        <f>"土木工程"</f>
        <v>土木工程</v>
      </c>
      <c r="G2875" s="1" t="str">
        <f>"山东省滨州市惠民县桑落墅镇"</f>
        <v>山东省滨州市惠民县桑落墅镇</v>
      </c>
      <c r="H2875" s="1" t="str">
        <f t="shared" ref="H2875:H2880" si="1420">"无"</f>
        <v>无</v>
      </c>
      <c r="I2875" s="1" t="str">
        <f>"201909-202206 山东交通职业学院 车辆工程系 汽车运用与维修技术专业 就读。
202209-202406 泰山科技学院 建筑工程学院 土木工程专业 就读。
202406-至今   待业"</f>
        <v>201909-202206 山东交通职业学院 车辆工程系 汽车运用与维修技术专业 就读。
202209-202406 泰山科技学院 建筑工程学院 土木工程专业 就读。
202406-至今   待业</v>
      </c>
    </row>
    <row r="2876" spans="1:9">
      <c r="A2876" s="1" t="str">
        <f>"412828199412103022"</f>
        <v>412828199412103022</v>
      </c>
      <c r="B2876" s="1" t="str">
        <f t="shared" ref="B2876:B2880" si="1421">"群众"</f>
        <v>群众</v>
      </c>
      <c r="C2876" s="1" t="str">
        <f>"专科"</f>
        <v>专科</v>
      </c>
      <c r="D2876" s="1" t="str">
        <f t="shared" ref="D2876:D2881" si="1422">"20230701"</f>
        <v>20230701</v>
      </c>
      <c r="E2876" s="1" t="str">
        <f>"郑州城市职业学院"</f>
        <v>郑州城市职业学院</v>
      </c>
      <c r="F2876" s="1" t="str">
        <f>"工商企业管理"</f>
        <v>工商企业管理</v>
      </c>
      <c r="G2876" s="1" t="str">
        <f>"河南省内乡县灌涨镇前马村东南地42号"</f>
        <v>河南省内乡县灌涨镇前马村东南地42号</v>
      </c>
      <c r="H2876" s="1" t="str">
        <f>"初级会计专业技术资格证书"</f>
        <v>初级会计专业技术资格证书</v>
      </c>
      <c r="I2876" s="1" t="str">
        <f>"202103-202307郑州城市职业学院工商企业管理就读，不是全日制学历"</f>
        <v>202103-202307郑州城市职业学院工商企业管理就读，不是全日制学历</v>
      </c>
    </row>
    <row r="2877" spans="1:9">
      <c r="A2877" s="1" t="str">
        <f>"411323200011126317"</f>
        <v>411323200011126317</v>
      </c>
      <c r="B2877" s="1" t="str">
        <f>"中共党员"</f>
        <v>中共党员</v>
      </c>
      <c r="C2877" s="1" t="str">
        <f t="shared" si="1419"/>
        <v>本科</v>
      </c>
      <c r="D2877" s="1" t="str">
        <f>"2024-06-06"</f>
        <v>2024-06-06</v>
      </c>
      <c r="E2877" s="1" t="str">
        <f>"信阳学院"</f>
        <v>信阳学院</v>
      </c>
      <c r="F2877" s="1" t="str">
        <f>"生物科学"</f>
        <v>生物科学</v>
      </c>
      <c r="G2877" s="1" t="str">
        <f>"河南省淅川县厚坡镇育才路179号"</f>
        <v>河南省淅川县厚坡镇育才路179号</v>
      </c>
      <c r="H2877" s="1" t="str">
        <f t="shared" si="1420"/>
        <v>无</v>
      </c>
      <c r="I2877" s="1" t="str">
        <f>"202009-202406     信阳学院理工学院生物科学专业就读    全日制"</f>
        <v>202009-202406     信阳学院理工学院生物科学专业就读    全日制</v>
      </c>
    </row>
    <row r="2878" spans="1:9">
      <c r="A2878" s="1" t="str">
        <f>"41108120030226205X"</f>
        <v>41108120030226205X</v>
      </c>
      <c r="B2878" s="1" t="str">
        <f t="shared" si="1421"/>
        <v>群众</v>
      </c>
      <c r="C2878" s="1" t="str">
        <f t="shared" si="1419"/>
        <v>本科</v>
      </c>
      <c r="D2878" s="1" t="str">
        <f>"20250611"</f>
        <v>20250611</v>
      </c>
      <c r="E2878" s="1" t="str">
        <f>"安阳学院"</f>
        <v>安阳学院</v>
      </c>
      <c r="F2878" s="1" t="str">
        <f>"汉语言文学"</f>
        <v>汉语言文学</v>
      </c>
      <c r="G2878" s="1" t="str">
        <f>"河南省许昌市禹州市梁北镇秦村一组"</f>
        <v>河南省许昌市禹州市梁北镇秦村一组</v>
      </c>
      <c r="H2878" s="1" t="str">
        <f t="shared" si="1420"/>
        <v>无</v>
      </c>
      <c r="I2878" s="1" t="str">
        <f>"202109-202506安阳学院 文法学院就读
汉语言文学专业就读
是全日制本科"</f>
        <v>202109-202506安阳学院 文法学院就读
汉语言文学专业就读
是全日制本科</v>
      </c>
    </row>
    <row r="2879" spans="1:9">
      <c r="A2879" s="1" t="str">
        <f>"411326200011291127"</f>
        <v>411326200011291127</v>
      </c>
      <c r="B2879" s="1" t="str">
        <f t="shared" ref="B2879:B2882" si="1423">"共青团员"</f>
        <v>共青团员</v>
      </c>
      <c r="C2879" s="1" t="str">
        <f t="shared" si="1419"/>
        <v>本科</v>
      </c>
      <c r="D2879" s="1" t="str">
        <f t="shared" si="1422"/>
        <v>20230701</v>
      </c>
      <c r="E2879" s="1" t="str">
        <f>"河南理工大学"</f>
        <v>河南理工大学</v>
      </c>
      <c r="F2879" s="1" t="str">
        <f>"数据科学与大数据技术"</f>
        <v>数据科学与大数据技术</v>
      </c>
      <c r="G2879" s="1" t="str">
        <f>"河南省南阳市南召县小店乡"</f>
        <v>河南省南阳市南召县小店乡</v>
      </c>
      <c r="H2879" s="1" t="str">
        <f t="shared" si="1420"/>
        <v>无</v>
      </c>
      <c r="I2879" s="1" t="str">
        <f>"201909-202307 河南理工大学计算机科学与技术学院数据科学与大数据技术专业 就读
202307-202402 河南省南阳市南召县 待业
202402-202503 中国石化股份有限公司河南平顶山石油分公司 科员
202503-至今 河南省南阳市南召县 待业"</f>
        <v>201909-202307 河南理工大学计算机科学与技术学院数据科学与大数据技术专业 就读
202307-202402 河南省南阳市南召县 待业
202402-202503 中国石化股份有限公司河南平顶山石油分公司 科员
202503-至今 河南省南阳市南召县 待业</v>
      </c>
    </row>
    <row r="2880" spans="1:9">
      <c r="A2880" s="1" t="str">
        <f>"411327199509170075"</f>
        <v>411327199509170075</v>
      </c>
      <c r="B2880" s="1" t="str">
        <f t="shared" si="1421"/>
        <v>群众</v>
      </c>
      <c r="C2880" s="1" t="str">
        <f t="shared" si="1419"/>
        <v>本科</v>
      </c>
      <c r="D2880" s="1" t="str">
        <f>"20180701"</f>
        <v>20180701</v>
      </c>
      <c r="E2880" s="1" t="str">
        <f>"河南牧业经济学院"</f>
        <v>河南牧业经济学院</v>
      </c>
      <c r="F2880" s="1" t="str">
        <f>"会计学（注册会计师方向）"</f>
        <v>会计学（注册会计师方向）</v>
      </c>
      <c r="G2880" s="1" t="str">
        <f>"内乡县城关镇"</f>
        <v>内乡县城关镇</v>
      </c>
      <c r="H2880" s="1" t="str">
        <f t="shared" si="1420"/>
        <v>无</v>
      </c>
      <c r="I2880" s="1" t="str">
        <f>"201409-201807 河南牧业经济学院就读"</f>
        <v>201409-201807 河南牧业经济学院就读</v>
      </c>
    </row>
    <row r="2881" spans="1:9">
      <c r="A2881" s="1" t="str">
        <f>"41132520010215253X"</f>
        <v>41132520010215253X</v>
      </c>
      <c r="B2881" s="1" t="str">
        <f t="shared" si="1423"/>
        <v>共青团员</v>
      </c>
      <c r="C2881" s="1" t="str">
        <f t="shared" si="1419"/>
        <v>本科</v>
      </c>
      <c r="D2881" s="1" t="str">
        <f t="shared" si="1422"/>
        <v>20230701</v>
      </c>
      <c r="E2881" s="1" t="str">
        <f>"商丘师范学院"</f>
        <v>商丘师范学院</v>
      </c>
      <c r="F2881" s="1" t="str">
        <f>"社会工作"</f>
        <v>社会工作</v>
      </c>
      <c r="G2881" s="1" t="str">
        <f>"河南省南阳市内乡县王店镇河东村樊岗364号"</f>
        <v>河南省南阳市内乡县王店镇河东村樊岗364号</v>
      </c>
      <c r="H2881" s="1" t="str">
        <f>"社工证（专业技能证）"</f>
        <v>社工证（专业技能证）</v>
      </c>
      <c r="I2881" s="1" t="str">
        <f>"201909—202307   在商丘师范学院法学院社工证专业就读，是全日制本科
202309—202507   复兴学校历史老师教学"</f>
        <v>201909—202307   在商丘师范学院法学院社工证专业就读，是全日制本科
202309—202507   复兴学校历史老师教学</v>
      </c>
    </row>
    <row r="2882" spans="1:9">
      <c r="A2882" s="1" t="str">
        <f>"41138120020920357X"</f>
        <v>41138120020920357X</v>
      </c>
      <c r="B2882" s="1" t="str">
        <f t="shared" si="1423"/>
        <v>共青团员</v>
      </c>
      <c r="C2882" s="1" t="str">
        <f>"专科"</f>
        <v>专科</v>
      </c>
      <c r="D2882" s="1" t="str">
        <f>"20250615"</f>
        <v>20250615</v>
      </c>
      <c r="E2882" s="1" t="str">
        <f>"南阳职业院校"</f>
        <v>南阳职业院校</v>
      </c>
      <c r="F2882" s="1" t="str">
        <f>"计算机网络技术"</f>
        <v>计算机网络技术</v>
      </c>
      <c r="G2882" s="1" t="str">
        <f>"河南省邓州市赵集镇"</f>
        <v>河南省邓州市赵集镇</v>
      </c>
      <c r="H2882" s="1" t="str">
        <f t="shared" ref="H2882:H2885" si="1424">"无"</f>
        <v>无</v>
      </c>
      <c r="I2882" s="1" t="str">
        <f>"202209-202506 南阳职业学院就读 在计算机信息与技术学院计算机网络技术就读 是全日制学历"</f>
        <v>202209-202506 南阳职业学院就读 在计算机信息与技术学院计算机网络技术就读 是全日制学历</v>
      </c>
    </row>
    <row r="2883" spans="1:9">
      <c r="A2883" s="1" t="str">
        <f>"342201199803017294"</f>
        <v>342201199803017294</v>
      </c>
      <c r="B2883" s="1" t="str">
        <f t="shared" ref="B2883:B2886" si="1425">"群众"</f>
        <v>群众</v>
      </c>
      <c r="C2883" s="1" t="str">
        <f t="shared" ref="C2883:C2888" si="1426">"本科"</f>
        <v>本科</v>
      </c>
      <c r="D2883" s="1" t="str">
        <f>"20210622"</f>
        <v>20210622</v>
      </c>
      <c r="E2883" s="1" t="str">
        <f>"河海大学文天学院"</f>
        <v>河海大学文天学院</v>
      </c>
      <c r="F2883" s="1" t="str">
        <f>"土木工程"</f>
        <v>土木工程</v>
      </c>
      <c r="G2883" s="1" t="str">
        <f>"安徽省宿州市埇桥区解集乡前李村"</f>
        <v>安徽省宿州市埇桥区解集乡前李村</v>
      </c>
      <c r="H2883" s="1" t="str">
        <f t="shared" si="1424"/>
        <v>无</v>
      </c>
      <c r="I2883" s="1" t="str">
        <f>"201709-202106 河海大学文天学院土木工程系土木工程专业 就读
20216-至今 待业
"</f>
        <v>201709-202106 河海大学文天学院土木工程系土木工程专业 就读
20216-至今 待业
</v>
      </c>
    </row>
    <row r="2884" spans="1:9">
      <c r="A2884" s="1" t="str">
        <f>"411325200208151551"</f>
        <v>411325200208151551</v>
      </c>
      <c r="B2884" s="1" t="str">
        <f t="shared" ref="B2884:B2888" si="1427">"共青团员"</f>
        <v>共青团员</v>
      </c>
      <c r="C2884" s="1" t="str">
        <f>"专科"</f>
        <v>专科</v>
      </c>
      <c r="D2884" s="1" t="str">
        <f>"20230701"</f>
        <v>20230701</v>
      </c>
      <c r="E2884" s="1" t="str">
        <f>"郑州电力职业技术学院"</f>
        <v>郑州电力职业技术学院</v>
      </c>
      <c r="F2884" s="1" t="str">
        <f>"工程造价"</f>
        <v>工程造价</v>
      </c>
      <c r="G2884" s="1" t="str">
        <f>"河南省南阳市内乡县"</f>
        <v>河南省南阳市内乡县</v>
      </c>
      <c r="H2884" s="1" t="str">
        <f t="shared" si="1424"/>
        <v>无</v>
      </c>
      <c r="I2884" s="1" t="str">
        <f>"202009-202307郑州电力职业技术学院建筑工程学院工程造价就读全日制学历，202209-202409服役于32144部队"</f>
        <v>202009-202307郑州电力职业技术学院建筑工程学院工程造价就读全日制学历，202209-202409服役于32144部队</v>
      </c>
    </row>
    <row r="2885" spans="1:9">
      <c r="A2885" s="1" t="str">
        <f>"412801199803071734"</f>
        <v>412801199803071734</v>
      </c>
      <c r="B2885" s="1" t="str">
        <f t="shared" si="1425"/>
        <v>群众</v>
      </c>
      <c r="C2885" s="1" t="str">
        <f t="shared" si="1426"/>
        <v>本科</v>
      </c>
      <c r="D2885" s="1" t="str">
        <f>"20220701"</f>
        <v>20220701</v>
      </c>
      <c r="E2885" s="1" t="str">
        <f>"郑州经贸学院"</f>
        <v>郑州经贸学院</v>
      </c>
      <c r="F2885" s="1" t="str">
        <f>"电气工程及其自动化"</f>
        <v>电气工程及其自动化</v>
      </c>
      <c r="G2885" s="1" t="str">
        <f>"河南省驻马店市驿城区"</f>
        <v>河南省驻马店市驿城区</v>
      </c>
      <c r="H2885" s="1" t="str">
        <f t="shared" si="1424"/>
        <v>无</v>
      </c>
      <c r="I2885" s="1" t="str">
        <f>"202009-202207在郑州经贸学院智慧制造学院电气工程及其自动化专业就读，全日制本科
201709-202007在郑州理工职业学院机电工程系电气自动化专业就读，全日制专科
201409-201707在驻马店市第一高级中学就读
201009-201407在驻马店市第一初级中学就读
200409-201007在卓庙小学就读"</f>
        <v>202009-202207在郑州经贸学院智慧制造学院电气工程及其自动化专业就读，全日制本科
201709-202007在郑州理工职业学院机电工程系电气自动化专业就读，全日制专科
201409-201707在驻马店市第一高级中学就读
201009-201407在驻马店市第一初级中学就读
200409-201007在卓庙小学就读</v>
      </c>
    </row>
    <row r="2886" spans="1:9">
      <c r="A2886" s="1" t="str">
        <f>"411327199705210011"</f>
        <v>411327199705210011</v>
      </c>
      <c r="B2886" s="1" t="str">
        <f t="shared" si="1425"/>
        <v>群众</v>
      </c>
      <c r="C2886" s="1" t="str">
        <f t="shared" si="1426"/>
        <v>本科</v>
      </c>
      <c r="D2886" s="1" t="str">
        <f>"20190701"</f>
        <v>20190701</v>
      </c>
      <c r="E2886" s="1" t="str">
        <f>"河南财经政法大学"</f>
        <v>河南财经政法大学</v>
      </c>
      <c r="F2886" s="1" t="str">
        <f>"人文地理与城乡规划"</f>
        <v>人文地理与城乡规划</v>
      </c>
      <c r="G2886" s="1" t="str">
        <f>"河南省内乡县城关镇渚阳大街南十二巷"</f>
        <v>河南省内乡县城关镇渚阳大街南十二巷</v>
      </c>
      <c r="H2886" s="1" t="str">
        <f>"法律职业资格证A证"</f>
        <v>法律职业资格证A证</v>
      </c>
      <c r="I2886" s="1" t="str">
        <f>"201509-201906 河南财经政法大学资源与环境学院人文地理与城乡规划专业 就读。
201906-202507 自由职业。"</f>
        <v>201509-201906 河南财经政法大学资源与环境学院人文地理与城乡规划专业 就读。
201906-202507 自由职业。</v>
      </c>
    </row>
    <row r="2887" spans="1:9">
      <c r="A2887" s="1" t="str">
        <f>"411325200009214927"</f>
        <v>411325200009214927</v>
      </c>
      <c r="B2887" s="1" t="str">
        <f t="shared" si="1427"/>
        <v>共青团员</v>
      </c>
      <c r="C2887" s="1" t="str">
        <f t="shared" si="1426"/>
        <v>本科</v>
      </c>
      <c r="D2887" s="1" t="str">
        <f>"20250620"</f>
        <v>20250620</v>
      </c>
      <c r="E2887" s="1" t="str">
        <f>"新疆天山职业技术大学"</f>
        <v>新疆天山职业技术大学</v>
      </c>
      <c r="F2887" s="1" t="str">
        <f>"智能制造工程技术"</f>
        <v>智能制造工程技术</v>
      </c>
      <c r="G2887" s="1" t="str">
        <f>"河南省内乡县湍东镇东王营村"</f>
        <v>河南省内乡县湍东镇东王营村</v>
      </c>
      <c r="H2887" s="1" t="str">
        <f t="shared" ref="H2887:H2889" si="1428">"无"</f>
        <v>无</v>
      </c>
      <c r="I2887" s="1" t="str">
        <f>"202109-202506新疆天山职业技术大学 智能工程学院 智能制造专业就读"</f>
        <v>202109-202506新疆天山职业技术大学 智能工程学院 智能制造专业就读</v>
      </c>
    </row>
    <row r="2888" spans="1:9">
      <c r="A2888" s="1" t="str">
        <f>"411330200203301523"</f>
        <v>411330200203301523</v>
      </c>
      <c r="B2888" s="1" t="str">
        <f t="shared" si="1427"/>
        <v>共青团员</v>
      </c>
      <c r="C2888" s="1" t="str">
        <f t="shared" si="1426"/>
        <v>本科</v>
      </c>
      <c r="D2888" s="1" t="str">
        <f>"20240630"</f>
        <v>20240630</v>
      </c>
      <c r="E2888" s="1" t="str">
        <f>"中国地质大学（武汉）"</f>
        <v>中国地质大学（武汉）</v>
      </c>
      <c r="F2888" s="1" t="str">
        <f>"公共事业管理"</f>
        <v>公共事业管理</v>
      </c>
      <c r="G2888" s="1" t="str">
        <f>"河南省南阳市西峡县紫金街道凯撒皇宫后仁颐嘉苑"</f>
        <v>河南省南阳市西峡县紫金街道凯撒皇宫后仁颐嘉苑</v>
      </c>
      <c r="H2888" s="1" t="str">
        <f t="shared" si="1428"/>
        <v>无</v>
      </c>
      <c r="I2888" s="1" t="str">
        <f>"202009-202406 中国地质大学（武汉）公共管理学院公共事业管理专业就读，全日制本科。
202406至今 待业"</f>
        <v>202009-202406 中国地质大学（武汉）公共管理学院公共事业管理专业就读，全日制本科。
202406至今 待业</v>
      </c>
    </row>
    <row r="2889" spans="1:9">
      <c r="A2889" s="1" t="str">
        <f>"342221199601217410"</f>
        <v>342221199601217410</v>
      </c>
      <c r="B2889" s="1" t="str">
        <f>"群众"</f>
        <v>群众</v>
      </c>
      <c r="C2889" s="1" t="str">
        <f>"专科"</f>
        <v>专科</v>
      </c>
      <c r="D2889" s="1" t="str">
        <f>"20240701"</f>
        <v>20240701</v>
      </c>
      <c r="E2889" s="1" t="str">
        <f>"民办合肥财经职业学院"</f>
        <v>民办合肥财经职业学院</v>
      </c>
      <c r="F2889" s="1" t="str">
        <f>"计算机网络技术"</f>
        <v>计算机网络技术</v>
      </c>
      <c r="G2889" s="1" t="str">
        <f>"安徽省宿州市砀山县南关供电局对面企业局宿舍楼"</f>
        <v>安徽省宿州市砀山县南关供电局对面企业局宿舍楼</v>
      </c>
      <c r="H2889" s="1" t="str">
        <f t="shared" si="1428"/>
        <v>无</v>
      </c>
      <c r="I2889" s="1" t="str">
        <f>"202110-202407民办合肥财经职业学院 计算机网络技术专业就读（全日制）
202407-至今 待业"</f>
        <v>202110-202407民办合肥财经职业学院 计算机网络技术专业就读（全日制）
202407-至今 待业</v>
      </c>
    </row>
    <row r="2890" spans="1:9">
      <c r="A2890" s="1" t="str">
        <f>"410223199803165515"</f>
        <v>410223199803165515</v>
      </c>
      <c r="B2890" s="1" t="str">
        <f t="shared" ref="B2890:B2895" si="1429">"中共党员"</f>
        <v>中共党员</v>
      </c>
      <c r="C2890" s="1" t="str">
        <f t="shared" ref="C2890:C2896" si="1430">"本科"</f>
        <v>本科</v>
      </c>
      <c r="D2890" s="1" t="str">
        <f>"20200701"</f>
        <v>20200701</v>
      </c>
      <c r="E2890" s="1" t="str">
        <f>"中原工学院信息商务学院"</f>
        <v>中原工学院信息商务学院</v>
      </c>
      <c r="F2890" s="1" t="str">
        <f>"广播电视编导"</f>
        <v>广播电视编导</v>
      </c>
      <c r="G2890" s="1" t="str">
        <f>"河南省濮阳市华龙区五一路绿景小区8号楼3单元1号"</f>
        <v>河南省濮阳市华龙区五一路绿景小区8号楼3单元1号</v>
      </c>
      <c r="H2890" s="1" t="str">
        <f>"AFSC遥控航空模型飞行员执照"</f>
        <v>AFSC遥控航空模型飞行员执照</v>
      </c>
      <c r="I2890" s="1" t="str">
        <f>"2016.09--2020.07 中原工学院信息商务学院 政法与传媒系广播电视编导专业
2020.07--2020.09 郑州待业
2020.09--2021.06 河南先斌影视传媒有限公司
2021.07--2022.07 河南波浪线文化传媒有限公司
2022.07--2023.03 信泰人寿保险股份有限公司河南分公司
2023.04--2025.03 河南阿森买个车汽车服务有限公司
2025.03--至今        郑州待业"</f>
        <v>2016.09--2020.07 中原工学院信息商务学院 政法与传媒系广播电视编导专业
2020.07--2020.09 郑州待业
2020.09--2021.06 河南先斌影视传媒有限公司
2021.07--2022.07 河南波浪线文化传媒有限公司
2022.07--2023.03 信泰人寿保险股份有限公司河南分公司
2023.04--2025.03 河南阿森买个车汽车服务有限公司
2025.03--至今        郑州待业</v>
      </c>
    </row>
    <row r="2891" spans="1:9">
      <c r="A2891" s="1" t="str">
        <f>"411327200112221124"</f>
        <v>411327200112221124</v>
      </c>
      <c r="B2891" s="1" t="str">
        <f>"共青团员"</f>
        <v>共青团员</v>
      </c>
      <c r="C2891" s="1" t="str">
        <f t="shared" si="1430"/>
        <v>本科</v>
      </c>
      <c r="D2891" s="1" t="str">
        <f>"20250701"</f>
        <v>20250701</v>
      </c>
      <c r="E2891" s="1" t="str">
        <f>"河南财经政法大学"</f>
        <v>河南财经政法大学</v>
      </c>
      <c r="F2891" s="1" t="str">
        <f>"信息管理与信息系统"</f>
        <v>信息管理与信息系统</v>
      </c>
      <c r="G2891" s="1" t="str">
        <f>"河南省南阳市内乡县赤眉镇赤眉街张吕洼村"</f>
        <v>河南省南阳市内乡县赤眉镇赤眉街张吕洼村</v>
      </c>
      <c r="H2891" s="1" t="str">
        <f>"人力资源管理证书"</f>
        <v>人力资源管理证书</v>
      </c>
      <c r="I2891" s="1" t="str">
        <f>"202309-202507 河南财经政法大学 就读，是全日制学历
202009 202307 开封文化艺术职业学院 就读，是全日制学历
2017090-202007 内乡实验高中就读
201409-201707 赤眉一初中就读
200809-201407 赤眉完小就读"</f>
        <v>202309-202507 河南财经政法大学 就读，是全日制学历
202009 202307 开封文化艺术职业学院 就读，是全日制学历
2017090-202007 内乡实验高中就读
201409-201707 赤眉一初中就读
200809-201407 赤眉完小就读</v>
      </c>
    </row>
    <row r="2892" spans="1:9">
      <c r="A2892" s="1" t="str">
        <f>"411303200304260178"</f>
        <v>411303200304260178</v>
      </c>
      <c r="B2892" s="1" t="str">
        <f>"群众"</f>
        <v>群众</v>
      </c>
      <c r="C2892" s="1" t="str">
        <f>"专科"</f>
        <v>专科</v>
      </c>
      <c r="D2892" s="1" t="str">
        <f>"20220630"</f>
        <v>20220630</v>
      </c>
      <c r="E2892" s="1" t="str">
        <f>"河南工业职业技术学院"</f>
        <v>河南工业职业技术学院</v>
      </c>
      <c r="F2892" s="1" t="str">
        <f>"计算机应用技术"</f>
        <v>计算机应用技术</v>
      </c>
      <c r="G2892" s="1" t="str">
        <f>"河南省南阳市卧龙区王村乡王村村355号"</f>
        <v>河南省南阳市卧龙区王村乡王村村355号</v>
      </c>
      <c r="H2892" s="1" t="str">
        <f t="shared" ref="H2892:H2895" si="1431">"无"</f>
        <v>无</v>
      </c>
      <c r="I2892" s="1" t="str">
        <f>"2017-2022河南工业职业技术学院 学生
现待业"</f>
        <v>2017-2022河南工业职业技术学院 学生
现待业</v>
      </c>
    </row>
    <row r="2893" spans="1:9">
      <c r="A2893" s="1" t="str">
        <f>"411330200205283429"</f>
        <v>411330200205283429</v>
      </c>
      <c r="B2893" s="1" t="str">
        <f t="shared" si="1429"/>
        <v>中共党员</v>
      </c>
      <c r="C2893" s="1" t="str">
        <f t="shared" si="1430"/>
        <v>本科</v>
      </c>
      <c r="D2893" s="1" t="str">
        <f>"20240701"</f>
        <v>20240701</v>
      </c>
      <c r="E2893" s="1" t="str">
        <f>"西安理工大学高科学院"</f>
        <v>西安理工大学高科学院</v>
      </c>
      <c r="F2893" s="1" t="str">
        <f>"英语"</f>
        <v>英语</v>
      </c>
      <c r="G2893" s="1" t="str">
        <f>"河南省南阳市西峡县西坪镇峡河村"</f>
        <v>河南省南阳市西峡县西坪镇峡河村</v>
      </c>
      <c r="H2893" s="1" t="str">
        <f t="shared" si="1431"/>
        <v>无</v>
      </c>
      <c r="I2893" s="1" t="str">
        <f>"202009-202407 西安理工大学高科学院 就读
202407-至今 待业"</f>
        <v>202009-202407 西安理工大学高科学院 就读
202407-至今 待业</v>
      </c>
    </row>
    <row r="2894" spans="1:9">
      <c r="A2894" s="1" t="str">
        <f>"411381199106044531"</f>
        <v>411381199106044531</v>
      </c>
      <c r="B2894" s="1" t="str">
        <f t="shared" si="1429"/>
        <v>中共党员</v>
      </c>
      <c r="C2894" s="1" t="str">
        <f t="shared" si="1430"/>
        <v>本科</v>
      </c>
      <c r="D2894" s="1" t="str">
        <f>"20250701"</f>
        <v>20250701</v>
      </c>
      <c r="E2894" s="1" t="str">
        <f>"武汉科技大学"</f>
        <v>武汉科技大学</v>
      </c>
      <c r="F2894" s="1" t="str">
        <f>"市场营销"</f>
        <v>市场营销</v>
      </c>
      <c r="G2894" s="1" t="str">
        <f>"河南省邓州市花洲街道雷锋路杨柿园"</f>
        <v>河南省邓州市花洲街道雷锋路杨柿园</v>
      </c>
      <c r="H2894" s="1" t="str">
        <f t="shared" si="1431"/>
        <v>无</v>
      </c>
      <c r="I2894" s="1" t="str">
        <f>"201709-201907国家开放大学就读专科
201909-至今邓州市花洲街道蓝湾社区工作（期间，202305-202507武汉科技大学就读本科）
"</f>
        <v>201709-201907国家开放大学就读专科
201909-至今邓州市花洲街道蓝湾社区工作（期间，202305-202507武汉科技大学就读本科）
</v>
      </c>
    </row>
    <row r="2895" spans="1:9">
      <c r="A2895" s="1" t="str">
        <f>"412822200009290072"</f>
        <v>412822200009290072</v>
      </c>
      <c r="B2895" s="1" t="str">
        <f t="shared" si="1429"/>
        <v>中共党员</v>
      </c>
      <c r="C2895" s="1" t="str">
        <f t="shared" si="1430"/>
        <v>本科</v>
      </c>
      <c r="D2895" s="1" t="str">
        <f t="shared" ref="D2895:D2899" si="1432">"20230701"</f>
        <v>20230701</v>
      </c>
      <c r="E2895" s="1" t="str">
        <f>"北京工商大学嘉华学院"</f>
        <v>北京工商大学嘉华学院</v>
      </c>
      <c r="F2895" s="1" t="str">
        <f>"投资学"</f>
        <v>投资学</v>
      </c>
      <c r="G2895" s="1" t="str">
        <f>"河南省驻马店市泌阳县铜山湖大道深宇百盛园10号楼1单元101"</f>
        <v>河南省驻马店市泌阳县铜山湖大道深宇百盛园10号楼1单元101</v>
      </c>
      <c r="H2895" s="1" t="str">
        <f t="shared" si="1431"/>
        <v>无</v>
      </c>
      <c r="I2895" s="1" t="str">
        <f>"20170901-20200701 北京工商大学嘉华学院 就读
20200901-20220901 中国人民解放军63710部队 服役
20220901-20230701 北京工商大学嘉华学院 就读
20230701-至今 河南省驻马店市泌阳县 待业"</f>
        <v>20170901-20200701 北京工商大学嘉华学院 就读
20200901-20220901 中国人民解放军63710部队 服役
20220901-20230701 北京工商大学嘉华学院 就读
20230701-至今 河南省驻马店市泌阳县 待业</v>
      </c>
    </row>
    <row r="2896" spans="1:9">
      <c r="A2896" s="1" t="str">
        <f>"411327199508260028"</f>
        <v>411327199508260028</v>
      </c>
      <c r="B2896" s="1" t="str">
        <f t="shared" ref="B2896:B2899" si="1433">"群众"</f>
        <v>群众</v>
      </c>
      <c r="C2896" s="1" t="str">
        <f t="shared" si="1430"/>
        <v>本科</v>
      </c>
      <c r="D2896" s="1" t="str">
        <f>"20180704"</f>
        <v>20180704</v>
      </c>
      <c r="E2896" s="1" t="str">
        <f>"西安理工大学高科学院"</f>
        <v>西安理工大学高科学院</v>
      </c>
      <c r="F2896" s="1" t="str">
        <f>"机械设计制造及自动化"</f>
        <v>机械设计制造及自动化</v>
      </c>
      <c r="G2896" s="1" t="str">
        <f>"河南省内乡县城关镇宏达北路12号"</f>
        <v>河南省内乡县城关镇宏达北路12号</v>
      </c>
      <c r="H2896" s="1" t="str">
        <f>"计算机二级"</f>
        <v>计算机二级</v>
      </c>
      <c r="I2896" s="1" t="str">
        <f>"201409-201807 西安理工大学高科学院就读 机械设计制造及自动化专业 全日制本科
201807-201904 河南省南阳市内乡县待业
201904至今 河南省内乡县人民法院辅警"</f>
        <v>201409-201807 西安理工大学高科学院就读 机械设计制造及自动化专业 全日制本科
201807-201904 河南省南阳市内乡县待业
201904至今 河南省内乡县人民法院辅警</v>
      </c>
    </row>
    <row r="2897" spans="1:9">
      <c r="A2897" s="1" t="str">
        <f>"411327200202220010"</f>
        <v>411327200202220010</v>
      </c>
      <c r="B2897" s="1" t="str">
        <f t="shared" ref="B2897:B2902" si="1434">"共青团员"</f>
        <v>共青团员</v>
      </c>
      <c r="C2897" s="1" t="str">
        <f>"专科"</f>
        <v>专科</v>
      </c>
      <c r="D2897" s="1" t="str">
        <f t="shared" si="1432"/>
        <v>20230701</v>
      </c>
      <c r="E2897" s="1" t="str">
        <f>"许昌职业技术学院"</f>
        <v>许昌职业技术学院</v>
      </c>
      <c r="F2897" s="1" t="str">
        <f>"计算机网络技术"</f>
        <v>计算机网络技术</v>
      </c>
      <c r="G2897" s="1" t="str">
        <f>"河南省南阳市内乡县"</f>
        <v>河南省南阳市内乡县</v>
      </c>
      <c r="H2897" s="1" t="str">
        <f t="shared" ref="H2897:H2905" si="1435">"无"</f>
        <v>无</v>
      </c>
      <c r="I2897" s="1" t="str">
        <f>"2020.09--2023.06  许昌职业技术学院计算机网络技术专业就读是全日制学历
2023.06--2023.11  待业
2023.11--         河南省内乡县大桥乡人民政府职工（劳务派遣）（其间：2024.03--2026.06 河南开封科技传媒学院计算机科学与技术专业函授本科学习）"</f>
        <v>2020.09--2023.06  许昌职业技术学院计算机网络技术专业就读是全日制学历
2023.06--2023.11  待业
2023.11--         河南省内乡县大桥乡人民政府职工（劳务派遣）（其间：2024.03--2026.06 河南开封科技传媒学院计算机科学与技术专业函授本科学习）</v>
      </c>
    </row>
    <row r="2898" spans="1:9">
      <c r="A2898" s="1" t="str">
        <f>"41132720000202252X"</f>
        <v>41132720000202252X</v>
      </c>
      <c r="B2898" s="1" t="str">
        <f t="shared" si="1433"/>
        <v>群众</v>
      </c>
      <c r="C2898" s="1" t="str">
        <f t="shared" ref="C2898:C2902" si="1436">"本科"</f>
        <v>本科</v>
      </c>
      <c r="D2898" s="1" t="str">
        <f t="shared" si="1432"/>
        <v>20230701</v>
      </c>
      <c r="E2898" s="1" t="str">
        <f>"新乡工程学院"</f>
        <v>新乡工程学院</v>
      </c>
      <c r="F2898" s="1" t="str">
        <f>"酒店管理"</f>
        <v>酒店管理</v>
      </c>
      <c r="G2898" s="1" t="str">
        <f>"河南省南阳市内乡县"</f>
        <v>河南省南阳市内乡县</v>
      </c>
      <c r="H2898" s="1" t="str">
        <f>"茶艺师四级证，调酒师三级证"</f>
        <v>茶艺师四级证，调酒师三级证</v>
      </c>
      <c r="I2898" s="1" t="str">
        <f>"201809-202109 信阳职业技术学院 经济管理学院酒店管理专业 全日制
202109-202309  新乡工程学院 食品工程学院酒店管理专业 全日制"</f>
        <v>201809-202109 信阳职业技术学院 经济管理学院酒店管理专业 全日制
202109-202309  新乡工程学院 食品工程学院酒店管理专业 全日制</v>
      </c>
    </row>
    <row r="2899" spans="1:9">
      <c r="A2899" s="1" t="str">
        <f>"411381200206041237"</f>
        <v>411381200206041237</v>
      </c>
      <c r="B2899" s="1" t="str">
        <f t="shared" si="1433"/>
        <v>群众</v>
      </c>
      <c r="C2899" s="1" t="str">
        <f>"专科"</f>
        <v>专科</v>
      </c>
      <c r="D2899" s="1" t="str">
        <f t="shared" si="1432"/>
        <v>20230701</v>
      </c>
      <c r="E2899" s="1" t="str">
        <f>"郑州电力高等专科学校"</f>
        <v>郑州电力高等专科学校</v>
      </c>
      <c r="F2899" s="1" t="str">
        <f>"数控技术"</f>
        <v>数控技术</v>
      </c>
      <c r="G2899" s="1" t="str">
        <f>"河南省南阳市邓州市小杨营镇"</f>
        <v>河南省南阳市邓州市小杨营镇</v>
      </c>
      <c r="H2899" s="1" t="str">
        <f t="shared" si="1435"/>
        <v>无</v>
      </c>
      <c r="I2899" s="1" t="str">
        <f>"20200901 郑州电力高等专科学校 数控技术 专业 就读
20230701 郑州电力高等专科学校 大专毕业
"</f>
        <v>20200901 郑州电力高等专科学校 数控技术 专业 就读
20230701 郑州电力高等专科学校 大专毕业
</v>
      </c>
    </row>
    <row r="2900" spans="1:9">
      <c r="A2900" s="1" t="str">
        <f>"411327200403262604"</f>
        <v>411327200403262604</v>
      </c>
      <c r="B2900" s="1" t="str">
        <f t="shared" si="1434"/>
        <v>共青团员</v>
      </c>
      <c r="C2900" s="1" t="str">
        <f t="shared" si="1436"/>
        <v>本科</v>
      </c>
      <c r="D2900" s="1" t="str">
        <f>"20250601"</f>
        <v>20250601</v>
      </c>
      <c r="E2900" s="1" t="str">
        <f>"信阳师范大学"</f>
        <v>信阳师范大学</v>
      </c>
      <c r="F2900" s="1" t="str">
        <f>"思想政治教育"</f>
        <v>思想政治教育</v>
      </c>
      <c r="G2900" s="1" t="str">
        <f>"河南省内乡县城关镇花园南路1号巷内"</f>
        <v>河南省内乡县城关镇花园南路1号巷内</v>
      </c>
      <c r="H2900" s="1" t="str">
        <f t="shared" si="1435"/>
        <v>无</v>
      </c>
      <c r="I2900" s="1" t="str">
        <f>"202109-202506在信阳师范大学马克思主义学院思想政治教育专业就读"</f>
        <v>202109-202506在信阳师范大学马克思主义学院思想政治教育专业就读</v>
      </c>
    </row>
    <row r="2901" spans="1:9">
      <c r="A2901" s="1" t="str">
        <f>"411327200011184512"</f>
        <v>411327200011184512</v>
      </c>
      <c r="B2901" s="1" t="str">
        <f t="shared" si="1434"/>
        <v>共青团员</v>
      </c>
      <c r="C2901" s="1" t="str">
        <f t="shared" si="1436"/>
        <v>本科</v>
      </c>
      <c r="D2901" s="1" t="str">
        <f>"20220701"</f>
        <v>20220701</v>
      </c>
      <c r="E2901" s="1" t="str">
        <f>"黄河科技学院"</f>
        <v>黄河科技学院</v>
      </c>
      <c r="F2901" s="1" t="str">
        <f>"材料成型及控制工程"</f>
        <v>材料成型及控制工程</v>
      </c>
      <c r="G2901" s="1" t="str">
        <f>"河南省内乡县赵店乡红堰村"</f>
        <v>河南省内乡县赵店乡红堰村</v>
      </c>
      <c r="H2901" s="1" t="str">
        <f t="shared" si="1435"/>
        <v>无</v>
      </c>
      <c r="I2901" s="1" t="str">
        <f>"201809-202207 黄河科技学院 应用技术学院 材料成型及控制工程 就读
全日制学历    
202207-202304内乡县待业   
202304-202306河南华福包装科技有限公司  
202306-202503 中铁四局集团有限公司富平制梁场
202503-至今 中铁四局集团有限公司东山制梁场"</f>
        <v>201809-202207 黄河科技学院 应用技术学院 材料成型及控制工程 就读
全日制学历    
202207-202304内乡县待业   
202304-202306河南华福包装科技有限公司  
202306-202503 中铁四局集团有限公司富平制梁场
202503-至今 中铁四局集团有限公司东山制梁场</v>
      </c>
    </row>
    <row r="2902" spans="1:9">
      <c r="A2902" s="1" t="str">
        <f>"411302200012102315"</f>
        <v>411302200012102315</v>
      </c>
      <c r="B2902" s="1" t="str">
        <f t="shared" si="1434"/>
        <v>共青团员</v>
      </c>
      <c r="C2902" s="1" t="str">
        <f t="shared" si="1436"/>
        <v>本科</v>
      </c>
      <c r="D2902" s="1" t="str">
        <f>"20230607"</f>
        <v>20230607</v>
      </c>
      <c r="E2902" s="1" t="str">
        <f>"温州医科大学"</f>
        <v>温州医科大学</v>
      </c>
      <c r="F2902" s="1" t="str">
        <f>"劳动与社会保障"</f>
        <v>劳动与社会保障</v>
      </c>
      <c r="G2902" s="1" t="str">
        <f>"河南省南阳市卧龙区海棠水岸小区"</f>
        <v>河南省南阳市卧龙区海棠水岸小区</v>
      </c>
      <c r="H2902" s="1" t="str">
        <f t="shared" si="1435"/>
        <v>无</v>
      </c>
      <c r="I2902" s="1" t="str">
        <f>"201909-202306就读于温州医科大学，全日制公共管理类劳动与社会保障专业"</f>
        <v>201909-202306就读于温州医科大学，全日制公共管理类劳动与社会保障专业</v>
      </c>
    </row>
    <row r="2903" spans="1:9">
      <c r="A2903" s="1" t="str">
        <f>"411324200212290910"</f>
        <v>411324200212290910</v>
      </c>
      <c r="B2903" s="1" t="str">
        <f t="shared" ref="B2903:B2906" si="1437">"群众"</f>
        <v>群众</v>
      </c>
      <c r="C2903" s="1" t="str">
        <f t="shared" ref="C2903:C2908" si="1438">"专科"</f>
        <v>专科</v>
      </c>
      <c r="D2903" s="1" t="str">
        <f>"20250701"</f>
        <v>20250701</v>
      </c>
      <c r="E2903" s="1" t="str">
        <f>"郑州铁路职业技术学院"</f>
        <v>郑州铁路职业技术学院</v>
      </c>
      <c r="F2903" s="1" t="str">
        <f>"城市轨道交通通信信号技术（信号技术方向）"</f>
        <v>城市轨道交通通信信号技术（信号技术方向）</v>
      </c>
      <c r="G2903" s="1" t="str">
        <f>"河南省南阳市镇平县健康路南段茗香园茶社附近"</f>
        <v>河南省南阳市镇平县健康路南段茗香园茶社附近</v>
      </c>
      <c r="H2903" s="1" t="str">
        <f t="shared" si="1435"/>
        <v>无</v>
      </c>
      <c r="I2903" s="1" t="str">
        <f>"2022年9月—2025年7月  郑州铁路职业技术学院  城市轨道交通通信信号技术专业  就读   全日制专科学历"</f>
        <v>2022年9月—2025年7月  郑州铁路职业技术学院  城市轨道交通通信信号技术专业  就读   全日制专科学历</v>
      </c>
    </row>
    <row r="2904" spans="1:9">
      <c r="A2904" s="1" t="str">
        <f>"411330200306251151"</f>
        <v>411330200306251151</v>
      </c>
      <c r="B2904" s="1" t="str">
        <f t="shared" ref="B2904:B2912" si="1439">"共青团员"</f>
        <v>共青团员</v>
      </c>
      <c r="C2904" s="1" t="str">
        <f t="shared" ref="C2904:C2907" si="1440">"本科"</f>
        <v>本科</v>
      </c>
      <c r="D2904" s="1" t="str">
        <f>"20250630"</f>
        <v>20250630</v>
      </c>
      <c r="E2904" s="1" t="str">
        <f>"江西农业大学"</f>
        <v>江西农业大学</v>
      </c>
      <c r="F2904" s="1" t="str">
        <f>"农业水利工程"</f>
        <v>农业水利工程</v>
      </c>
      <c r="G2904" s="1" t="str">
        <f>"河南省南阳市西峡县莲花贾营"</f>
        <v>河南省南阳市西峡县莲花贾营</v>
      </c>
      <c r="H2904" s="1" t="str">
        <f t="shared" si="1435"/>
        <v>无</v>
      </c>
      <c r="I2904" s="1" t="str">
        <f>"202109-202506 江西农业大学就读"</f>
        <v>202109-202506 江西农业大学就读</v>
      </c>
    </row>
    <row r="2905" spans="1:9">
      <c r="A2905" s="1" t="str">
        <f>"411322199301092459"</f>
        <v>411322199301092459</v>
      </c>
      <c r="B2905" s="1" t="str">
        <f t="shared" si="1437"/>
        <v>群众</v>
      </c>
      <c r="C2905" s="1" t="str">
        <f t="shared" si="1438"/>
        <v>专科</v>
      </c>
      <c r="D2905" s="1" t="str">
        <f>"20140630"</f>
        <v>20140630</v>
      </c>
      <c r="E2905" s="1" t="str">
        <f>"河北美术学院"</f>
        <v>河北美术学院</v>
      </c>
      <c r="F2905" s="1" t="str">
        <f>"环境艺术设计"</f>
        <v>环境艺术设计</v>
      </c>
      <c r="G2905" s="1" t="str">
        <f>"河南省南阳市宛城区白河镇枣林村999号"</f>
        <v>河南省南阳市宛城区白河镇枣林村999号</v>
      </c>
      <c r="H2905" s="1" t="str">
        <f t="shared" si="1435"/>
        <v>无</v>
      </c>
      <c r="I2905" s="1" t="str">
        <f>"2024年7月~至今 南阳 待业
2011年9月~2014年7月 河北美术学院 环境艺术设计专业就读"</f>
        <v>2024年7月~至今 南阳 待业
2011年9月~2014年7月 河北美术学院 环境艺术设计专业就读</v>
      </c>
    </row>
    <row r="2906" spans="1:9">
      <c r="A2906" s="1" t="str">
        <f>"410325200304189903"</f>
        <v>410325200304189903</v>
      </c>
      <c r="B2906" s="1" t="str">
        <f t="shared" si="1437"/>
        <v>群众</v>
      </c>
      <c r="C2906" s="1" t="str">
        <f t="shared" si="1440"/>
        <v>本科</v>
      </c>
      <c r="D2906" s="1" t="str">
        <f>"20250701"</f>
        <v>20250701</v>
      </c>
      <c r="E2906" s="1" t="str">
        <f>"洛阳理工学院"</f>
        <v>洛阳理工学院</v>
      </c>
      <c r="F2906" s="1" t="str">
        <f>"汉语言文学"</f>
        <v>汉语言文学</v>
      </c>
      <c r="G2906" s="1" t="str">
        <f>"河南省洛阳市嵩县城关镇碧波云景小区"</f>
        <v>河南省洛阳市嵩县城关镇碧波云景小区</v>
      </c>
      <c r="H2906" s="1" t="str">
        <f>"大学英语四级"</f>
        <v>大学英语四级</v>
      </c>
      <c r="I2906" s="1" t="str">
        <f>"202109-202507 洛阳理工学院就读"</f>
        <v>202109-202507 洛阳理工学院就读</v>
      </c>
    </row>
    <row r="2907" spans="1:9">
      <c r="A2907" s="1" t="str">
        <f>"410181200009298736"</f>
        <v>410181200009298736</v>
      </c>
      <c r="B2907" s="1" t="str">
        <f t="shared" si="1439"/>
        <v>共青团员</v>
      </c>
      <c r="C2907" s="1" t="str">
        <f t="shared" si="1440"/>
        <v>本科</v>
      </c>
      <c r="D2907" s="1" t="str">
        <f>"20230701"</f>
        <v>20230701</v>
      </c>
      <c r="E2907" s="1" t="str">
        <f>"安阳工学院"</f>
        <v>安阳工学院</v>
      </c>
      <c r="F2907" s="1" t="str">
        <f>"国际经济与贸易"</f>
        <v>国际经济与贸易</v>
      </c>
      <c r="G2907" s="1" t="str">
        <f>"河南省开封市兰考县普惠金融中心"</f>
        <v>河南省开封市兰考县普惠金融中心</v>
      </c>
      <c r="H2907" s="1" t="str">
        <f>"初级会计证"</f>
        <v>初级会计证</v>
      </c>
      <c r="I2907" s="1" t="str">
        <f>"201909-202307安阳工学院 商学院 国际经济与贸易专业就读，全日制学历
202307-202308益海嘉里（广州）食品工业有限公司
202308-202310待业
202310-202504兰考县城市建设投资发展有限公司
202505-至今兰考县投资集团有限公司"</f>
        <v>201909-202307安阳工学院 商学院 国际经济与贸易专业就读，全日制学历
202307-202308益海嘉里（广州）食品工业有限公司
202308-202310待业
202310-202504兰考县城市建设投资发展有限公司
202505-至今兰考县投资集团有限公司</v>
      </c>
    </row>
    <row r="2908" spans="1:9">
      <c r="A2908" s="1" t="str">
        <f>"411302199007110833"</f>
        <v>411302199007110833</v>
      </c>
      <c r="B2908" s="1" t="str">
        <f>"中共党员"</f>
        <v>中共党员</v>
      </c>
      <c r="C2908" s="1" t="str">
        <f t="shared" si="1438"/>
        <v>专科</v>
      </c>
      <c r="D2908" s="1" t="str">
        <f>"2018年6月"</f>
        <v>2018年6月</v>
      </c>
      <c r="E2908" s="1" t="str">
        <f>"南阳农业职业学院"</f>
        <v>南阳农业职业学院</v>
      </c>
      <c r="F2908" s="1" t="str">
        <f>"机电会计一体化"</f>
        <v>机电会计一体化</v>
      </c>
      <c r="G2908" s="1" t="str">
        <f>"宛城区"</f>
        <v>宛城区</v>
      </c>
      <c r="H2908" s="1" t="str">
        <f t="shared" ref="H2908:H2919" si="1441">"无"</f>
        <v>无</v>
      </c>
      <c r="I2908" s="1" t="str">
        <f>"201509——201806在河南南阳农业职业学院就读。全日制大专学历。"</f>
        <v>201509——201806在河南南阳农业职业学院就读。全日制大专学历。</v>
      </c>
    </row>
    <row r="2909" spans="1:9">
      <c r="A2909" s="1" t="str">
        <f>"411303199710284217"</f>
        <v>411303199710284217</v>
      </c>
      <c r="B2909" s="1" t="str">
        <f t="shared" si="1439"/>
        <v>共青团员</v>
      </c>
      <c r="C2909" s="1" t="str">
        <f>"硕士研究生"</f>
        <v>硕士研究生</v>
      </c>
      <c r="D2909" s="1" t="str">
        <f>"20230616"</f>
        <v>20230616</v>
      </c>
      <c r="E2909" s="1" t="str">
        <f>"天津财经大学"</f>
        <v>天津财经大学</v>
      </c>
      <c r="F2909" s="1" t="str">
        <f>"统计学"</f>
        <v>统计学</v>
      </c>
      <c r="G2909" s="1" t="str">
        <f>"河南省南阳市卧龙区安皋镇"</f>
        <v>河南省南阳市卧龙区安皋镇</v>
      </c>
      <c r="H2909" s="1" t="str">
        <f t="shared" si="1441"/>
        <v>无</v>
      </c>
      <c r="I2909" s="1" t="str">
        <f>"201609-202006天津商业大学 经济学专业
202009-202306天津财经大学 统计学专业
202306-202405微创软件有限公司 前端开发工程师
202406-202412恒宝股份有限公司 前端开发工程师"</f>
        <v>201609-202006天津商业大学 经济学专业
202009-202306天津财经大学 统计学专业
202306-202405微创软件有限公司 前端开发工程师
202406-202412恒宝股份有限公司 前端开发工程师</v>
      </c>
    </row>
    <row r="2910" spans="1:9">
      <c r="A2910" s="1" t="str">
        <f>"411025200112235025"</f>
        <v>411025200112235025</v>
      </c>
      <c r="B2910" s="1" t="str">
        <f t="shared" si="1439"/>
        <v>共青团员</v>
      </c>
      <c r="C2910" s="1" t="str">
        <f t="shared" ref="C2910:C2916" si="1442">"本科"</f>
        <v>本科</v>
      </c>
      <c r="D2910" s="1" t="str">
        <f>"20230630"</f>
        <v>20230630</v>
      </c>
      <c r="E2910" s="1" t="str">
        <f>"上海大学"</f>
        <v>上海大学</v>
      </c>
      <c r="F2910" s="1" t="str">
        <f>"国际经济与贸易"</f>
        <v>国际经济与贸易</v>
      </c>
      <c r="G2910" s="1" t="str">
        <f>"河南省许昌市襄城县实验高中家属院四号楼二单元一楼东户"</f>
        <v>河南省许昌市襄城县实验高中家属院四号楼二单元一楼东户</v>
      </c>
      <c r="H2910" s="1" t="str">
        <f t="shared" si="1441"/>
        <v>无</v>
      </c>
      <c r="I2910" s="1" t="str">
        <f>"201909-202306 在上海大学悉尼工商学院国际经济与贸易专业就读，全日制学历
202306-至今 在家待业"</f>
        <v>201909-202306 在上海大学悉尼工商学院国际经济与贸易专业就读，全日制学历
202306-至今 在家待业</v>
      </c>
    </row>
    <row r="2911" spans="1:9">
      <c r="A2911" s="1" t="str">
        <f>"420116199812283743"</f>
        <v>420116199812283743</v>
      </c>
      <c r="B2911" s="1" t="str">
        <f t="shared" si="1439"/>
        <v>共青团员</v>
      </c>
      <c r="C2911" s="1" t="str">
        <f t="shared" si="1442"/>
        <v>本科</v>
      </c>
      <c r="D2911" s="1" t="str">
        <f>"2020-07-10"</f>
        <v>2020-07-10</v>
      </c>
      <c r="E2911" s="1" t="str">
        <f>"湖北民族大学"</f>
        <v>湖北民族大学</v>
      </c>
      <c r="F2911" s="1" t="str">
        <f>"音乐学"</f>
        <v>音乐学</v>
      </c>
      <c r="G2911" s="1" t="str">
        <f>"湖北省恩施州巴东县北京大道235号"</f>
        <v>湖北省恩施州巴东县北京大道235号</v>
      </c>
      <c r="H2911" s="1" t="str">
        <f t="shared" si="1441"/>
        <v>无</v>
      </c>
      <c r="I2911" s="1" t="str">
        <f>"201609-202007湖北民族大学音乐学院音乐学专业就读 是全日制
202008-202107湖北省仙桃市仙桃第二小学小学音乐老师
202109-202302浙江省台州市蓬街私立中学初中音乐老师
202303-至今湖北省恩施州巴东县待业"</f>
        <v>201609-202007湖北民族大学音乐学院音乐学专业就读 是全日制
202008-202107湖北省仙桃市仙桃第二小学小学音乐老师
202109-202302浙江省台州市蓬街私立中学初中音乐老师
202303-至今湖北省恩施州巴东县待业</v>
      </c>
    </row>
    <row r="2912" spans="1:9">
      <c r="A2912" s="1" t="str">
        <f>"411302200103140536"</f>
        <v>411302200103140536</v>
      </c>
      <c r="B2912" s="1" t="str">
        <f t="shared" si="1439"/>
        <v>共青团员</v>
      </c>
      <c r="C2912" s="1" t="str">
        <f t="shared" si="1442"/>
        <v>本科</v>
      </c>
      <c r="D2912" s="1" t="str">
        <f>"20230630"</f>
        <v>20230630</v>
      </c>
      <c r="E2912" s="1" t="str">
        <f>"武汉设计工程学院"</f>
        <v>武汉设计工程学院</v>
      </c>
      <c r="F2912" s="1" t="str">
        <f>"环境设计"</f>
        <v>环境设计</v>
      </c>
      <c r="G2912" s="1" t="str">
        <f>"河南省南阳市宛城区医圣祠街安庄12号"</f>
        <v>河南省南阳市宛城区医圣祠街安庄12号</v>
      </c>
      <c r="H2912" s="1" t="str">
        <f t="shared" si="1441"/>
        <v>无</v>
      </c>
      <c r="I2912" s="1" t="str">
        <f>"201909-202306武汉设计工程学院 环境设计学院 环境设计专业就读为全日制学历"</f>
        <v>201909-202306武汉设计工程学院 环境设计学院 环境设计专业就读为全日制学历</v>
      </c>
    </row>
    <row r="2913" spans="1:9">
      <c r="A2913" s="1" t="str">
        <f>"411321200310225136"</f>
        <v>411321200310225136</v>
      </c>
      <c r="B2913" s="1" t="str">
        <f t="shared" ref="B2913:B2918" si="1443">"中共党员"</f>
        <v>中共党员</v>
      </c>
      <c r="C2913" s="1" t="str">
        <f t="shared" si="1442"/>
        <v>本科</v>
      </c>
      <c r="D2913" s="1" t="str">
        <f>"20250625"</f>
        <v>20250625</v>
      </c>
      <c r="E2913" s="1" t="str">
        <f>"赤峰学院"</f>
        <v>赤峰学院</v>
      </c>
      <c r="F2913" s="1" t="str">
        <f>"特殊教育"</f>
        <v>特殊教育</v>
      </c>
      <c r="G2913" s="1" t="str">
        <f>"河南省南阳市南召县崔庄乡"</f>
        <v>河南省南阳市南召县崔庄乡</v>
      </c>
      <c r="H2913" s="1" t="str">
        <f t="shared" si="1441"/>
        <v>无</v>
      </c>
      <c r="I2913" s="1" t="str">
        <f>"202109-202506 在赤峰学院教育科学学院特殊教育专业就读  全日制本科。"</f>
        <v>202109-202506 在赤峰学院教育科学学院特殊教育专业就读  全日制本科。</v>
      </c>
    </row>
    <row r="2914" spans="1:9">
      <c r="A2914" s="1" t="str">
        <f>"411330199806100821"</f>
        <v>411330199806100821</v>
      </c>
      <c r="B2914" s="1" t="str">
        <f>"群众"</f>
        <v>群众</v>
      </c>
      <c r="C2914" s="1" t="str">
        <f t="shared" si="1442"/>
        <v>本科</v>
      </c>
      <c r="D2914" s="1" t="str">
        <f>"20200701"</f>
        <v>20200701</v>
      </c>
      <c r="E2914" s="1" t="str">
        <f>"信阳学院"</f>
        <v>信阳学院</v>
      </c>
      <c r="F2914" s="1" t="str">
        <f>"历史学"</f>
        <v>历史学</v>
      </c>
      <c r="G2914" s="1" t="str">
        <f>"河南省南阳市内乡县城关镇前营"</f>
        <v>河南省南阳市内乡县城关镇前营</v>
      </c>
      <c r="H2914" s="1" t="str">
        <f t="shared" si="1441"/>
        <v>无</v>
      </c>
      <c r="I2914" s="1" t="str">
        <f>"201609-202007：信阳学院就读历史学
202007-202111：内乡县待业
202111-202502：内乡郦都学校初中部历史老师"</f>
        <v>201609-202007：信阳学院就读历史学
202007-202111：内乡县待业
202111-202502：内乡郦都学校初中部历史老师</v>
      </c>
    </row>
    <row r="2915" spans="1:9">
      <c r="A2915" s="1" t="str">
        <f>"370802199902229551"</f>
        <v>370802199902229551</v>
      </c>
      <c r="B2915" s="1" t="str">
        <f t="shared" ref="B2915:B2920" si="1444">"共青团员"</f>
        <v>共青团员</v>
      </c>
      <c r="C2915" s="1" t="str">
        <f t="shared" si="1442"/>
        <v>本科</v>
      </c>
      <c r="D2915" s="1" t="str">
        <f>"2021-06-30"</f>
        <v>2021-06-30</v>
      </c>
      <c r="E2915" s="1" t="str">
        <f>"长春工业大学"</f>
        <v>长春工业大学</v>
      </c>
      <c r="F2915" s="1" t="str">
        <f>"工业工程"</f>
        <v>工业工程</v>
      </c>
      <c r="G2915" s="1" t="str">
        <f>"山东省济宁市任城区警韵之家A1栋1401"</f>
        <v>山东省济宁市任城区警韵之家A1栋1401</v>
      </c>
      <c r="H2915" s="1" t="str">
        <f t="shared" si="1441"/>
        <v>无</v>
      </c>
      <c r="I2915" s="1" t="str">
        <f>"2017年9月-2021年6月 长春工业大学 国际教育学院 工业工程全日制
2021年7月-2022年4月 待业
2014年4月-至今 济宁高新国威保安服务有限公司管理人员
"</f>
        <v>2017年9月-2021年6月 长春工业大学 国际教育学院 工业工程全日制
2021年7月-2022年4月 待业
2014年4月-至今 济宁高新国威保安服务有限公司管理人员
</v>
      </c>
    </row>
    <row r="2916" spans="1:9">
      <c r="A2916" s="1" t="str">
        <f>"411327200102080022"</f>
        <v>411327200102080022</v>
      </c>
      <c r="B2916" s="1" t="str">
        <f t="shared" si="1444"/>
        <v>共青团员</v>
      </c>
      <c r="C2916" s="1" t="str">
        <f t="shared" si="1442"/>
        <v>本科</v>
      </c>
      <c r="D2916" s="1" t="str">
        <f>"20230630"</f>
        <v>20230630</v>
      </c>
      <c r="E2916" s="1" t="str">
        <f>"洛阳理工学院"</f>
        <v>洛阳理工学院</v>
      </c>
      <c r="F2916" s="1" t="str">
        <f>"汉语言文学专业"</f>
        <v>汉语言文学专业</v>
      </c>
      <c r="G2916" s="1" t="str">
        <f>"河南省南阳市内乡县湍东镇屈庄村杨洼组538号"</f>
        <v>河南省南阳市内乡县湍东镇屈庄村杨洼组538号</v>
      </c>
      <c r="H2916" s="1" t="str">
        <f t="shared" si="1441"/>
        <v>无</v>
      </c>
      <c r="I2916" s="1" t="str">
        <f>"201909-202306 洛阳理工学院学校人文与社会科学学院汉语言文学就读，是全日制学历
202306至今在南阳市内乡县待业"</f>
        <v>201909-202306 洛阳理工学院学校人文与社会科学学院汉语言文学就读，是全日制学历
202306至今在南阳市内乡县待业</v>
      </c>
    </row>
    <row r="2917" spans="1:9">
      <c r="A2917" s="1" t="str">
        <f>"411323200002280531"</f>
        <v>411323200002280531</v>
      </c>
      <c r="B2917" s="1" t="str">
        <f t="shared" si="1443"/>
        <v>中共党员</v>
      </c>
      <c r="C2917" s="1" t="str">
        <f>"专科"</f>
        <v>专科</v>
      </c>
      <c r="D2917" s="1" t="str">
        <f>"20250120"</f>
        <v>20250120</v>
      </c>
      <c r="E2917" s="1" t="str">
        <f>"国家开放大学"</f>
        <v>国家开放大学</v>
      </c>
      <c r="F2917" s="1" t="str">
        <f>"建筑工程技术"</f>
        <v>建筑工程技术</v>
      </c>
      <c r="G2917" s="1" t="str">
        <f>"河南省南阳市城乡一体化示范区锦城园丁小区"</f>
        <v>河南省南阳市城乡一体化示范区锦城园丁小区</v>
      </c>
      <c r="H2917" s="1" t="str">
        <f t="shared" si="1441"/>
        <v>无</v>
      </c>
      <c r="I2917" s="1" t="str">
        <f>"202109-202501 国家开放大学建筑工程技术专业就读
202401-至今 南阳市公安局高速支队 辅警"</f>
        <v>202109-202501 国家开放大学建筑工程技术专业就读
202401-至今 南阳市公安局高速支队 辅警</v>
      </c>
    </row>
    <row r="2918" spans="1:9">
      <c r="A2918" s="1" t="str">
        <f>"411324200202250077"</f>
        <v>411324200202250077</v>
      </c>
      <c r="B2918" s="1" t="str">
        <f t="shared" si="1443"/>
        <v>中共党员</v>
      </c>
      <c r="C2918" s="1" t="str">
        <f t="shared" ref="C2918:C2922" si="1445">"本科"</f>
        <v>本科</v>
      </c>
      <c r="D2918" s="1" t="str">
        <f>"20240621"</f>
        <v>20240621</v>
      </c>
      <c r="E2918" s="1" t="str">
        <f>"南阳理工学院"</f>
        <v>南阳理工学院</v>
      </c>
      <c r="F2918" s="1" t="str">
        <f>"机械设计制造及其自动化"</f>
        <v>机械设计制造及其自动化</v>
      </c>
      <c r="G2918" s="1" t="str">
        <f>"河南省镇平县天和家园"</f>
        <v>河南省镇平县天和家园</v>
      </c>
      <c r="H2918" s="1" t="str">
        <f t="shared" si="1441"/>
        <v>无</v>
      </c>
      <c r="I2918" s="1" t="str">
        <f>"202009-202406 南阳理工学院智能制造学院机械设计制造及其自动化就读 全日制学历"</f>
        <v>202009-202406 南阳理工学院智能制造学院机械设计制造及其自动化就读 全日制学历</v>
      </c>
    </row>
    <row r="2919" spans="1:9">
      <c r="A2919" s="1" t="str">
        <f>"410403200110245564"</f>
        <v>410403200110245564</v>
      </c>
      <c r="B2919" s="1" t="str">
        <f>"中共预备党员"</f>
        <v>中共预备党员</v>
      </c>
      <c r="C2919" s="1" t="str">
        <f t="shared" si="1445"/>
        <v>本科</v>
      </c>
      <c r="D2919" s="1" t="str">
        <f>"20230630"</f>
        <v>20230630</v>
      </c>
      <c r="E2919" s="1" t="str">
        <f>"郑州大学"</f>
        <v>郑州大学</v>
      </c>
      <c r="F2919" s="1" t="str">
        <f>"法学"</f>
        <v>法学</v>
      </c>
      <c r="G2919" s="1" t="str">
        <f>"河南省平顶山市湛河区九里山街道倾城小区"</f>
        <v>河南省平顶山市湛河区九里山街道倾城小区</v>
      </c>
      <c r="H2919" s="1" t="str">
        <f t="shared" si="1441"/>
        <v>无</v>
      </c>
      <c r="I2919" s="1" t="str">
        <f>"201909-20230630 郑州大学法学院法学专业就读，全日制学历。"</f>
        <v>201909-20230630 郑州大学法学院法学专业就读，全日制学历。</v>
      </c>
    </row>
    <row r="2920" spans="1:9">
      <c r="A2920" s="1" t="str">
        <f>"411327200006144524"</f>
        <v>411327200006144524</v>
      </c>
      <c r="B2920" s="1" t="str">
        <f t="shared" si="1444"/>
        <v>共青团员</v>
      </c>
      <c r="C2920" s="1" t="str">
        <f t="shared" si="1445"/>
        <v>本科</v>
      </c>
      <c r="D2920" s="1" t="str">
        <f>"20240701"</f>
        <v>20240701</v>
      </c>
      <c r="E2920" s="1" t="str">
        <f>"新乡工程学院"</f>
        <v>新乡工程学院</v>
      </c>
      <c r="F2920" s="1" t="str">
        <f>"人力资源管理专业"</f>
        <v>人力资源管理专业</v>
      </c>
      <c r="G2920" s="1" t="str">
        <f>"河南省南阳市内乡县赵店乡红堰村刘东组14号"</f>
        <v>河南省南阳市内乡县赵店乡红堰村刘东组14号</v>
      </c>
      <c r="H2920" s="1" t="str">
        <f>"人力资源管理师四级证"</f>
        <v>人力资源管理师四级证</v>
      </c>
      <c r="I2920" s="1" t="str">
        <f>"201908-202207在河南牧业经济学院文法学院文秘(行政管理)专业就读
202208-202407在新乡工程学院经济与管理学院人力资源管理专业学生就读
2024.07至今待业"</f>
        <v>201908-202207在河南牧业经济学院文法学院文秘(行政管理)专业就读
202208-202407在新乡工程学院经济与管理学院人力资源管理专业学生就读
2024.07至今待业</v>
      </c>
    </row>
    <row r="2921" spans="1:9">
      <c r="A2921" s="1" t="str">
        <f>"411323200110206320"</f>
        <v>411323200110206320</v>
      </c>
      <c r="B2921" s="1" t="str">
        <f>"中共党员"</f>
        <v>中共党员</v>
      </c>
      <c r="C2921" s="1" t="str">
        <f t="shared" si="1445"/>
        <v>本科</v>
      </c>
      <c r="D2921" s="1" t="str">
        <f>"20230701"</f>
        <v>20230701</v>
      </c>
      <c r="E2921" s="1" t="str">
        <f>"河南牧业经济学院"</f>
        <v>河南牧业经济学院</v>
      </c>
      <c r="F2921" s="1" t="str">
        <f>"国际商务"</f>
        <v>国际商务</v>
      </c>
      <c r="G2921" s="1" t="str">
        <f>"河南省南阳市淅川县厚坡镇王岗村43号"</f>
        <v>河南省南阳市淅川县厚坡镇王岗村43号</v>
      </c>
      <c r="H2921" s="1" t="str">
        <f>"无"</f>
        <v>无</v>
      </c>
      <c r="I2921" s="1" t="str">
        <f>"201909-202307在河南牧业经济学院工商管理学院国际商务专业就读
202307-至今待业"</f>
        <v>201909-202307在河南牧业经济学院工商管理学院国际商务专业就读
202307-至今待业</v>
      </c>
    </row>
    <row r="2922" spans="1:9">
      <c r="A2922" s="1" t="str">
        <f>"411327200109093328"</f>
        <v>411327200109093328</v>
      </c>
      <c r="B2922" s="1" t="str">
        <f t="shared" ref="B2922:B2926" si="1446">"共青团员"</f>
        <v>共青团员</v>
      </c>
      <c r="C2922" s="1" t="str">
        <f t="shared" si="1445"/>
        <v>本科</v>
      </c>
      <c r="D2922" s="1" t="str">
        <f>"2024-06-01"</f>
        <v>2024-06-01</v>
      </c>
      <c r="E2922" s="1" t="str">
        <f>"郑州工商学院"</f>
        <v>郑州工商学院</v>
      </c>
      <c r="F2922" s="1" t="str">
        <f>"软件工程"</f>
        <v>软件工程</v>
      </c>
      <c r="G2922" s="1" t="str">
        <f>"河南省南阳市内乡县湍东镇屈庄村"</f>
        <v>河南省南阳市内乡县湍东镇屈庄村</v>
      </c>
      <c r="H2922" s="1" t="str">
        <f>"普通话证二甲，三维动画设计师证"</f>
        <v>普通话证二甲，三维动画设计师证</v>
      </c>
      <c r="I2922" s="1" t="str">
        <f>"201909——202206河南林业职业学院信息艺术系动漫制作与技术专业
202209——202406郑州工商学院信息工程系软件工程专业"</f>
        <v>201909——202206河南林业职业学院信息艺术系动漫制作与技术专业
202209——202406郑州工商学院信息工程系软件工程专业</v>
      </c>
    </row>
    <row r="2923" spans="1:9">
      <c r="A2923" s="1" t="str">
        <f>"411327200102220021"</f>
        <v>411327200102220021</v>
      </c>
      <c r="B2923" s="1" t="str">
        <f t="shared" si="1446"/>
        <v>共青团员</v>
      </c>
      <c r="C2923" s="1" t="str">
        <f>"专科"</f>
        <v>专科</v>
      </c>
      <c r="D2923" s="1" t="str">
        <f>"2021.6.15"</f>
        <v>2021.6.15</v>
      </c>
      <c r="E2923" s="1" t="str">
        <f>"中国石油大学胜利学院（山东石油化工学院）"</f>
        <v>中国石油大学胜利学院（山东石油化工学院）</v>
      </c>
      <c r="F2923" s="1" t="str">
        <f>"学前教育"</f>
        <v>学前教育</v>
      </c>
      <c r="G2923" s="1" t="str">
        <f>"河南省南阳市内乡县河东鹏翔雅苑"</f>
        <v>河南省南阳市内乡县河东鹏翔雅苑</v>
      </c>
      <c r="H2923" s="1" t="str">
        <f t="shared" ref="H2923:H2928" si="1447">"无"</f>
        <v>无</v>
      </c>
      <c r="I2923" s="1" t="str">
        <f>"2018.9——2021.6于中国石油大学胜利学院（山东石油化工学院）教育与艺术学院系学前教育专业就读，为全日制学历"</f>
        <v>2018.9——2021.6于中国石油大学胜利学院（山东石油化工学院）教育与艺术学院系学前教育专业就读，为全日制学历</v>
      </c>
    </row>
    <row r="2924" spans="1:9">
      <c r="A2924" s="1" t="str">
        <f>"412726200207210010"</f>
        <v>412726200207210010</v>
      </c>
      <c r="B2924" s="1" t="str">
        <f>"中共党员"</f>
        <v>中共党员</v>
      </c>
      <c r="C2924" s="1" t="str">
        <f t="shared" ref="C2924:C2933" si="1448">"本科"</f>
        <v>本科</v>
      </c>
      <c r="D2924" s="1" t="str">
        <f>"20250701"</f>
        <v>20250701</v>
      </c>
      <c r="E2924" s="1" t="str">
        <f>"平顶山学院"</f>
        <v>平顶山学院</v>
      </c>
      <c r="F2924" s="1" t="str">
        <f>"物联网工程"</f>
        <v>物联网工程</v>
      </c>
      <c r="G2924" s="1" t="str">
        <f>"河南省周口市郸城县文化路联通小区"</f>
        <v>河南省周口市郸城县文化路联通小区</v>
      </c>
      <c r="H2924" s="1" t="str">
        <f>"物联网安装调试员 三级/高级工"</f>
        <v>物联网安装调试员 三级/高级工</v>
      </c>
      <c r="I2924" s="1" t="str">
        <f>"2021年09月01日至2025年07月01日在平顶山学院信息工程学院物联网工程专业就读，全日制学历。"</f>
        <v>2021年09月01日至2025年07月01日在平顶山学院信息工程学院物联网工程专业就读，全日制学历。</v>
      </c>
    </row>
    <row r="2925" spans="1:9">
      <c r="A2925" s="1" t="str">
        <f>"411327199909060043"</f>
        <v>411327199909060043</v>
      </c>
      <c r="B2925" s="1" t="str">
        <f t="shared" ref="B2925:B2929" si="1449">"群众"</f>
        <v>群众</v>
      </c>
      <c r="C2925" s="1" t="str">
        <f t="shared" si="1448"/>
        <v>本科</v>
      </c>
      <c r="D2925" s="1" t="str">
        <f>"20230701"</f>
        <v>20230701</v>
      </c>
      <c r="E2925" s="1" t="str">
        <f>"郑州工程技术学院"</f>
        <v>郑州工程技术学院</v>
      </c>
      <c r="F2925" s="1" t="str">
        <f>"物流管理"</f>
        <v>物流管理</v>
      </c>
      <c r="G2925" s="1" t="str">
        <f>"河南省南阳市内乡县城关镇东风村"</f>
        <v>河南省南阳市内乡县城关镇东风村</v>
      </c>
      <c r="H2925" s="1" t="str">
        <f>"英语四级"</f>
        <v>英语四级</v>
      </c>
      <c r="I2925" s="1" t="str">
        <f>"201809-202107郑州工程技术学院市场营销专业全日制
202109-202307郑州工程技术学院物流管理专业全日制
202307-202403考试
202403-至今大桥乡卫生院
"</f>
        <v>201809-202107郑州工程技术学院市场营销专业全日制
202109-202307郑州工程技术学院物流管理专业全日制
202307-202403考试
202403-至今大桥乡卫生院
</v>
      </c>
    </row>
    <row r="2926" spans="1:9">
      <c r="A2926" s="1" t="str">
        <f>"41022320010209051X"</f>
        <v>41022320010209051X</v>
      </c>
      <c r="B2926" s="1" t="str">
        <f t="shared" si="1446"/>
        <v>共青团员</v>
      </c>
      <c r="C2926" s="1" t="str">
        <f t="shared" si="1448"/>
        <v>本科</v>
      </c>
      <c r="D2926" s="1" t="str">
        <f>"2022.7.1"</f>
        <v>2022.7.1</v>
      </c>
      <c r="E2926" s="1" t="str">
        <f>"河南工业职业技术学院"</f>
        <v>河南工业职业技术学院</v>
      </c>
      <c r="F2926" s="1" t="str">
        <f>"机电一体化"</f>
        <v>机电一体化</v>
      </c>
      <c r="G2926" s="1" t="str">
        <f>"河南省开封市尉氏县"</f>
        <v>河南省开封市尉氏县</v>
      </c>
      <c r="H2926" s="1" t="str">
        <f>"高级电工证（三级）"</f>
        <v>高级电工证（三级）</v>
      </c>
      <c r="I2926" s="1" t="str">
        <f>"2016.9.1-2022.7.1在河南工业职业技术学院上学。
2023.4.22-2025.7.1在华北水利水电大学上学（函授）
2022.9月中旬-2023.10月.在河南省开封市尉氏县纪委监委上班."</f>
        <v>2016.9.1-2022.7.1在河南工业职业技术学院上学。
2023.4.22-2025.7.1在华北水利水电大学上学（函授）
2022.9月中旬-2023.10月.在河南省开封市尉氏县纪委监委上班.</v>
      </c>
    </row>
    <row r="2927" spans="1:9">
      <c r="A2927" s="1" t="str">
        <f>"41132720000515064X"</f>
        <v>41132720000515064X</v>
      </c>
      <c r="B2927" s="1" t="str">
        <f t="shared" si="1449"/>
        <v>群众</v>
      </c>
      <c r="C2927" s="1" t="str">
        <f t="shared" si="1448"/>
        <v>本科</v>
      </c>
      <c r="D2927" s="1" t="str">
        <f>"2022.07"</f>
        <v>2022.07</v>
      </c>
      <c r="E2927" s="1" t="str">
        <f>"南阳理工学院"</f>
        <v>南阳理工学院</v>
      </c>
      <c r="F2927" s="1" t="str">
        <f>"电子商务"</f>
        <v>电子商务</v>
      </c>
      <c r="G2927" s="1" t="str">
        <f>"河南省南阳市内乡县马山口镇大寨村小西门2号"</f>
        <v>河南省南阳市内乡县马山口镇大寨村小西门2号</v>
      </c>
      <c r="H2927" s="1" t="str">
        <f t="shared" si="1447"/>
        <v>无</v>
      </c>
      <c r="I2927" s="1" t="str">
        <f>"201809-202207 南阳理工学院 范蠡商学院 电子商务专业就读全日制本科 取得相应毕业证书，学士学位
202207-202308 河南哲轩家居有限公司 跨境电商运营岗位
202308-202501 安南实验学校 初中语文教师
202501-至今 内乡县待业"</f>
        <v>201809-202207 南阳理工学院 范蠡商学院 电子商务专业就读全日制本科 取得相应毕业证书，学士学位
202207-202308 河南哲轩家居有限公司 跨境电商运营岗位
202308-202501 安南实验学校 初中语文教师
202501-至今 内乡县待业</v>
      </c>
    </row>
    <row r="2928" spans="1:9">
      <c r="A2928" s="1" t="str">
        <f>"411327199402010047"</f>
        <v>411327199402010047</v>
      </c>
      <c r="B2928" s="1" t="str">
        <f t="shared" si="1449"/>
        <v>群众</v>
      </c>
      <c r="C2928" s="1" t="str">
        <f t="shared" si="1448"/>
        <v>本科</v>
      </c>
      <c r="D2928" s="1" t="str">
        <f>"201707"</f>
        <v>201707</v>
      </c>
      <c r="E2928" s="1" t="str">
        <f>"安阳师范学院人文管理学院"</f>
        <v>安阳师范学院人文管理学院</v>
      </c>
      <c r="F2928" s="1" t="str">
        <f>"会计学"</f>
        <v>会计学</v>
      </c>
      <c r="G2928" s="1" t="str">
        <f>"河南省内乡县城关镇永馨花苑"</f>
        <v>河南省内乡县城关镇永馨花苑</v>
      </c>
      <c r="H2928" s="1" t="str">
        <f t="shared" si="1447"/>
        <v>无</v>
      </c>
      <c r="I2928" s="1" t="str">
        <f>"201309-201707 安阳师范学院人文管理学院 就读 会计学 全日制
201708-201808 在家待业
201809-202102 内乡县失业保险中心
202203-至今  南阳瑞鑫劳务公司"</f>
        <v>201309-201707 安阳师范学院人文管理学院 就读 会计学 全日制
201708-201808 在家待业
201809-202102 内乡县失业保险中心
202203-至今  南阳瑞鑫劳务公司</v>
      </c>
    </row>
    <row r="2929" spans="1:9">
      <c r="A2929" s="1" t="str">
        <f>"411327200209160321"</f>
        <v>411327200209160321</v>
      </c>
      <c r="B2929" s="1" t="str">
        <f t="shared" si="1449"/>
        <v>群众</v>
      </c>
      <c r="C2929" s="1" t="str">
        <f t="shared" si="1448"/>
        <v>本科</v>
      </c>
      <c r="D2929" s="1" t="str">
        <f>"20250620"</f>
        <v>20250620</v>
      </c>
      <c r="E2929" s="1" t="str">
        <f>"河南财经政法大学"</f>
        <v>河南财经政法大学</v>
      </c>
      <c r="F2929" s="1" t="str">
        <f>"旅游管理"</f>
        <v>旅游管理</v>
      </c>
      <c r="G2929" s="1" t="str">
        <f>"河南省南阳市内乡县城关镇民政局西利德桂花苑"</f>
        <v>河南省南阳市内乡县城关镇民政局西利德桂花苑</v>
      </c>
      <c r="H2929" s="1" t="str">
        <f>"导游资格证"</f>
        <v>导游资格证</v>
      </c>
      <c r="I2929" s="1" t="str">
        <f>"202009-202306在焦作师范高等专科学校经济管理学院旅游管理专业就读，全日制学习
202309-202506在河南财经政法大学旅游与会展学院旅游管理专业就读，全日制学习"</f>
        <v>202009-202306在焦作师范高等专科学校经济管理学院旅游管理专业就读，全日制学习
202309-202506在河南财经政法大学旅游与会展学院旅游管理专业就读，全日制学习</v>
      </c>
    </row>
    <row r="2930" spans="1:9">
      <c r="A2930" s="1" t="str">
        <f>"412829199912302825"</f>
        <v>412829199912302825</v>
      </c>
      <c r="B2930" s="1" t="str">
        <f t="shared" ref="B2930:B2933" si="1450">"共青团员"</f>
        <v>共青团员</v>
      </c>
      <c r="C2930" s="1" t="str">
        <f t="shared" si="1448"/>
        <v>本科</v>
      </c>
      <c r="D2930" s="1" t="str">
        <f>"20210701"</f>
        <v>20210701</v>
      </c>
      <c r="E2930" s="1" t="str">
        <f>"南阳理工学院"</f>
        <v>南阳理工学院</v>
      </c>
      <c r="F2930" s="1" t="str">
        <f>"工商管理"</f>
        <v>工商管理</v>
      </c>
      <c r="G2930" s="1" t="str">
        <f>"河南省驻马店市正阳县陡沟镇周湾村"</f>
        <v>河南省驻马店市正阳县陡沟镇周湾村</v>
      </c>
      <c r="H2930" s="1" t="str">
        <f t="shared" ref="H2930:H2935" si="1451">"无"</f>
        <v>无</v>
      </c>
      <c r="I2930" s="1" t="str">
        <f>"2017.9-2021.7  南阳理工学院  范蠡商学院 工商管理专业就读 ，是全日制学历
2021.7-2022.4  牧原食品股份有限公司
2022.5-2024.5  信阳卡通卡实业有限公司
2024.5-至今  明英中学"</f>
        <v>2017.9-2021.7  南阳理工学院  范蠡商学院 工商管理专业就读 ，是全日制学历
2021.7-2022.4  牧原食品股份有限公司
2022.5-2024.5  信阳卡通卡实业有限公司
2024.5-至今  明英中学</v>
      </c>
    </row>
    <row r="2931" spans="1:9">
      <c r="A2931" s="1" t="str">
        <f>"411327200205270021"</f>
        <v>411327200205270021</v>
      </c>
      <c r="B2931" s="1" t="str">
        <f t="shared" si="1450"/>
        <v>共青团员</v>
      </c>
      <c r="C2931" s="1" t="str">
        <f t="shared" si="1448"/>
        <v>本科</v>
      </c>
      <c r="D2931" s="1" t="str">
        <f>"20250701"</f>
        <v>20250701</v>
      </c>
      <c r="E2931" s="1" t="str">
        <f>"郑州升达经贸管理学院"</f>
        <v>郑州升达经贸管理学院</v>
      </c>
      <c r="F2931" s="1" t="str">
        <f>"财务管理"</f>
        <v>财务管理</v>
      </c>
      <c r="G2931" s="1" t="str">
        <f>"河南省南阳市内乡县城关镇"</f>
        <v>河南省南阳市内乡县城关镇</v>
      </c>
      <c r="H2931" s="1" t="str">
        <f>"初级会计资格证"</f>
        <v>初级会计资格证</v>
      </c>
      <c r="I2931" s="1" t="str">
        <f>"2020年9月1日至2023年7月1日在黄河科技学院商学院就读会计专业专科，为全日制学历。2023年9月1日至2025年7月1日在郑州升达经贸管理学院会计学院就读财务管理专业本科，是全日制学历。"</f>
        <v>2020年9月1日至2023年7月1日在黄河科技学院商学院就读会计专业专科，为全日制学历。2023年9月1日至2025年7月1日在郑州升达经贸管理学院会计学院就读财务管理专业本科，是全日制学历。</v>
      </c>
    </row>
    <row r="2932" spans="1:9">
      <c r="A2932" s="1" t="str">
        <f>"411327199506170029"</f>
        <v>411327199506170029</v>
      </c>
      <c r="B2932" s="1" t="str">
        <f t="shared" si="1450"/>
        <v>共青团员</v>
      </c>
      <c r="C2932" s="1" t="str">
        <f t="shared" si="1448"/>
        <v>本科</v>
      </c>
      <c r="D2932" s="1" t="str">
        <f>"20180607"</f>
        <v>20180607</v>
      </c>
      <c r="E2932" s="1" t="str">
        <f>"郑州大学"</f>
        <v>郑州大学</v>
      </c>
      <c r="F2932" s="1" t="str">
        <f>"建筑学"</f>
        <v>建筑学</v>
      </c>
      <c r="G2932" s="1" t="str">
        <f>"河南省南阳市内乡县龙源路17号"</f>
        <v>河南省南阳市内乡县龙源路17号</v>
      </c>
      <c r="H2932" s="1" t="str">
        <f t="shared" si="1451"/>
        <v>无</v>
      </c>
      <c r="I2932" s="1" t="str">
        <f>"201309-201806于郑州大学西亚斯国际学院就读，全日制本科
201809-201903就职于上海尤安建筑设计有限公司
201903-202305就职于上海拓维建筑设计有限公司
202306-202312就职于上海联创建筑设计有限公司"</f>
        <v>201309-201806于郑州大学西亚斯国际学院就读，全日制本科
201809-201903就职于上海尤安建筑设计有限公司
201903-202305就职于上海拓维建筑设计有限公司
202306-202312就职于上海联创建筑设计有限公司</v>
      </c>
    </row>
    <row r="2933" spans="1:9">
      <c r="A2933" s="1" t="str">
        <f>"411324200401232429"</f>
        <v>411324200401232429</v>
      </c>
      <c r="B2933" s="1" t="str">
        <f t="shared" si="1450"/>
        <v>共青团员</v>
      </c>
      <c r="C2933" s="1" t="str">
        <f t="shared" si="1448"/>
        <v>本科</v>
      </c>
      <c r="D2933" s="1" t="str">
        <f>"20250701"</f>
        <v>20250701</v>
      </c>
      <c r="E2933" s="1" t="str">
        <f>"郑州商学院"</f>
        <v>郑州商学院</v>
      </c>
      <c r="F2933" s="1" t="str">
        <f>"审计学"</f>
        <v>审计学</v>
      </c>
      <c r="G2933" s="1" t="str">
        <f>"河南省南阳市镇平县林语华庭"</f>
        <v>河南省南阳市镇平县林语华庭</v>
      </c>
      <c r="H2933" s="1" t="str">
        <f>"初级会计资格证"</f>
        <v>初级会计资格证</v>
      </c>
      <c r="I2933" s="1" t="str">
        <f>"202009-202507 郑州商学院 会计学院 审计学 全日制本科"</f>
        <v>202009-202507 郑州商学院 会计学院 审计学 全日制本科</v>
      </c>
    </row>
    <row r="2934" spans="1:9">
      <c r="A2934" s="1" t="str">
        <f>"411324200107250028"</f>
        <v>411324200107250028</v>
      </c>
      <c r="B2934" s="1" t="str">
        <f t="shared" ref="B2934:B2937" si="1452">"群众"</f>
        <v>群众</v>
      </c>
      <c r="C2934" s="1" t="str">
        <f t="shared" ref="C2934:C2939" si="1453">"专科"</f>
        <v>专科</v>
      </c>
      <c r="D2934" s="1" t="str">
        <f>"2023.07"</f>
        <v>2023.07</v>
      </c>
      <c r="E2934" s="1" t="str">
        <f>"驻马店幼儿师范高等专科学院"</f>
        <v>驻马店幼儿师范高等专科学院</v>
      </c>
      <c r="F2934" s="1" t="str">
        <f>"小学教育"</f>
        <v>小学教育</v>
      </c>
      <c r="G2934" s="1" t="str">
        <f>"河南省南阳市镇平县城关镇校场路"</f>
        <v>河南省南阳市镇平县城关镇校场路</v>
      </c>
      <c r="H2934" s="1" t="str">
        <f t="shared" si="1451"/>
        <v>无</v>
      </c>
      <c r="I2934" s="1" t="str">
        <f>"202109-202307 驻马店幼儿师范高等专科学校 基础教育院系小学教育专业就读，是全日制学历。至今待业"</f>
        <v>202109-202307 驻马店幼儿师范高等专科学校 基础教育院系小学教育专业就读，是全日制学历。至今待业</v>
      </c>
    </row>
    <row r="2935" spans="1:9">
      <c r="A2935" s="1" t="str">
        <f>"411330199706040825"</f>
        <v>411330199706040825</v>
      </c>
      <c r="B2935" s="1" t="str">
        <f t="shared" ref="B2935:B2942" si="1454">"共青团员"</f>
        <v>共青团员</v>
      </c>
      <c r="C2935" s="1" t="str">
        <f t="shared" ref="C2935:C2937" si="1455">"本科"</f>
        <v>本科</v>
      </c>
      <c r="D2935" s="1" t="str">
        <f>"202006"</f>
        <v>202006</v>
      </c>
      <c r="E2935" s="1" t="str">
        <f>"湖南科技大学"</f>
        <v>湖南科技大学</v>
      </c>
      <c r="F2935" s="1" t="str">
        <f>"法学"</f>
        <v>法学</v>
      </c>
      <c r="G2935" s="1" t="str">
        <f>"河南省南阳市西峡县阳城镇阳城村南营"</f>
        <v>河南省南阳市西峡县阳城镇阳城村南营</v>
      </c>
      <c r="H2935" s="1" t="str">
        <f t="shared" si="1451"/>
        <v>无</v>
      </c>
      <c r="I2935" s="1" t="str">
        <f>"201609-202006 湖南科技大学法学与公共管理学院 法学专业 全日制就读
202006-202303 河南依诺法律咨询服务有限公司 法务助理
202303-202412 南阳宛律法律咨询有限公司  法务助理
202501-至今 西峡县待业"</f>
        <v>201609-202006 湖南科技大学法学与公共管理学院 法学专业 全日制就读
202006-202303 河南依诺法律咨询服务有限公司 法务助理
202303-202412 南阳宛律法律咨询有限公司  法务助理
202501-至今 西峡县待业</v>
      </c>
    </row>
    <row r="2936" spans="1:9">
      <c r="A2936" s="1" t="str">
        <f>"411302199510010813"</f>
        <v>411302199510010813</v>
      </c>
      <c r="B2936" s="1" t="str">
        <f t="shared" si="1452"/>
        <v>群众</v>
      </c>
      <c r="C2936" s="1" t="str">
        <f t="shared" si="1455"/>
        <v>本科</v>
      </c>
      <c r="D2936" s="1" t="str">
        <f>"20170701"</f>
        <v>20170701</v>
      </c>
      <c r="E2936" s="1" t="str">
        <f>"厦门大学嘉庚学院"</f>
        <v>厦门大学嘉庚学院</v>
      </c>
      <c r="F2936" s="1" t="str">
        <f>"法学"</f>
        <v>法学</v>
      </c>
      <c r="G2936" s="1" t="str">
        <f>"河南省南阳市卧龙区南贸集团家属院"</f>
        <v>河南省南阳市卧龙区南贸集团家属院</v>
      </c>
      <c r="H2936" s="1" t="str">
        <f>"法律职业资格证"</f>
        <v>法律职业资格证</v>
      </c>
      <c r="I2936" s="1" t="str">
        <f>"201309-201707厦门大学嘉庚学院法学系法学专业全日制学历就读
201707-201803河南省南阳市待业
201803-201908浙江省杭州市融易宝商务信息咨询有限公司法务
201909-202008浙江融哲律师事务所实习律师
202008-202101浙江本邦律师事务所专职律师
202101-202210浙江杭坤律师事务所专职律师
202210-202406浙江本邦律师事务所专职律师
202406至今北京盈科（南阳）律师事务所专职律师"</f>
        <v>201309-201707厦门大学嘉庚学院法学系法学专业全日制学历就读
201707-201803河南省南阳市待业
201803-201908浙江省杭州市融易宝商务信息咨询有限公司法务
201909-202008浙江融哲律师事务所实习律师
202008-202101浙江本邦律师事务所专职律师
202101-202210浙江杭坤律师事务所专职律师
202210-202406浙江本邦律师事务所专职律师
202406至今北京盈科（南阳）律师事务所专职律师</v>
      </c>
    </row>
    <row r="2937" spans="1:9">
      <c r="A2937" s="1" t="str">
        <f>"411328199312247776"</f>
        <v>411328199312247776</v>
      </c>
      <c r="B2937" s="1" t="str">
        <f t="shared" si="1452"/>
        <v>群众</v>
      </c>
      <c r="C2937" s="1" t="str">
        <f t="shared" si="1455"/>
        <v>本科</v>
      </c>
      <c r="D2937" s="1" t="str">
        <f>"20210630"</f>
        <v>20210630</v>
      </c>
      <c r="E2937" s="1" t="str">
        <f>"山东大学"</f>
        <v>山东大学</v>
      </c>
      <c r="F2937" s="1" t="str">
        <f>"工商管理"</f>
        <v>工商管理</v>
      </c>
      <c r="G2937" s="1" t="str">
        <f>"河南省南阳市新野县一品国际花园"</f>
        <v>河南省南阳市新野县一品国际花园</v>
      </c>
      <c r="H2937" s="1" t="str">
        <f>"英语四级和人力资源师三级证书"</f>
        <v>英语四级和人力资源师三级证书</v>
      </c>
      <c r="I2937" s="1" t="str">
        <f>"201209-201509 山东英才学院 就读
201509-202106 山东大学 就读
201709-201805 廊坊索菲亚家具有限公司 任职普通工人
201805-201906 待业
201906-201912  北京银丰信息技术有限公司 任职计算机软件开发工程师
202001-202012 北京亿达信息技术有限公司 任职计算机软件开发工程师
202012-202105 待业
202105-202310山东外企德科人力资源有限公司 任职销售代表
202310-202507 待业"</f>
        <v>201209-201509 山东英才学院 就读
201509-202106 山东大学 就读
201709-201805 廊坊索菲亚家具有限公司 任职普通工人
201805-201906 待业
201906-201912  北京银丰信息技术有限公司 任职计算机软件开发工程师
202001-202012 北京亿达信息技术有限公司 任职计算机软件开发工程师
202012-202105 待业
202105-202310山东外企德科人力资源有限公司 任职销售代表
202310-202507 待业</v>
      </c>
    </row>
    <row r="2938" spans="1:9">
      <c r="A2938" s="1" t="str">
        <f>"411381200212164815"</f>
        <v>411381200212164815</v>
      </c>
      <c r="B2938" s="1" t="str">
        <f t="shared" si="1454"/>
        <v>共青团员</v>
      </c>
      <c r="C2938" s="1" t="str">
        <f t="shared" si="1453"/>
        <v>专科</v>
      </c>
      <c r="D2938" s="1" t="str">
        <f>"20240701"</f>
        <v>20240701</v>
      </c>
      <c r="E2938" s="1" t="str">
        <f>"平顶山工业职业技术学院"</f>
        <v>平顶山工业职业技术学院</v>
      </c>
      <c r="F2938" s="1" t="str">
        <f>"建筑工程技术"</f>
        <v>建筑工程技术</v>
      </c>
      <c r="G2938" s="1" t="str">
        <f>"河南省南阳市邓州市文渠镇孔楼村"</f>
        <v>河南省南阳市邓州市文渠镇孔楼村</v>
      </c>
      <c r="H2938" s="1" t="str">
        <f t="shared" ref="H2938:H2950" si="1456">"无"</f>
        <v>无</v>
      </c>
      <c r="I2938" s="1" t="str">
        <f>"202109-202407 平顶山工业职业技术学院资源开发学院就读，是全日制大专学历"</f>
        <v>202109-202407 平顶山工业职业技术学院资源开发学院就读，是全日制大专学历</v>
      </c>
    </row>
    <row r="2939" spans="1:9">
      <c r="A2939" s="1" t="str">
        <f>"372901199312020812"</f>
        <v>372901199312020812</v>
      </c>
      <c r="B2939" s="1" t="str">
        <f>"群众"</f>
        <v>群众</v>
      </c>
      <c r="C2939" s="1" t="str">
        <f t="shared" si="1453"/>
        <v>专科</v>
      </c>
      <c r="D2939" s="1" t="str">
        <f>"2017.7.1"</f>
        <v>2017.7.1</v>
      </c>
      <c r="E2939" s="1" t="str">
        <f>"山东农业工程学院"</f>
        <v>山东农业工程学院</v>
      </c>
      <c r="F2939" s="1" t="str">
        <f>"食品营养与检测"</f>
        <v>食品营养与检测</v>
      </c>
      <c r="G2939" s="1" t="str">
        <f>"牡丹新城北区24号楼1001"</f>
        <v>牡丹新城北区24号楼1001</v>
      </c>
      <c r="H2939" s="1" t="str">
        <f t="shared" si="1456"/>
        <v>无</v>
      </c>
      <c r="I2939" s="1" t="str">
        <f>"2013年9月1日至2014年6月30日在曹州武校学习
2014年9月13日至2017年7月1日在山东农业工程学院学习
2017年7月1日至今 待业
"</f>
        <v>2013年9月1日至2014年6月30日在曹州武校学习
2014年9月13日至2017年7月1日在山东农业工程学院学习
2017年7月1日至今 待业
</v>
      </c>
    </row>
    <row r="2940" spans="1:9">
      <c r="A2940" s="1" t="str">
        <f>"411121200006090053"</f>
        <v>411121200006090053</v>
      </c>
      <c r="B2940" s="1" t="str">
        <f t="shared" si="1454"/>
        <v>共青团员</v>
      </c>
      <c r="C2940" s="1" t="str">
        <f t="shared" ref="C2940:C2945" si="1457">"本科"</f>
        <v>本科</v>
      </c>
      <c r="D2940" s="1" t="str">
        <f>"20230618"</f>
        <v>20230618</v>
      </c>
      <c r="E2940" s="1" t="str">
        <f>"浙江工业大学"</f>
        <v>浙江工业大学</v>
      </c>
      <c r="F2940" s="1" t="str">
        <f>"公共事业管理"</f>
        <v>公共事业管理</v>
      </c>
      <c r="G2940" s="1" t="str">
        <f>"河南省漯河市舞阳县第二高级中学家属院"</f>
        <v>河南省漯河市舞阳县第二高级中学家属院</v>
      </c>
      <c r="H2940" s="1" t="str">
        <f t="shared" si="1456"/>
        <v>无</v>
      </c>
      <c r="I2940" s="1" t="str">
        <f>"201909-202306 浙江工业大学 公共管理学院公共事业管理专业 全日制；
202309-202506 浙江工业大学 法学院知识产权（第二学士学位）专业 全日制；
202506-至今 在河南省漯河市舞阳县待业"</f>
        <v>201909-202306 浙江工业大学 公共管理学院公共事业管理专业 全日制；
202309-202506 浙江工业大学 法学院知识产权（第二学士学位）专业 全日制；
202506-至今 在河南省漯河市舞阳县待业</v>
      </c>
    </row>
    <row r="2941" spans="1:9">
      <c r="A2941" s="1" t="str">
        <f>"411323200301065719"</f>
        <v>411323200301065719</v>
      </c>
      <c r="B2941" s="1" t="str">
        <f t="shared" si="1454"/>
        <v>共青团员</v>
      </c>
      <c r="C2941" s="1" t="str">
        <f t="shared" si="1457"/>
        <v>本科</v>
      </c>
      <c r="D2941" s="1" t="str">
        <f>"20250630"</f>
        <v>20250630</v>
      </c>
      <c r="E2941" s="1" t="str">
        <f>"湖北工程学院新技术学院"</f>
        <v>湖北工程学院新技术学院</v>
      </c>
      <c r="F2941" s="1" t="str">
        <f>"数据科学与大数据技术"</f>
        <v>数据科学与大数据技术</v>
      </c>
      <c r="G2941" s="1" t="str">
        <f>"河南省南阳市西峡县太平镇"</f>
        <v>河南省南阳市西峡县太平镇</v>
      </c>
      <c r="H2941" s="1" t="str">
        <f t="shared" si="1456"/>
        <v>无</v>
      </c>
      <c r="I2941" s="1" t="str">
        <f>"202109-202506 在湖北工程学院新技术学院 信息工程系  数据科学与大数据技术专业就读，是全日制学历  "</f>
        <v>202109-202506 在湖北工程学院新技术学院 信息工程系  数据科学与大数据技术专业就读，是全日制学历  </v>
      </c>
    </row>
    <row r="2942" spans="1:9">
      <c r="A2942" s="1" t="str">
        <f>"41132319990627055X"</f>
        <v>41132319990627055X</v>
      </c>
      <c r="B2942" s="1" t="str">
        <f t="shared" si="1454"/>
        <v>共青团员</v>
      </c>
      <c r="C2942" s="1" t="str">
        <f t="shared" si="1457"/>
        <v>本科</v>
      </c>
      <c r="D2942" s="1" t="str">
        <f>"20220701"</f>
        <v>20220701</v>
      </c>
      <c r="E2942" s="1" t="str">
        <f>"郑州西亚斯学院"</f>
        <v>郑州西亚斯学院</v>
      </c>
      <c r="F2942" s="1" t="str">
        <f>"软件工程"</f>
        <v>软件工程</v>
      </c>
      <c r="G2942" s="1" t="str">
        <f>"河南省南阳市内乡县"</f>
        <v>河南省南阳市内乡县</v>
      </c>
      <c r="H2942" s="1" t="str">
        <f t="shared" si="1456"/>
        <v>无</v>
      </c>
      <c r="I2942" s="1" t="str">
        <f>"201709-202007 黄河交通学院  电子信息工程技术
202009-202207 郑州西亚斯学院  软件工程"</f>
        <v>201709-202007 黄河交通学院  电子信息工程技术
202009-202207 郑州西亚斯学院  软件工程</v>
      </c>
    </row>
    <row r="2943" spans="1:9">
      <c r="A2943" s="1" t="str">
        <f>"411327200301052016"</f>
        <v>411327200301052016</v>
      </c>
      <c r="B2943" s="1" t="str">
        <f>"中共党员"</f>
        <v>中共党员</v>
      </c>
      <c r="C2943" s="1" t="str">
        <f t="shared" si="1457"/>
        <v>本科</v>
      </c>
      <c r="D2943" s="1" t="str">
        <f>"2024-06-15"</f>
        <v>2024-06-15</v>
      </c>
      <c r="E2943" s="1" t="str">
        <f>"平顶山学院"</f>
        <v>平顶山学院</v>
      </c>
      <c r="F2943" s="1" t="str">
        <f>"数学与应用数学"</f>
        <v>数学与应用数学</v>
      </c>
      <c r="G2943" s="1" t="str">
        <f>"河南省南阳市内乡县城关镇鑫城花园"</f>
        <v>河南省南阳市内乡县城关镇鑫城花园</v>
      </c>
      <c r="H2943" s="1" t="str">
        <f t="shared" si="1456"/>
        <v>无</v>
      </c>
      <c r="I2943" s="1" t="str">
        <f>"202009-202406 平顶山学院 数学与统计学院 数学与应用数学专业 就读
全日制本科
202406-202507 居家待业"</f>
        <v>202009-202406 平顶山学院 数学与统计学院 数学与应用数学专业 就读
全日制本科
202406-202507 居家待业</v>
      </c>
    </row>
    <row r="2944" spans="1:9">
      <c r="A2944" s="1" t="str">
        <f>"410823199711090109"</f>
        <v>410823199711090109</v>
      </c>
      <c r="B2944" s="1" t="str">
        <f t="shared" ref="B2944:B2949" si="1458">"群众"</f>
        <v>群众</v>
      </c>
      <c r="C2944" s="1" t="str">
        <f t="shared" si="1457"/>
        <v>本科</v>
      </c>
      <c r="D2944" s="1" t="str">
        <f>"20210701"</f>
        <v>20210701</v>
      </c>
      <c r="E2944" s="1" t="str">
        <f>"郑州工业应用技术学院"</f>
        <v>郑州工业应用技术学院</v>
      </c>
      <c r="F2944" s="1" t="str">
        <f>"人力资源管理"</f>
        <v>人力资源管理</v>
      </c>
      <c r="G2944" s="1" t="str">
        <f>"河南省焦作市武陟县乔庙乡"</f>
        <v>河南省焦作市武陟县乔庙乡</v>
      </c>
      <c r="H2944" s="1" t="str">
        <f t="shared" si="1456"/>
        <v>无</v>
      </c>
      <c r="I2944" s="1" t="str">
        <f>"201609-201906 河南职业技术学院旅游管理系旅游管理专业就读，全日制；
201909-202106郑州工业应用技术学院管理系人力资源管理专业就读，全日制；
202109-至今待业"</f>
        <v>201609-201906 河南职业技术学院旅游管理系旅游管理专业就读，全日制；
201909-202106郑州工业应用技术学院管理系人力资源管理专业就读，全日制；
202109-至今待业</v>
      </c>
    </row>
    <row r="2945" spans="1:9">
      <c r="A2945" s="1" t="str">
        <f>"411327200105060043"</f>
        <v>411327200105060043</v>
      </c>
      <c r="B2945" s="1" t="str">
        <f>"共青团员"</f>
        <v>共青团员</v>
      </c>
      <c r="C2945" s="1" t="str">
        <f t="shared" si="1457"/>
        <v>本科</v>
      </c>
      <c r="D2945" s="1" t="str">
        <f>"20240615"</f>
        <v>20240615</v>
      </c>
      <c r="E2945" s="1" t="str">
        <f>"郑州西亚斯学院"</f>
        <v>郑州西亚斯学院</v>
      </c>
      <c r="F2945" s="1" t="str">
        <f>"财务管理"</f>
        <v>财务管理</v>
      </c>
      <c r="G2945" s="1" t="str">
        <f>"内乡县城关镇临湍路6巷96号"</f>
        <v>内乡县城关镇临湍路6巷96号</v>
      </c>
      <c r="H2945" s="1" t="str">
        <f t="shared" si="1456"/>
        <v>无</v>
      </c>
      <c r="I2945" s="1" t="str">
        <f>"202009-202406郑州西亚斯学院财务管理学院财务管理专业"</f>
        <v>202009-202406郑州西亚斯学院财务管理学院财务管理专业</v>
      </c>
    </row>
    <row r="2946" spans="1:9">
      <c r="A2946" s="1" t="str">
        <f>"411381199205260619"</f>
        <v>411381199205260619</v>
      </c>
      <c r="B2946" s="1" t="str">
        <f t="shared" si="1458"/>
        <v>群众</v>
      </c>
      <c r="C2946" s="1" t="str">
        <f>"专科"</f>
        <v>专科</v>
      </c>
      <c r="D2946" s="1" t="str">
        <f>"20140701"</f>
        <v>20140701</v>
      </c>
      <c r="E2946" s="1" t="str">
        <f>"郑州财经学院"</f>
        <v>郑州财经学院</v>
      </c>
      <c r="F2946" s="1" t="str">
        <f>"建筑工程技术"</f>
        <v>建筑工程技术</v>
      </c>
      <c r="G2946" s="1" t="str">
        <f>"河南省邓州市铁西路201号"</f>
        <v>河南省邓州市铁西路201号</v>
      </c>
      <c r="H2946" s="1" t="str">
        <f t="shared" si="1456"/>
        <v>无</v>
      </c>
      <c r="I2946" s="1" t="str">
        <f>"2011.9-2014.7 郑州财经学院 建筑工程技术专业
2014.7-2019.9 在家待业
2019.9-至今 邓州昌平农业科技有限公司 科研助理
2020.3-2022.7 南阳理工学院 财务管理专业（函授）"</f>
        <v>2011.9-2014.7 郑州财经学院 建筑工程技术专业
2014.7-2019.9 在家待业
2019.9-至今 邓州昌平农业科技有限公司 科研助理
2020.3-2022.7 南阳理工学院 财务管理专业（函授）</v>
      </c>
    </row>
    <row r="2947" spans="1:9">
      <c r="A2947" s="1" t="str">
        <f>"41132520020124494X"</f>
        <v>41132520020124494X</v>
      </c>
      <c r="B2947" s="1" t="str">
        <f t="shared" si="1458"/>
        <v>群众</v>
      </c>
      <c r="C2947" s="1" t="str">
        <f t="shared" ref="C2947:C2952" si="1459">"本科"</f>
        <v>本科</v>
      </c>
      <c r="D2947" s="1" t="str">
        <f>"2024.06"</f>
        <v>2024.06</v>
      </c>
      <c r="E2947" s="1" t="str">
        <f>"郑州工业应用技术学院"</f>
        <v>郑州工业应用技术学院</v>
      </c>
      <c r="F2947" s="1" t="str">
        <f>"学前教育"</f>
        <v>学前教育</v>
      </c>
      <c r="G2947" s="1" t="str">
        <f>"河南省南阳市内乡县"</f>
        <v>河南省南阳市内乡县</v>
      </c>
      <c r="H2947" s="1" t="str">
        <f t="shared" si="1456"/>
        <v>无</v>
      </c>
      <c r="I2947" s="1" t="str">
        <f>"201909—202207就读于安阳幼儿师范高等专科学校学前教育系学前教育专业，全日制专科
202209—202406就读于郑州工业应用技术学院音乐学院学前教育专业，全日制本科"</f>
        <v>201909—202207就读于安阳幼儿师范高等专科学校学前教育系学前教育专业，全日制专科
202209—202406就读于郑州工业应用技术学院音乐学院学前教育专业，全日制本科</v>
      </c>
    </row>
    <row r="2948" spans="1:9">
      <c r="A2948" s="1" t="str">
        <f>"411327199612051525"</f>
        <v>411327199612051525</v>
      </c>
      <c r="B2948" s="1" t="str">
        <f t="shared" si="1458"/>
        <v>群众</v>
      </c>
      <c r="C2948" s="1" t="str">
        <f>"专科"</f>
        <v>专科</v>
      </c>
      <c r="D2948" s="1" t="str">
        <f>"20170630"</f>
        <v>20170630</v>
      </c>
      <c r="E2948" s="1" t="str">
        <f>"廊坊师范学院"</f>
        <v>廊坊师范学院</v>
      </c>
      <c r="F2948" s="1" t="str">
        <f>"计算机信息与技术"</f>
        <v>计算机信息与技术</v>
      </c>
      <c r="G2948" s="1" t="str">
        <f>"河南省南阳市内乡县城关镇县衙路109号"</f>
        <v>河南省南阳市内乡县城关镇县衙路109号</v>
      </c>
      <c r="H2948" s="1" t="str">
        <f t="shared" si="1456"/>
        <v>无</v>
      </c>
      <c r="I2948" s="1" t="str">
        <f>"201501-202706廊坊师范学院就读，非全日制学历"</f>
        <v>201501-202706廊坊师范学院就读，非全日制学历</v>
      </c>
    </row>
    <row r="2949" spans="1:9">
      <c r="A2949" s="1" t="str">
        <f>"411327199902174224"</f>
        <v>411327199902174224</v>
      </c>
      <c r="B2949" s="1" t="str">
        <f t="shared" si="1458"/>
        <v>群众</v>
      </c>
      <c r="C2949" s="1" t="str">
        <f t="shared" si="1459"/>
        <v>本科</v>
      </c>
      <c r="D2949" s="1" t="str">
        <f>"20210607"</f>
        <v>20210607</v>
      </c>
      <c r="E2949" s="1" t="str">
        <f>"河南科技学院"</f>
        <v>河南科技学院</v>
      </c>
      <c r="F2949" s="1" t="str">
        <f>"植物保护"</f>
        <v>植物保护</v>
      </c>
      <c r="G2949" s="1" t="str">
        <f>"内乡县菊潭毓秀园"</f>
        <v>内乡县菊潭毓秀园</v>
      </c>
      <c r="H2949" s="1" t="str">
        <f t="shared" si="1456"/>
        <v>无</v>
      </c>
      <c r="I2949" s="1" t="str">
        <f>"201809-202106，河南科技学院就读。
201509-201806，内乡职专。
201209-201506，余关初中"</f>
        <v>201809-202106，河南科技学院就读。
201509-201806，内乡职专。
201209-201506，余关初中</v>
      </c>
    </row>
    <row r="2950" spans="1:9">
      <c r="A2950" s="1" t="str">
        <f>"41133020020911151X"</f>
        <v>41133020020911151X</v>
      </c>
      <c r="B2950" s="1" t="str">
        <f t="shared" ref="B2950:B2955" si="1460">"中共党员"</f>
        <v>中共党员</v>
      </c>
      <c r="C2950" s="1" t="str">
        <f t="shared" si="1459"/>
        <v>本科</v>
      </c>
      <c r="D2950" s="1" t="str">
        <f>"20250607"</f>
        <v>20250607</v>
      </c>
      <c r="E2950" s="1" t="str">
        <f>"信阳师范大学"</f>
        <v>信阳师范大学</v>
      </c>
      <c r="F2950" s="1" t="str">
        <f>"经济学"</f>
        <v>经济学</v>
      </c>
      <c r="G2950" s="1" t="str">
        <f>"河南省南阳市西峡县紫金南路南塘嘉园"</f>
        <v>河南省南阳市西峡县紫金南路南塘嘉园</v>
      </c>
      <c r="H2950" s="1" t="str">
        <f t="shared" si="1456"/>
        <v>无</v>
      </c>
      <c r="I2950" s="1" t="str">
        <f>"202109-202506 信阳师范大学 商学院 经济学系就读，是全日制学历
202506-202508在家待业"</f>
        <v>202109-202506 信阳师范大学 商学院 经济学系就读，是全日制学历
202506-202508在家待业</v>
      </c>
    </row>
    <row r="2951" spans="1:9">
      <c r="A2951" s="1" t="str">
        <f>"411327199707072521"</f>
        <v>411327199707072521</v>
      </c>
      <c r="B2951" s="1" t="str">
        <f>"群众"</f>
        <v>群众</v>
      </c>
      <c r="C2951" s="1" t="str">
        <f t="shared" si="1459"/>
        <v>本科</v>
      </c>
      <c r="D2951" s="1" t="str">
        <f>"20190621"</f>
        <v>20190621</v>
      </c>
      <c r="E2951" s="1" t="str">
        <f>"重庆师范大学"</f>
        <v>重庆师范大学</v>
      </c>
      <c r="F2951" s="1" t="str">
        <f>"计算机科学与技术"</f>
        <v>计算机科学与技术</v>
      </c>
      <c r="G2951" s="1" t="str">
        <f>"南阳市宛城区溧河店社区"</f>
        <v>南阳市宛城区溧河店社区</v>
      </c>
      <c r="H2951" s="1" t="str">
        <f>"初级工程师"</f>
        <v>初级工程师</v>
      </c>
      <c r="I2951" s="1" t="str">
        <f>"201509-201906 重庆师范大学就读
201906-202106 教培机构就职
202106-202504 南阳中通智能科技集团有限公司就职
202504-至今 南阳宛城区待就业"</f>
        <v>201509-201906 重庆师范大学就读
201906-202106 教培机构就职
202106-202504 南阳中通智能科技集团有限公司就职
202504-至今 南阳宛城区待就业</v>
      </c>
    </row>
    <row r="2952" spans="1:9">
      <c r="A2952" s="1" t="str">
        <f>"411327199908073926"</f>
        <v>411327199908073926</v>
      </c>
      <c r="B2952" s="1" t="str">
        <f t="shared" ref="B2952:B2957" si="1461">"共青团员"</f>
        <v>共青团员</v>
      </c>
      <c r="C2952" s="1" t="str">
        <f t="shared" si="1459"/>
        <v>本科</v>
      </c>
      <c r="D2952" s="1" t="str">
        <f>"20210701"</f>
        <v>20210701</v>
      </c>
      <c r="E2952" s="1" t="str">
        <f>"河南城建学院"</f>
        <v>河南城建学院</v>
      </c>
      <c r="F2952" s="1" t="str">
        <f>"房地产开发与管理"</f>
        <v>房地产开发与管理</v>
      </c>
      <c r="G2952" s="1" t="str">
        <f>"河南省南阳市内乡县乍曲乡"</f>
        <v>河南省南阳市内乡县乍曲乡</v>
      </c>
      <c r="H2952" s="1" t="str">
        <f t="shared" ref="H2952:H2961" si="1462">"无"</f>
        <v>无</v>
      </c>
      <c r="I2952" s="1" t="str">
        <f>"2017.09-2021.07河南城建学院 管理学院 房地产开发与管理专业 就读  全日制学历
2021.09-2022.06 内乡郦都学校 上班
2022.07-2023.01内乡县待业
2023.02-2025.01内乡菊潭学校 上班
2025.02至今 内乡县待业"</f>
        <v>2017.09-2021.07河南城建学院 管理学院 房地产开发与管理专业 就读  全日制学历
2021.09-2022.06 内乡郦都学校 上班
2022.07-2023.01内乡县待业
2023.02-2025.01内乡菊潭学校 上班
2025.02至今 内乡县待业</v>
      </c>
    </row>
    <row r="2953" spans="1:9">
      <c r="A2953" s="1" t="str">
        <f>"411327200109123910"</f>
        <v>411327200109123910</v>
      </c>
      <c r="B2953" s="1" t="str">
        <f t="shared" si="1461"/>
        <v>共青团员</v>
      </c>
      <c r="C2953" s="1" t="str">
        <f>"专科"</f>
        <v>专科</v>
      </c>
      <c r="D2953" s="1" t="str">
        <f>"20230607"</f>
        <v>20230607</v>
      </c>
      <c r="E2953" s="1" t="str">
        <f>"周口职业技术学院"</f>
        <v>周口职业技术学院</v>
      </c>
      <c r="F2953" s="1" t="str">
        <f>"畜牧兽医"</f>
        <v>畜牧兽医</v>
      </c>
      <c r="G2953" s="1" t="str">
        <f>"河南省南阳市内乡县乍曲镇"</f>
        <v>河南省南阳市内乡县乍曲镇</v>
      </c>
      <c r="H2953" s="1" t="str">
        <f>"动物疫病防治员   三级"</f>
        <v>动物疫病防治员   三级</v>
      </c>
      <c r="I2953" s="1" t="str">
        <f>"202006-202303周口职业技术学院农牧工程学院畜牧兽医专业就读，为全日制学历，202303-202503服役于武警云南省总队，202503至今待业"</f>
        <v>202006-202303周口职业技术学院农牧工程学院畜牧兽医专业就读，为全日制学历，202303-202503服役于武警云南省总队，202503至今待业</v>
      </c>
    </row>
    <row r="2954" spans="1:9">
      <c r="A2954" s="1" t="str">
        <f>"13058219990428204X"</f>
        <v>13058219990428204X</v>
      </c>
      <c r="B2954" s="1" t="str">
        <f t="shared" si="1460"/>
        <v>中共党员</v>
      </c>
      <c r="C2954" s="1" t="str">
        <f t="shared" ref="C2954:C2963" si="1463">"本科"</f>
        <v>本科</v>
      </c>
      <c r="D2954" s="1" t="str">
        <f>"20230607"</f>
        <v>20230607</v>
      </c>
      <c r="E2954" s="1" t="str">
        <f>"石河子大学"</f>
        <v>石河子大学</v>
      </c>
      <c r="F2954" s="1" t="str">
        <f>"农学"</f>
        <v>农学</v>
      </c>
      <c r="G2954" s="1" t="str">
        <f>"河北省邢台市经济开发区留村乡郭龙庄村"</f>
        <v>河北省邢台市经济开发区留村乡郭龙庄村</v>
      </c>
      <c r="H2954" s="1" t="str">
        <f t="shared" si="1462"/>
        <v>无</v>
      </c>
      <c r="I2954" s="1" t="str">
        <f>"201909–202306 石河子大学农学院农学系 就读全日制
"</f>
        <v>201909–202306 石河子大学农学院农学系 就读全日制
</v>
      </c>
    </row>
    <row r="2955" spans="1:9">
      <c r="A2955" s="1" t="str">
        <f>"411502199903121523"</f>
        <v>411502199903121523</v>
      </c>
      <c r="B2955" s="1" t="str">
        <f t="shared" si="1460"/>
        <v>中共党员</v>
      </c>
      <c r="C2955" s="1" t="str">
        <f t="shared" si="1463"/>
        <v>本科</v>
      </c>
      <c r="D2955" s="1" t="str">
        <f>"20200701"</f>
        <v>20200701</v>
      </c>
      <c r="E2955" s="1" t="str">
        <f>"信阳师范学院"</f>
        <v>信阳师范学院</v>
      </c>
      <c r="F2955" s="1" t="str">
        <f>"经济学"</f>
        <v>经济学</v>
      </c>
      <c r="G2955" s="1" t="str">
        <f>"河南省南阳市宛城区白河大道恒大御景湾"</f>
        <v>河南省南阳市宛城区白河大道恒大御景湾</v>
      </c>
      <c r="H2955" s="1" t="str">
        <f t="shared" si="1462"/>
        <v>无</v>
      </c>
      <c r="I2955" s="1" t="str">
        <f>"201609-202007河南省信阳市浉河区信阳师范学院经济学专业就读 全日制学历
202007-202212于南阳待业
202301-202312南阳市鑫特电气有限公司 销售部助理
202401至今 南阳市公安局宛城区分局 警务辅助人员"</f>
        <v>201609-202007河南省信阳市浉河区信阳师范学院经济学专业就读 全日制学历
202007-202212于南阳待业
202301-202312南阳市鑫特电气有限公司 销售部助理
202401至今 南阳市公安局宛城区分局 警务辅助人员</v>
      </c>
    </row>
    <row r="2956" spans="1:9">
      <c r="A2956" s="1" t="str">
        <f>"410521199409288019"</f>
        <v>410521199409288019</v>
      </c>
      <c r="B2956" s="1" t="str">
        <f>"群众"</f>
        <v>群众</v>
      </c>
      <c r="C2956" s="1" t="str">
        <f>"专科"</f>
        <v>专科</v>
      </c>
      <c r="D2956" s="1" t="str">
        <f>"20230701"</f>
        <v>20230701</v>
      </c>
      <c r="E2956" s="1" t="str">
        <f>"焦作大学"</f>
        <v>焦作大学</v>
      </c>
      <c r="F2956" s="1" t="str">
        <f>"法律事务"</f>
        <v>法律事务</v>
      </c>
      <c r="G2956" s="1" t="str">
        <f>"河南省林州市姚村镇南牛村"</f>
        <v>河南省林州市姚村镇南牛村</v>
      </c>
      <c r="H2956" s="1" t="str">
        <f t="shared" si="1462"/>
        <v>无</v>
      </c>
      <c r="I2956" s="1" t="str">
        <f>"202103-202307在焦作大学法律事务专业业余学习，非全日制学历，202307-2023-09在林州市公安局茶店派出所协警，2023-09至今处于待业。"</f>
        <v>202103-202307在焦作大学法律事务专业业余学习，非全日制学历，202307-2023-09在林州市公安局茶店派出所协警，2023-09至今处于待业。</v>
      </c>
    </row>
    <row r="2957" spans="1:9">
      <c r="A2957" s="1" t="str">
        <f>"411321200012231562"</f>
        <v>411321200012231562</v>
      </c>
      <c r="B2957" s="1" t="str">
        <f t="shared" si="1461"/>
        <v>共青团员</v>
      </c>
      <c r="C2957" s="1" t="str">
        <f t="shared" si="1463"/>
        <v>本科</v>
      </c>
      <c r="D2957" s="1" t="str">
        <f>"2023-07-01"</f>
        <v>2023-07-01</v>
      </c>
      <c r="E2957" s="1" t="str">
        <f>"商丘学院"</f>
        <v>商丘学院</v>
      </c>
      <c r="F2957" s="1" t="str">
        <f>"学前教育"</f>
        <v>学前教育</v>
      </c>
      <c r="G2957" s="1" t="str">
        <f>"内乡县北关县衙酒店向北50米"</f>
        <v>内乡县北关县衙酒店向北50米</v>
      </c>
      <c r="H2957" s="1" t="str">
        <f t="shared" si="1462"/>
        <v>无</v>
      </c>
      <c r="I2957" s="1" t="str">
        <f>"201809-202106安阳幼儿高等师范学校 文学教育系 小学教育 全日制
202109-202306商丘学院 文学教育系 学前教育 全日制"</f>
        <v>201809-202106安阳幼儿高等师范学校 文学教育系 小学教育 全日制
202109-202306商丘学院 文学教育系 学前教育 全日制</v>
      </c>
    </row>
    <row r="2958" spans="1:9">
      <c r="A2958" s="1" t="str">
        <f>"411327199906194222"</f>
        <v>411327199906194222</v>
      </c>
      <c r="B2958" s="1" t="str">
        <f t="shared" ref="B2958:B2963" si="1464">"群众"</f>
        <v>群众</v>
      </c>
      <c r="C2958" s="1" t="str">
        <f t="shared" si="1463"/>
        <v>本科</v>
      </c>
      <c r="D2958" s="1" t="str">
        <f>"20240924"</f>
        <v>20240924</v>
      </c>
      <c r="E2958" s="1" t="str">
        <f>"苏州科技大学天平学院"</f>
        <v>苏州科技大学天平学院</v>
      </c>
      <c r="F2958" s="1" t="str">
        <f>"建筑环境与能源应用工程"</f>
        <v>建筑环境与能源应用工程</v>
      </c>
      <c r="G2958" s="1" t="str">
        <f>"河南省南阳市内乡县余关镇孙沟村16组"</f>
        <v>河南省南阳市内乡县余关镇孙沟村16组</v>
      </c>
      <c r="H2958" s="1" t="str">
        <f t="shared" si="1462"/>
        <v>无</v>
      </c>
      <c r="I2958" s="1" t="str">
        <f>"201809-202409在苏州科技大学天平学院，建筑环境与能源应用工程专业就读，全日制学历"</f>
        <v>201809-202409在苏州科技大学天平学院，建筑环境与能源应用工程专业就读，全日制学历</v>
      </c>
    </row>
    <row r="2959" spans="1:9">
      <c r="A2959" s="1" t="str">
        <f>"14272520000901042X"</f>
        <v>14272520000901042X</v>
      </c>
      <c r="B2959" s="1" t="str">
        <f>"共青团员"</f>
        <v>共青团员</v>
      </c>
      <c r="C2959" s="1" t="str">
        <f t="shared" si="1463"/>
        <v>本科</v>
      </c>
      <c r="D2959" s="1" t="str">
        <f>"20220701"</f>
        <v>20220701</v>
      </c>
      <c r="E2959" s="1" t="str">
        <f>"荆楚理工学院"</f>
        <v>荆楚理工学院</v>
      </c>
      <c r="F2959" s="1" t="str">
        <f>"植物科学与技术"</f>
        <v>植物科学与技术</v>
      </c>
      <c r="G2959" s="1" t="str">
        <f>"山西省运城市万荣县荣城帝景"</f>
        <v>山西省运城市万荣县荣城帝景</v>
      </c>
      <c r="H2959" s="1" t="str">
        <f t="shared" si="1462"/>
        <v>无</v>
      </c>
      <c r="I2959" s="1" t="str">
        <f>"201709-202007汉江师范学院化学与环境工程学院生物教育专业就读，全日制；202009-202207荆楚理工学院生物工程学院植物科学与技术专业就读，全日制；202207至今自主学习待业。"</f>
        <v>201709-202007汉江师范学院化学与环境工程学院生物教育专业就读，全日制；202009-202207荆楚理工学院生物工程学院植物科学与技术专业就读，全日制；202207至今自主学习待业。</v>
      </c>
    </row>
    <row r="2960" spans="1:9">
      <c r="A2960" s="1" t="str">
        <f>"411330200005291547"</f>
        <v>411330200005291547</v>
      </c>
      <c r="B2960" s="1" t="str">
        <f>"共青团员"</f>
        <v>共青团员</v>
      </c>
      <c r="C2960" s="1" t="str">
        <f t="shared" si="1463"/>
        <v>本科</v>
      </c>
      <c r="D2960" s="1" t="str">
        <f>"20240606"</f>
        <v>20240606</v>
      </c>
      <c r="E2960" s="1" t="str">
        <f>"信阳学院"</f>
        <v>信阳学院</v>
      </c>
      <c r="F2960" s="1" t="str">
        <f>"化学"</f>
        <v>化学</v>
      </c>
      <c r="G2960" s="1" t="str">
        <f>"河南省南阳市西峡县"</f>
        <v>河南省南阳市西峡县</v>
      </c>
      <c r="H2960" s="1" t="str">
        <f t="shared" si="1462"/>
        <v>无</v>
      </c>
      <c r="I2960" s="1" t="str">
        <f>"202009-202406 信阳学院 化学专业就读"</f>
        <v>202009-202406 信阳学院 化学专业就读</v>
      </c>
    </row>
    <row r="2961" spans="1:9">
      <c r="A2961" s="1" t="str">
        <f>"411330200103251530"</f>
        <v>411330200103251530</v>
      </c>
      <c r="B2961" s="1" t="str">
        <f>"中共党员"</f>
        <v>中共党员</v>
      </c>
      <c r="C2961" s="1" t="str">
        <f t="shared" si="1463"/>
        <v>本科</v>
      </c>
      <c r="D2961" s="1" t="str">
        <f>"20230620"</f>
        <v>20230620</v>
      </c>
      <c r="E2961" s="1" t="str">
        <f>"西南财经大学"</f>
        <v>西南财经大学</v>
      </c>
      <c r="F2961" s="1" t="str">
        <f>"信息管理与信息系统"</f>
        <v>信息管理与信息系统</v>
      </c>
      <c r="G2961" s="1" t="str">
        <f>"河南省西峡县城关镇南环路115号"</f>
        <v>河南省西峡县城关镇南环路115号</v>
      </c>
      <c r="H2961" s="1" t="str">
        <f t="shared" si="1462"/>
        <v>无</v>
      </c>
      <c r="I2961" s="1" t="str">
        <f>"201909-202306 西南财经大学 计算机与人工智能学院 信息管理与信息系统（金融智能与信息管理光华实验班）就读
202307-202502 扬州东方财富数据服务有限公司 数据服务部 工作
202503-至今 在家待业"</f>
        <v>201909-202306 西南财经大学 计算机与人工智能学院 信息管理与信息系统（金融智能与信息管理光华实验班）就读
202307-202502 扬州东方财富数据服务有限公司 数据服务部 工作
202503-至今 在家待业</v>
      </c>
    </row>
    <row r="2962" spans="1:9">
      <c r="A2962" s="1" t="str">
        <f>"41132720030818293X"</f>
        <v>41132720030818293X</v>
      </c>
      <c r="B2962" s="1" t="str">
        <f t="shared" si="1464"/>
        <v>群众</v>
      </c>
      <c r="C2962" s="1" t="str">
        <f t="shared" si="1463"/>
        <v>本科</v>
      </c>
      <c r="D2962" s="1" t="str">
        <f>"20250619"</f>
        <v>20250619</v>
      </c>
      <c r="E2962" s="1" t="str">
        <f>"中原工学院"</f>
        <v>中原工学院</v>
      </c>
      <c r="F2962" s="1" t="str">
        <f>"软件工程"</f>
        <v>软件工程</v>
      </c>
      <c r="G2962" s="1" t="str">
        <f>"河南省南阳市内乡县瓦亭镇瓦亭村街东1号"</f>
        <v>河南省南阳市内乡县瓦亭镇瓦亭村街东1号</v>
      </c>
      <c r="H2962" s="1" t="str">
        <f>"NISP二级证书"</f>
        <v>NISP二级证书</v>
      </c>
      <c r="I2962" s="1" t="str">
        <f>"202109-202506 中原工学院就读。"</f>
        <v>202109-202506 中原工学院就读。</v>
      </c>
    </row>
    <row r="2963" spans="1:9">
      <c r="A2963" s="1" t="str">
        <f>"411123199111096542"</f>
        <v>411123199111096542</v>
      </c>
      <c r="B2963" s="1" t="str">
        <f t="shared" si="1464"/>
        <v>群众</v>
      </c>
      <c r="C2963" s="1" t="str">
        <f t="shared" si="1463"/>
        <v>本科</v>
      </c>
      <c r="D2963" s="1" t="str">
        <f>"201709"</f>
        <v>201709</v>
      </c>
      <c r="E2963" s="1" t="str">
        <f>"商丘师范学院"</f>
        <v>商丘师范学院</v>
      </c>
      <c r="F2963" s="1" t="str">
        <f>"农学（专升本）"</f>
        <v>农学（专升本）</v>
      </c>
      <c r="G2963" s="1" t="str">
        <f>"河南省南阳市淅川县西簧乡"</f>
        <v>河南省南阳市淅川县西簧乡</v>
      </c>
      <c r="H2963" s="1" t="str">
        <f>"园艺师证"</f>
        <v>园艺师证</v>
      </c>
      <c r="I2963" s="1" t="str">
        <f>"201209-201507  信阳农林学院 就读于设施农业技术专业  全日制
201509-201707  商丘师范学院生命科学学院就读于农学（专升本）专业  全日制
201707-至今-在河南省淅川县待业
"</f>
        <v>201209-201507  信阳农林学院 就读于设施农业技术专业  全日制
201509-201707  商丘师范学院生命科学学院就读于农学（专升本）专业  全日制
201707-至今-在河南省淅川县待业
</v>
      </c>
    </row>
    <row r="2964" spans="1:9">
      <c r="A2964" s="1" t="str">
        <f>"411324200304090019"</f>
        <v>411324200304090019</v>
      </c>
      <c r="B2964" s="1" t="str">
        <f>"中共党员"</f>
        <v>中共党员</v>
      </c>
      <c r="C2964" s="1" t="str">
        <f>"专科"</f>
        <v>专科</v>
      </c>
      <c r="D2964" s="1" t="str">
        <f>"2022年9月-2025年6月"</f>
        <v>2022年9月-2025年6月</v>
      </c>
      <c r="E2964" s="1" t="str">
        <f>"郑州科技学院"</f>
        <v>郑州科技学院</v>
      </c>
      <c r="F2964" s="1" t="str">
        <f>"软件技术"</f>
        <v>软件技术</v>
      </c>
      <c r="G2964" s="1" t="str">
        <f>"河南南阳"</f>
        <v>河南南阳</v>
      </c>
      <c r="H2964" s="1" t="str">
        <f t="shared" ref="H2964:H2975" si="1465">"无"</f>
        <v>无</v>
      </c>
      <c r="I2964" s="1" t="str">
        <f>"202209-202506，郑州科技学院学校 信息工程学院软件技术就读，是全日制学历。"</f>
        <v>202209-202506，郑州科技学院学校 信息工程学院软件技术就读，是全日制学历。</v>
      </c>
    </row>
    <row r="2965" spans="1:9">
      <c r="A2965" s="1" t="str">
        <f>"41132520030713006X"</f>
        <v>41132520030713006X</v>
      </c>
      <c r="B2965" s="1" t="str">
        <f t="shared" ref="B2965:B2969" si="1466">"共青团员"</f>
        <v>共青团员</v>
      </c>
      <c r="C2965" s="1" t="str">
        <f t="shared" ref="C2965:C2970" si="1467">"本科"</f>
        <v>本科</v>
      </c>
      <c r="D2965" s="1" t="str">
        <f>"20250701"</f>
        <v>20250701</v>
      </c>
      <c r="E2965" s="1" t="str">
        <f>"信阳师范大学"</f>
        <v>信阳师范大学</v>
      </c>
      <c r="F2965" s="1" t="str">
        <f>"思想政治教育"</f>
        <v>思想政治教育</v>
      </c>
      <c r="G2965" s="1" t="str">
        <f>"河南省南阳市内乡县菊潭大街前营"</f>
        <v>河南省南阳市内乡县菊潭大街前营</v>
      </c>
      <c r="H2965" s="1" t="str">
        <f t="shared" si="1465"/>
        <v>无</v>
      </c>
      <c r="I2965" s="1" t="str">
        <f>"202109-202507 信阳师范大学马克思主义学院思想政治教育专业就读，是全日制学历"</f>
        <v>202109-202507 信阳师范大学马克思主义学院思想政治教育专业就读，是全日制学历</v>
      </c>
    </row>
    <row r="2966" spans="1:9">
      <c r="A2966" s="1" t="str">
        <f>"411327200303250040"</f>
        <v>411327200303250040</v>
      </c>
      <c r="B2966" s="1" t="str">
        <f t="shared" si="1466"/>
        <v>共青团员</v>
      </c>
      <c r="C2966" s="1" t="str">
        <f t="shared" si="1467"/>
        <v>本科</v>
      </c>
      <c r="D2966" s="1" t="str">
        <f>"20250630"</f>
        <v>20250630</v>
      </c>
      <c r="E2966" s="1" t="str">
        <f>"武昌首义学院"</f>
        <v>武昌首义学院</v>
      </c>
      <c r="F2966" s="1" t="str">
        <f>"汉语言文学"</f>
        <v>汉语言文学</v>
      </c>
      <c r="G2966" s="1" t="str">
        <f>"河南省南阳市内乡县城关镇新民路109号"</f>
        <v>河南省南阳市内乡县城关镇新民路109号</v>
      </c>
      <c r="H2966" s="1" t="str">
        <f t="shared" si="1465"/>
        <v>无</v>
      </c>
      <c r="I2966" s="1" t="str">
        <f>"202109-202506 武昌首义学院的新闻与文法学院汉语言专业就读 全日制"</f>
        <v>202109-202506 武昌首义学院的新闻与文法学院汉语言专业就读 全日制</v>
      </c>
    </row>
    <row r="2967" spans="1:9">
      <c r="A2967" s="1" t="str">
        <f>"411327199404121517"</f>
        <v>411327199404121517</v>
      </c>
      <c r="B2967" s="1" t="str">
        <f t="shared" ref="B2967:B2970" si="1468">"群众"</f>
        <v>群众</v>
      </c>
      <c r="C2967" s="1" t="str">
        <f t="shared" si="1467"/>
        <v>本科</v>
      </c>
      <c r="D2967" s="1" t="str">
        <f>"20180701"</f>
        <v>20180701</v>
      </c>
      <c r="E2967" s="1" t="str">
        <f>"许昌学院"</f>
        <v>许昌学院</v>
      </c>
      <c r="F2967" s="1" t="str">
        <f>"土木工程"</f>
        <v>土木工程</v>
      </c>
      <c r="G2967" s="1" t="str">
        <f>"河南省南阳市内乡县湍东镇五里堡村楸抱槐组"</f>
        <v>河南省南阳市内乡县湍东镇五里堡村楸抱槐组</v>
      </c>
      <c r="H2967" s="1" t="str">
        <f t="shared" si="1465"/>
        <v>无</v>
      </c>
      <c r="I2967" s="1" t="str">
        <f>"201309-201607 许昌学院土木工程学院建筑工程技术专业就读， 201609-201807 许昌学院土木工程学院土木工程专业就读， 201809-202010  黄冈新能源技术有限公司任职运维员，202011-202210 恒辉农牧任职仓库管理员 ，202212-202309 临海牧原任职仓库管理员 202310-202409 华福包装科技任职普工 ，202410-202507 华为工厂任职操作员"</f>
        <v>201309-201607 许昌学院土木工程学院建筑工程技术专业就读， 201609-201807 许昌学院土木工程学院土木工程专业就读， 201809-202010  黄冈新能源技术有限公司任职运维员，202011-202210 恒辉农牧任职仓库管理员 ，202212-202309 临海牧原任职仓库管理员 202310-202409 华福包装科技任职普工 ，202410-202507 华为工厂任职操作员</v>
      </c>
    </row>
    <row r="2968" spans="1:9">
      <c r="A2968" s="1" t="str">
        <f>"410482200212010016"</f>
        <v>410482200212010016</v>
      </c>
      <c r="B2968" s="1" t="str">
        <f t="shared" si="1468"/>
        <v>群众</v>
      </c>
      <c r="C2968" s="1" t="str">
        <f t="shared" si="1467"/>
        <v>本科</v>
      </c>
      <c r="D2968" s="1" t="str">
        <f>"20250701"</f>
        <v>20250701</v>
      </c>
      <c r="E2968" s="1" t="str">
        <f>"信阳学院"</f>
        <v>信阳学院</v>
      </c>
      <c r="F2968" s="1" t="str">
        <f>"经济学"</f>
        <v>经济学</v>
      </c>
      <c r="G2968" s="1" t="str">
        <f>"河南省平顶山市汝州市安平街56号"</f>
        <v>河南省平顶山市汝州市安平街56号</v>
      </c>
      <c r="H2968" s="1" t="str">
        <f t="shared" si="1465"/>
        <v>无</v>
      </c>
      <c r="I2968" s="1" t="str">
        <f>"202109-202507 信阳学院 就读。商学院经济学全日制"</f>
        <v>202109-202507 信阳学院 就读。商学院经济学全日制</v>
      </c>
    </row>
    <row r="2969" spans="1:9">
      <c r="A2969" s="1" t="str">
        <f>"411081200006130351"</f>
        <v>411081200006130351</v>
      </c>
      <c r="B2969" s="1" t="str">
        <f t="shared" si="1466"/>
        <v>共青团员</v>
      </c>
      <c r="C2969" s="1" t="str">
        <f t="shared" si="1467"/>
        <v>本科</v>
      </c>
      <c r="D2969" s="1" t="str">
        <f>"20250630"</f>
        <v>20250630</v>
      </c>
      <c r="E2969" s="1" t="str">
        <f>"桂林电子科技大学"</f>
        <v>桂林电子科技大学</v>
      </c>
      <c r="F2969" s="1" t="str">
        <f>"电子信息工程"</f>
        <v>电子信息工程</v>
      </c>
      <c r="G2969" s="1" t="str">
        <f>"河南省许昌市禹州市颍川街道金秀苑"</f>
        <v>河南省许昌市禹州市颍川街道金秀苑</v>
      </c>
      <c r="H2969" s="1" t="str">
        <f t="shared" si="1465"/>
        <v>无</v>
      </c>
      <c r="I2969" s="1" t="str">
        <f>"201809-202106 桂林电子科技大学北海校区电子信息学院电子信息工程技术专业就读 全日制学历
202107-202210 广州驰凯电子科技有限公司产品工程师
202211-202302 待业
202303-202503 禹州市街角饮品店店长
202506 桂林电子科技大学电子信息工程专业毕业 非全日制学历
202504-至今 待业"</f>
        <v>201809-202106 桂林电子科技大学北海校区电子信息学院电子信息工程技术专业就读 全日制学历
202107-202210 广州驰凯电子科技有限公司产品工程师
202211-202302 待业
202303-202503 禹州市街角饮品店店长
202506 桂林电子科技大学电子信息工程专业毕业 非全日制学历
202504-至今 待业</v>
      </c>
    </row>
    <row r="2970" spans="1:9">
      <c r="A2970" s="1" t="str">
        <f>"411330199606301514"</f>
        <v>411330199606301514</v>
      </c>
      <c r="B2970" s="1" t="str">
        <f t="shared" si="1468"/>
        <v>群众</v>
      </c>
      <c r="C2970" s="1" t="str">
        <f t="shared" si="1467"/>
        <v>本科</v>
      </c>
      <c r="D2970" s="1" t="str">
        <f>"20210701"</f>
        <v>20210701</v>
      </c>
      <c r="E2970" s="1" t="str">
        <f>"河南财经政法大学"</f>
        <v>河南财经政法大学</v>
      </c>
      <c r="F2970" s="1" t="str">
        <f>"法学"</f>
        <v>法学</v>
      </c>
      <c r="G2970" s="1" t="str">
        <f>"河南省南阳市西峡县五里桥镇雅园小区5-8"</f>
        <v>河南省南阳市西峡县五里桥镇雅园小区5-8</v>
      </c>
      <c r="H2970" s="1" t="str">
        <f t="shared" si="1465"/>
        <v>无</v>
      </c>
      <c r="I2970" s="1" t="str">
        <f>"2015.09 至 2018.07 郑州电力高等专科学校 电力系统自动化专业 
2019.03 至 2021.07 河南财经政法大学 法学专业 
2018.08 至 2021.05 南阳汉冶特钢有限公司能源部 变电运行工
2021.06 至 2023.02 南阳村镇银行 普惠业务部西峡小组 客户经理
2023.02 至 2024.07 南阳村镇银行 普惠业务部西峡小组 代理组长
2024.08 至 2025.07 南阳村镇银行 普惠业务部西峡小组 区域经理"</f>
        <v>2015.09 至 2018.07 郑州电力高等专科学校 电力系统自动化专业 
2019.03 至 2021.07 河南财经政法大学 法学专业 
2018.08 至 2021.05 南阳汉冶特钢有限公司能源部 变电运行工
2021.06 至 2023.02 南阳村镇银行 普惠业务部西峡小组 客户经理
2023.02 至 2024.07 南阳村镇银行 普惠业务部西峡小组 代理组长
2024.08 至 2025.07 南阳村镇银行 普惠业务部西峡小组 区域经理</v>
      </c>
    </row>
    <row r="2971" spans="1:9">
      <c r="A2971" s="1" t="str">
        <f>"412728200106153822"</f>
        <v>412728200106153822</v>
      </c>
      <c r="B2971" s="1" t="str">
        <f t="shared" ref="B2971:B2976" si="1469">"共青团员"</f>
        <v>共青团员</v>
      </c>
      <c r="C2971" s="1" t="str">
        <f>"专科"</f>
        <v>专科</v>
      </c>
      <c r="D2971" s="1" t="str">
        <f>"20250701"</f>
        <v>20250701</v>
      </c>
      <c r="E2971" s="1" t="str">
        <f>"江苏电子信息职业学院"</f>
        <v>江苏电子信息职业学院</v>
      </c>
      <c r="F2971" s="1" t="str">
        <f>"数字媒体技术"</f>
        <v>数字媒体技术</v>
      </c>
      <c r="G2971" s="1" t="str">
        <f>"河南省周口市沈丘县范营乡八里棚褚庄"</f>
        <v>河南省周口市沈丘县范营乡八里棚褚庄</v>
      </c>
      <c r="H2971" s="1" t="str">
        <f t="shared" si="1465"/>
        <v>无</v>
      </c>
      <c r="I2971" s="1" t="str">
        <f>"202209-202507 江苏电子信息职业学院建筑装饰与艺术设计学院数字媒体技术专业 就读，全日制。"</f>
        <v>202209-202507 江苏电子信息职业学院建筑装饰与艺术设计学院数字媒体技术专业 就读，全日制。</v>
      </c>
    </row>
    <row r="2972" spans="1:9">
      <c r="A2972" s="1" t="str">
        <f>"410881200308088518"</f>
        <v>410881200308088518</v>
      </c>
      <c r="B2972" s="1" t="str">
        <f>"群众"</f>
        <v>群众</v>
      </c>
      <c r="C2972" s="1" t="str">
        <f t="shared" ref="C2972:C2982" si="1470">"本科"</f>
        <v>本科</v>
      </c>
      <c r="D2972" s="1" t="str">
        <f>"20260706"</f>
        <v>20260706</v>
      </c>
      <c r="E2972" s="1" t="str">
        <f>"郑州轻工业大学"</f>
        <v>郑州轻工业大学</v>
      </c>
      <c r="F2972" s="1" t="str">
        <f>"电气工程及其自动化"</f>
        <v>电气工程及其自动化</v>
      </c>
      <c r="G2972" s="1" t="str">
        <f>"河南省济源市北海花苑一号楼一单元"</f>
        <v>河南省济源市北海花苑一号楼一单元</v>
      </c>
      <c r="H2972" s="1" t="str">
        <f t="shared" si="1465"/>
        <v>无</v>
      </c>
      <c r="I2972" s="1" t="str">
        <f>"202109-202407 开封大学 工业机器人技术专业 就读 是全日制
202409-至今      郑州轻工业大学 电气工程及其自动化专业 就读 是全日制"</f>
        <v>202109-202407 开封大学 工业机器人技术专业 就读 是全日制
202409-至今      郑州轻工业大学 电气工程及其自动化专业 就读 是全日制</v>
      </c>
    </row>
    <row r="2973" spans="1:9">
      <c r="A2973" s="1" t="str">
        <f>"411323200008270043"</f>
        <v>411323200008270043</v>
      </c>
      <c r="B2973" s="1" t="str">
        <f>"群众"</f>
        <v>群众</v>
      </c>
      <c r="C2973" s="1" t="str">
        <f>"专科"</f>
        <v>专科</v>
      </c>
      <c r="D2973" s="1" t="str">
        <f>"202210720"</f>
        <v>202210720</v>
      </c>
      <c r="E2973" s="1" t="str">
        <f>"中南林业科技大学"</f>
        <v>中南林业科技大学</v>
      </c>
      <c r="F2973" s="1" t="str">
        <f>"园林技术"</f>
        <v>园林技术</v>
      </c>
      <c r="G2973" s="1" t="str">
        <f>"淅川县政和小区西门"</f>
        <v>淅川县政和小区西门</v>
      </c>
      <c r="H2973" s="1" t="str">
        <f t="shared" si="1465"/>
        <v>无</v>
      </c>
      <c r="I2973" s="1" t="str">
        <f>"201809-202108 中南林业科技大学就读园林技术专业 为全日制专科  "</f>
        <v>201809-202108 中南林业科技大学就读园林技术专业 为全日制专科  </v>
      </c>
    </row>
    <row r="2974" spans="1:9">
      <c r="A2974" s="1" t="str">
        <f>"411381200001124223"</f>
        <v>411381200001124223</v>
      </c>
      <c r="B2974" s="1" t="str">
        <f t="shared" si="1469"/>
        <v>共青团员</v>
      </c>
      <c r="C2974" s="1" t="str">
        <f t="shared" si="1470"/>
        <v>本科</v>
      </c>
      <c r="D2974" s="1" t="str">
        <f>"20220701"</f>
        <v>20220701</v>
      </c>
      <c r="E2974" s="1" t="str">
        <f>"河南农业大学"</f>
        <v>河南农业大学</v>
      </c>
      <c r="F2974" s="1" t="str">
        <f>"社会工作"</f>
        <v>社会工作</v>
      </c>
      <c r="G2974" s="1" t="str">
        <f>"河南省邓州市十林镇"</f>
        <v>河南省邓州市十林镇</v>
      </c>
      <c r="H2974" s="1" t="str">
        <f t="shared" si="1465"/>
        <v>无</v>
      </c>
      <c r="I2974" s="1" t="str">
        <f>"201809-202206 在河南农业大学 文法学院 社会工作专业就读
202207-202507在河南邓州待业"</f>
        <v>201809-202206 在河南农业大学 文法学院 社会工作专业就读
202207-202507在河南邓州待业</v>
      </c>
    </row>
    <row r="2975" spans="1:9">
      <c r="A2975" s="1" t="str">
        <f>"411327200008224923"</f>
        <v>411327200008224923</v>
      </c>
      <c r="B2975" s="1" t="str">
        <f t="shared" si="1469"/>
        <v>共青团员</v>
      </c>
      <c r="C2975" s="1" t="str">
        <f t="shared" si="1470"/>
        <v>本科</v>
      </c>
      <c r="D2975" s="1" t="str">
        <f>"20210701"</f>
        <v>20210701</v>
      </c>
      <c r="E2975" s="1" t="str">
        <f>"河南理工大学"</f>
        <v>河南理工大学</v>
      </c>
      <c r="F2975" s="1" t="str">
        <f>"市场营销学"</f>
        <v>市场营销学</v>
      </c>
      <c r="G2975" s="1" t="str">
        <f>"河南省南阳市内乡县灌涨镇"</f>
        <v>河南省南阳市内乡县灌涨镇</v>
      </c>
      <c r="H2975" s="1" t="str">
        <f t="shared" si="1465"/>
        <v>无</v>
      </c>
      <c r="I2975" s="1" t="str">
        <f>"201709-202107河南理工大学工商管理学院市场营销系就读，全日制学历。"</f>
        <v>201709-202107河南理工大学工商管理学院市场营销系就读，全日制学历。</v>
      </c>
    </row>
    <row r="2976" spans="1:9">
      <c r="A2976" s="1" t="str">
        <f>"411327200010164923"</f>
        <v>411327200010164923</v>
      </c>
      <c r="B2976" s="1" t="str">
        <f t="shared" si="1469"/>
        <v>共青团员</v>
      </c>
      <c r="C2976" s="1" t="str">
        <f t="shared" si="1470"/>
        <v>本科</v>
      </c>
      <c r="D2976" s="1" t="str">
        <f>"20250701"</f>
        <v>20250701</v>
      </c>
      <c r="E2976" s="1" t="str">
        <f>"河南科技大学"</f>
        <v>河南科技大学</v>
      </c>
      <c r="F2976" s="1" t="str">
        <f>"医学检验技术"</f>
        <v>医学检验技术</v>
      </c>
      <c r="G2976" s="1" t="str">
        <f>"河南省南阳市内乡县灌涨镇杨洼村刘罗4组"</f>
        <v>河南省南阳市内乡县灌涨镇杨洼村刘罗4组</v>
      </c>
      <c r="H2976" s="1" t="str">
        <f>"卫生专业技术资格初级检验士"</f>
        <v>卫生专业技术资格初级检验士</v>
      </c>
      <c r="I2976" s="1" t="str">
        <f>"2019年9月至2022年7月在洛阳职业技术学院，医学检验技术专业就读全日制。
2023年4月至2025年7月在河南科技大学，医学检验技术专业就读非全日制"</f>
        <v>2019年9月至2022年7月在洛阳职业技术学院，医学检验技术专业就读全日制。
2023年4月至2025年7月在河南科技大学，医学检验技术专业就读非全日制</v>
      </c>
    </row>
    <row r="2977" spans="1:9">
      <c r="A2977" s="1" t="str">
        <f>"411330200107154017"</f>
        <v>411330200107154017</v>
      </c>
      <c r="B2977" s="1" t="str">
        <f t="shared" ref="B2977:B2981" si="1471">"中共党员"</f>
        <v>中共党员</v>
      </c>
      <c r="C2977" s="1" t="str">
        <f t="shared" si="1470"/>
        <v>本科</v>
      </c>
      <c r="D2977" s="1" t="str">
        <f>"20240607"</f>
        <v>20240607</v>
      </c>
      <c r="E2977" s="1" t="str">
        <f>"黄河科技学院"</f>
        <v>黄河科技学院</v>
      </c>
      <c r="F2977" s="1" t="str">
        <f>"舞蹈编导（体育舞蹈方向）"</f>
        <v>舞蹈编导（体育舞蹈方向）</v>
      </c>
      <c r="G2977" s="1" t="str">
        <f>"河南省南阳市西峡县"</f>
        <v>河南省南阳市西峡县</v>
      </c>
      <c r="H2977" s="1" t="str">
        <f t="shared" ref="H2977:H2990" si="1472">"无"</f>
        <v>无</v>
      </c>
      <c r="I2977" s="1" t="str">
        <f>"202009-202406 黄河科技学院艺体学部舞蹈编导（体育舞蹈方向）就读 
202406-至今 待业"</f>
        <v>202009-202406 黄河科技学院艺体学部舞蹈编导（体育舞蹈方向）就读 
202406-至今 待业</v>
      </c>
    </row>
    <row r="2978" spans="1:9">
      <c r="A2978" s="1" t="str">
        <f>"413026199411016677"</f>
        <v>413026199411016677</v>
      </c>
      <c r="B2978" s="1" t="str">
        <f t="shared" si="1471"/>
        <v>中共党员</v>
      </c>
      <c r="C2978" s="1" t="str">
        <f t="shared" si="1470"/>
        <v>本科</v>
      </c>
      <c r="D2978" s="1" t="str">
        <f>"20250120"</f>
        <v>20250120</v>
      </c>
      <c r="E2978" s="1" t="str">
        <f>"国家开放大学"</f>
        <v>国家开放大学</v>
      </c>
      <c r="F2978" s="1" t="str">
        <f>"工商管理"</f>
        <v>工商管理</v>
      </c>
      <c r="G2978" s="1" t="str">
        <f>"新郑市龙湖镇康桥原溪里2号院"</f>
        <v>新郑市龙湖镇康桥原溪里2号院</v>
      </c>
      <c r="H2978" s="1" t="str">
        <f t="shared" si="1472"/>
        <v>无</v>
      </c>
      <c r="I2978" s="1" t="str">
        <f>"2011年-2016年洛阳市武警消防支队服役
2013年1月至 2015年1月中央广播电视大学汉语言文学专业，非全日制，专科
2017年1月至 2019年4月河南汇隆企业管理咨询有限公司   员工
2019年5月至 2022年2月河南方元建筑工程有限公司   员工 
2022年9月-2025年1月国家开放大学工商管理专业，非全日制学历，本科
2022年2月至2025年5月河南周煜坤建筑劳务分包有限公司     员工
2025年6月至今待业"</f>
        <v>2011年-2016年洛阳市武警消防支队服役
2013年1月至 2015年1月中央广播电视大学汉语言文学专业，非全日制，专科
2017年1月至 2019年4月河南汇隆企业管理咨询有限公司   员工
2019年5月至 2022年2月河南方元建筑工程有限公司   员工 
2022年9月-2025年1月国家开放大学工商管理专业，非全日制学历，本科
2022年2月至2025年5月河南周煜坤建筑劳务分包有限公司     员工
2025年6月至今待业</v>
      </c>
    </row>
    <row r="2979" spans="1:9">
      <c r="A2979" s="1" t="str">
        <f>"411327199710024918"</f>
        <v>411327199710024918</v>
      </c>
      <c r="B2979" s="1" t="str">
        <f t="shared" ref="B2979:B2982" si="1473">"共青团员"</f>
        <v>共青团员</v>
      </c>
      <c r="C2979" s="1" t="str">
        <f t="shared" si="1470"/>
        <v>本科</v>
      </c>
      <c r="D2979" s="1" t="str">
        <f>"20200701"</f>
        <v>20200701</v>
      </c>
      <c r="E2979" s="1" t="str">
        <f>"商丘学院"</f>
        <v>商丘学院</v>
      </c>
      <c r="F2979" s="1" t="str">
        <f>"会计学"</f>
        <v>会计学</v>
      </c>
      <c r="G2979" s="1" t="str">
        <f>"河南省南阳市内乡县灌涨镇西岗"</f>
        <v>河南省南阳市内乡县灌涨镇西岗</v>
      </c>
      <c r="H2979" s="1" t="str">
        <f>"普通话二级乙等"</f>
        <v>普通话二级乙等</v>
      </c>
      <c r="I2979" s="1" t="str">
        <f>"20160901-20200701 商丘学院 会计学专业 就读，全日制本科学历"</f>
        <v>20160901-20200701 商丘学院 会计学专业 就读，全日制本科学历</v>
      </c>
    </row>
    <row r="2980" spans="1:9">
      <c r="A2980" s="1" t="str">
        <f>"411082200305106032"</f>
        <v>411082200305106032</v>
      </c>
      <c r="B2980" s="1" t="str">
        <f t="shared" si="1473"/>
        <v>共青团员</v>
      </c>
      <c r="C2980" s="1" t="str">
        <f t="shared" si="1470"/>
        <v>本科</v>
      </c>
      <c r="D2980" s="1" t="str">
        <f>"20250607"</f>
        <v>20250607</v>
      </c>
      <c r="E2980" s="1" t="str">
        <f>"许昌学院"</f>
        <v>许昌学院</v>
      </c>
      <c r="F2980" s="1" t="str">
        <f>"体育教育"</f>
        <v>体育教育</v>
      </c>
      <c r="G2980" s="1" t="str">
        <f>"1807933700@qq.com"</f>
        <v>1807933700@qq.com</v>
      </c>
      <c r="H2980" s="1" t="str">
        <f t="shared" si="1472"/>
        <v>无</v>
      </c>
      <c r="I2980" s="1" t="str">
        <f>"202109-202506许昌学院就读体育教育专业"</f>
        <v>202109-202506许昌学院就读体育教育专业</v>
      </c>
    </row>
    <row r="2981" spans="1:9">
      <c r="A2981" s="1" t="str">
        <f>"411327199502201123"</f>
        <v>411327199502201123</v>
      </c>
      <c r="B2981" s="1" t="str">
        <f t="shared" si="1471"/>
        <v>中共党员</v>
      </c>
      <c r="C2981" s="1" t="str">
        <f t="shared" si="1470"/>
        <v>本科</v>
      </c>
      <c r="D2981" s="1" t="str">
        <f>"20170621"</f>
        <v>20170621</v>
      </c>
      <c r="E2981" s="1" t="str">
        <f>"福建工程学院"</f>
        <v>福建工程学院</v>
      </c>
      <c r="F2981" s="1" t="str">
        <f>"公共事业管理"</f>
        <v>公共事业管理</v>
      </c>
      <c r="G2981" s="1" t="str">
        <f>"内乡县赤眉镇振兴街1号"</f>
        <v>内乡县赤眉镇振兴街1号</v>
      </c>
      <c r="H2981" s="1" t="str">
        <f t="shared" si="1472"/>
        <v>无</v>
      </c>
      <c r="I2981" s="1" t="str">
        <f>"201309-201706 福建工程学院 管理学院 公共事业管理专业就读 全日制"</f>
        <v>201309-201706 福建工程学院 管理学院 公共事业管理专业就读 全日制</v>
      </c>
    </row>
    <row r="2982" spans="1:9">
      <c r="A2982" s="1" t="str">
        <f>"411327200310223710"</f>
        <v>411327200310223710</v>
      </c>
      <c r="B2982" s="1" t="str">
        <f t="shared" si="1473"/>
        <v>共青团员</v>
      </c>
      <c r="C2982" s="1" t="str">
        <f t="shared" si="1470"/>
        <v>本科</v>
      </c>
      <c r="D2982" s="1" t="str">
        <f>"20250630"</f>
        <v>20250630</v>
      </c>
      <c r="E2982" s="1" t="str">
        <f>"云南警官学院"</f>
        <v>云南警官学院</v>
      </c>
      <c r="F2982" s="1" t="str">
        <f>"网络空间安全"</f>
        <v>网络空间安全</v>
      </c>
      <c r="G2982" s="1" t="str">
        <f>"河南省南阳市淅川县上集镇西坪头"</f>
        <v>河南省南阳市淅川县上集镇西坪头</v>
      </c>
      <c r="H2982" s="1" t="str">
        <f t="shared" si="1472"/>
        <v>无</v>
      </c>
      <c r="I2982" s="1" t="str">
        <f>"202109-202506在云南警官学院信息网络安全学院网络空间安全专业就读，全日制学历"</f>
        <v>202109-202506在云南警官学院信息网络安全学院网络空间安全专业就读，全日制学历</v>
      </c>
    </row>
    <row r="2983" spans="1:9">
      <c r="A2983" s="1" t="str">
        <f>"372930199905214454"</f>
        <v>372930199905214454</v>
      </c>
      <c r="B2983" s="1" t="str">
        <f>"群众"</f>
        <v>群众</v>
      </c>
      <c r="C2983" s="1" t="str">
        <f>"专科"</f>
        <v>专科</v>
      </c>
      <c r="D2983" s="1" t="str">
        <f>"2021年7月10日"</f>
        <v>2021年7月10日</v>
      </c>
      <c r="E2983" s="1" t="str">
        <f>"中国石油大学（华东）"</f>
        <v>中国石油大学（华东）</v>
      </c>
      <c r="F2983" s="1" t="str">
        <f>"计算机应用技术"</f>
        <v>计算机应用技术</v>
      </c>
      <c r="G2983" s="1" t="str">
        <f>"山东省菏泽市东明县工业路中央现代城"</f>
        <v>山东省菏泽市东明县工业路中央现代城</v>
      </c>
      <c r="H2983" s="1" t="str">
        <f t="shared" si="1472"/>
        <v>无</v>
      </c>
      <c r="I2983" s="1" t="str">
        <f>"2018年 9年月至2021年7月在中国石油大学（华东) 网络教育计算机应用技术 专业学习，修完高中起点专科教学计划
2021年7月至2022年8月自学环境设计 室内设计 施工图深化
2022.8月至2023年5月于 山东吴业灿娱乐设计担任效果图表现师 CAD制图师
2023年5月至2024年4月于东明县倾城装饰担任全案设计师
2024年4月至2024年11月于东明县索菲亚整家定制担任全案设计师
2024年12月至今于东明县焦园乡人民政府人社所公益岗"</f>
        <v>2018年 9年月至2021年7月在中国石油大学（华东) 网络教育计算机应用技术 专业学习，修完高中起点专科教学计划
2021年7月至2022年8月自学环境设计 室内设计 施工图深化
2022.8月至2023年5月于 山东吴业灿娱乐设计担任效果图表现师 CAD制图师
2023年5月至2024年4月于东明县倾城装饰担任全案设计师
2024年4月至2024年11月于东明县索菲亚整家定制担任全案设计师
2024年12月至今于东明县焦园乡人民政府人社所公益岗</v>
      </c>
    </row>
    <row r="2984" spans="1:9">
      <c r="A2984" s="1" t="str">
        <f>"410185200008121010"</f>
        <v>410185200008121010</v>
      </c>
      <c r="B2984" s="1" t="str">
        <f>"共青团员"</f>
        <v>共青团员</v>
      </c>
      <c r="C2984" s="1" t="str">
        <f>"硕士研究生"</f>
        <v>硕士研究生</v>
      </c>
      <c r="D2984" s="1" t="str">
        <f>"20250625"</f>
        <v>20250625</v>
      </c>
      <c r="E2984" s="1" t="str">
        <f>"湘潭大学"</f>
        <v>湘潭大学</v>
      </c>
      <c r="F2984" s="1" t="str">
        <f>"哲学"</f>
        <v>哲学</v>
      </c>
      <c r="G2984" s="1" t="str">
        <f>"河南省登封市卢店镇"</f>
        <v>河南省登封市卢店镇</v>
      </c>
      <c r="H2984" s="1" t="str">
        <f t="shared" si="1472"/>
        <v>无</v>
      </c>
      <c r="I2984" s="1" t="str">
        <f>"201809-202206 中国石油大学（华东） 石油工程专业 全日制
202209-202506 湘潭大学 哲学专业 全日制"</f>
        <v>201809-202206 中国石油大学（华东） 石油工程专业 全日制
202209-202506 湘潭大学 哲学专业 全日制</v>
      </c>
    </row>
    <row r="2985" spans="1:9">
      <c r="A2985" s="1" t="str">
        <f>"411330200103153113"</f>
        <v>411330200103153113</v>
      </c>
      <c r="B2985" s="1" t="str">
        <f>"共青团员"</f>
        <v>共青团员</v>
      </c>
      <c r="C2985" s="1" t="str">
        <f t="shared" ref="C2985:C2990" si="1474">"本科"</f>
        <v>本科</v>
      </c>
      <c r="D2985" s="1" t="str">
        <f>"20230701"</f>
        <v>20230701</v>
      </c>
      <c r="E2985" s="1" t="str">
        <f>"河南科技大学"</f>
        <v>河南科技大学</v>
      </c>
      <c r="F2985" s="1" t="str">
        <f>"旅游管理"</f>
        <v>旅游管理</v>
      </c>
      <c r="G2985" s="1" t="str">
        <f>"河南省南阳市西峡县建设路幸福公寓502"</f>
        <v>河南省南阳市西峡县建设路幸福公寓502</v>
      </c>
      <c r="H2985" s="1" t="str">
        <f t="shared" si="1472"/>
        <v>无</v>
      </c>
      <c r="I2985" s="1" t="str">
        <f>"20190901-20230701在河南科技大学管理学院旅游管理专业就读，统招全日制本科，管理学学士学位。"</f>
        <v>20190901-20230701在河南科技大学管理学院旅游管理专业就读，统招全日制本科，管理学学士学位。</v>
      </c>
    </row>
    <row r="2986" spans="1:9">
      <c r="A2986" s="1" t="str">
        <f>"411324199910201422"</f>
        <v>411324199910201422</v>
      </c>
      <c r="B2986" s="1" t="str">
        <f>"群众"</f>
        <v>群众</v>
      </c>
      <c r="C2986" s="1" t="str">
        <f>"专科"</f>
        <v>专科</v>
      </c>
      <c r="D2986" s="1" t="str">
        <f>"20210710"</f>
        <v>20210710</v>
      </c>
      <c r="E2986" s="1" t="str">
        <f>"河南工业贸易职业学院"</f>
        <v>河南工业贸易职业学院</v>
      </c>
      <c r="F2986" s="1" t="str">
        <f>"工商企业管理"</f>
        <v>工商企业管理</v>
      </c>
      <c r="G2986" s="1" t="str">
        <f>"河南省镇平县二龙乡东马沟村棠北庄215号"</f>
        <v>河南省镇平县二龙乡东马沟村棠北庄215号</v>
      </c>
      <c r="H2986" s="1" t="str">
        <f t="shared" si="1472"/>
        <v>无</v>
      </c>
      <c r="I2986" s="1" t="str">
        <f>"201809-202107在河南工业贸易职业学院工商企业管理专业就读，全日制大专学历
202108入职南阳新希望公司，做客服
202305-202506入学通化师范学院，汉语言文学专业，成人本科学历。"</f>
        <v>201809-202107在河南工业贸易职业学院工商企业管理专业就读，全日制大专学历
202108入职南阳新希望公司，做客服
202305-202506入学通化师范学院，汉语言文学专业，成人本科学历。</v>
      </c>
    </row>
    <row r="2987" spans="1:9">
      <c r="A2987" s="1" t="str">
        <f>"410325199209204524"</f>
        <v>410325199209204524</v>
      </c>
      <c r="B2987" s="1" t="str">
        <f t="shared" ref="B2987:B2989" si="1475">"中共党员"</f>
        <v>中共党员</v>
      </c>
      <c r="C2987" s="1" t="str">
        <f t="shared" si="1474"/>
        <v>本科</v>
      </c>
      <c r="D2987" s="1" t="str">
        <f>"20160701"</f>
        <v>20160701</v>
      </c>
      <c r="E2987" s="1" t="str">
        <f>"河南科技学院新科学院"</f>
        <v>河南科技学院新科学院</v>
      </c>
      <c r="F2987" s="1" t="str">
        <f>"英语翻译"</f>
        <v>英语翻译</v>
      </c>
      <c r="G2987" s="1" t="str">
        <f>"河南省洛阳市嵩县车村镇人民政府"</f>
        <v>河南省洛阳市嵩县车村镇人民政府</v>
      </c>
      <c r="H2987" s="1" t="str">
        <f t="shared" si="1472"/>
        <v>无</v>
      </c>
      <c r="I2987" s="1" t="str">
        <f>"2008.09-2012.06在嵩县第一高级中学学习；
2012.09-2016.07在河南科技学院新科学院学习；
2016.10-至今在嵩县车村镇人民政府工作。"</f>
        <v>2008.09-2012.06在嵩县第一高级中学学习；
2012.09-2016.07在河南科技学院新科学院学习；
2016.10-至今在嵩县车村镇人民政府工作。</v>
      </c>
    </row>
    <row r="2988" spans="1:9">
      <c r="A2988" s="1" t="str">
        <f>"411322200310100209"</f>
        <v>411322200310100209</v>
      </c>
      <c r="B2988" s="1" t="str">
        <f t="shared" si="1475"/>
        <v>中共党员</v>
      </c>
      <c r="C2988" s="1" t="str">
        <f t="shared" si="1474"/>
        <v>本科</v>
      </c>
      <c r="D2988" s="1" t="str">
        <f>"20250701"</f>
        <v>20250701</v>
      </c>
      <c r="E2988" s="1" t="str">
        <f>"南阳师范学院"</f>
        <v>南阳师范学院</v>
      </c>
      <c r="F2988" s="1" t="str">
        <f>"工商管理"</f>
        <v>工商管理</v>
      </c>
      <c r="G2988" s="1" t="str">
        <f>"河南省南召县皇路店镇鸭河村二十一组117号"</f>
        <v>河南省南召县皇路店镇鸭河村二十一组117号</v>
      </c>
      <c r="H2988" s="1" t="str">
        <f t="shared" si="1472"/>
        <v>无</v>
      </c>
      <c r="I2988" s="1" t="str">
        <f>"202109-202507南阳师范学院经济与管理学院工商管理专业就读，全日制本科学历"</f>
        <v>202109-202507南阳师范学院经济与管理学院工商管理专业就读，全日制本科学历</v>
      </c>
    </row>
    <row r="2989" spans="1:9">
      <c r="A2989" s="1" t="str">
        <f>"411421199904147235"</f>
        <v>411421199904147235</v>
      </c>
      <c r="B2989" s="1" t="str">
        <f t="shared" si="1475"/>
        <v>中共党员</v>
      </c>
      <c r="C2989" s="1" t="str">
        <f t="shared" si="1474"/>
        <v>本科</v>
      </c>
      <c r="D2989" s="1" t="str">
        <f>"20240701"</f>
        <v>20240701</v>
      </c>
      <c r="E2989" s="1" t="str">
        <f>"安阳学院"</f>
        <v>安阳学院</v>
      </c>
      <c r="F2989" s="1" t="str">
        <f>"行政管理"</f>
        <v>行政管理</v>
      </c>
      <c r="G2989" s="1" t="str">
        <f>"河南省商丘市民权县程庄镇毕集村"</f>
        <v>河南省商丘市民权县程庄镇毕集村</v>
      </c>
      <c r="H2989" s="1" t="str">
        <f t="shared" si="1472"/>
        <v>无</v>
      </c>
      <c r="I2989" s="1" t="str">
        <f>"202009—202407 在安阳学院经济与管理学院行政管理专业就读 全日制
202407—至今      在湖北健康职业学院工作  辅导员"</f>
        <v>202009—202407 在安阳学院经济与管理学院行政管理专业就读 全日制
202407—至今      在湖北健康职业学院工作  辅导员</v>
      </c>
    </row>
    <row r="2990" spans="1:9">
      <c r="A2990" s="1" t="str">
        <f>"41132720030218001X"</f>
        <v>41132720030218001X</v>
      </c>
      <c r="B2990" s="1" t="str">
        <f>"共青团员"</f>
        <v>共青团员</v>
      </c>
      <c r="C2990" s="1" t="str">
        <f t="shared" si="1474"/>
        <v>本科</v>
      </c>
      <c r="D2990" s="1" t="str">
        <f>"20250701"</f>
        <v>20250701</v>
      </c>
      <c r="E2990" s="1" t="str">
        <f>"河南科技大学"</f>
        <v>河南科技大学</v>
      </c>
      <c r="F2990" s="1" t="str">
        <f>"材料成型及控制工程"</f>
        <v>材料成型及控制工程</v>
      </c>
      <c r="G2990" s="1" t="str">
        <f>"城关镇忠孝塔后万和家园一单元"</f>
        <v>城关镇忠孝塔后万和家园一单元</v>
      </c>
      <c r="H2990" s="1" t="str">
        <f t="shared" si="1472"/>
        <v>无</v>
      </c>
      <c r="I2990" s="1" t="str">
        <f>"202109-202507 河南科技大学 就读
202507至今 待业"</f>
        <v>202109-202507 河南科技大学 就读
202507至今 待业</v>
      </c>
    </row>
    <row r="2991" spans="1:9">
      <c r="A2991" s="1" t="str">
        <f>"411327199803201557"</f>
        <v>411327199803201557</v>
      </c>
      <c r="B2991" s="1" t="str">
        <f t="shared" ref="B2991:B2995" si="1476">"群众"</f>
        <v>群众</v>
      </c>
      <c r="C2991" s="1" t="str">
        <f t="shared" ref="C2991:C2995" si="1477">"专科"</f>
        <v>专科</v>
      </c>
      <c r="D2991" s="1" t="str">
        <f>"2018-07-01"</f>
        <v>2018-07-01</v>
      </c>
      <c r="E2991" s="1" t="str">
        <f>"河南交通职业技术学院"</f>
        <v>河南交通职业技术学院</v>
      </c>
      <c r="F2991" s="1" t="str">
        <f>"道路桥梁工程技术"</f>
        <v>道路桥梁工程技术</v>
      </c>
      <c r="G2991" s="1" t="str">
        <f>"河南省内乡县城关镇宏达南路41巷"</f>
        <v>河南省内乡县城关镇宏达南路41巷</v>
      </c>
      <c r="H2991" s="1" t="str">
        <f>"助理工程师"</f>
        <v>助理工程师</v>
      </c>
      <c r="I2991" s="1" t="str">
        <f>"20160901-20180701 河南交通职业技术学院 道路桥梁工程技术专业就读 是全日制学历"</f>
        <v>20160901-20180701 河南交通职业技术学院 道路桥梁工程技术专业就读 是全日制学历</v>
      </c>
    </row>
    <row r="2992" spans="1:9">
      <c r="A2992" s="1" t="str">
        <f>"140411200103092613"</f>
        <v>140411200103092613</v>
      </c>
      <c r="B2992" s="1" t="str">
        <f>"中共党员"</f>
        <v>中共党员</v>
      </c>
      <c r="C2992" s="1" t="str">
        <f t="shared" ref="C2992:C2996" si="1478">"本科"</f>
        <v>本科</v>
      </c>
      <c r="D2992" s="1" t="str">
        <f>"20230630"</f>
        <v>20230630</v>
      </c>
      <c r="E2992" s="1" t="str">
        <f>"武汉体育学院体育科技学院"</f>
        <v>武汉体育学院体育科技学院</v>
      </c>
      <c r="F2992" s="1" t="str">
        <f>"舞蹈学"</f>
        <v>舞蹈学</v>
      </c>
      <c r="G2992" s="1" t="str">
        <f>"山西省长治市潞州区潞赛达小区149号"</f>
        <v>山西省长治市潞州区潞赛达小区149号</v>
      </c>
      <c r="H2992" s="1" t="str">
        <f t="shared" ref="H2992:H3001" si="1479">"无"</f>
        <v>无</v>
      </c>
      <c r="I2992" s="1" t="str">
        <f>"201909-202306毕业于武汉体育学院体育科技学院"</f>
        <v>201909-202306毕业于武汉体育学院体育科技学院</v>
      </c>
    </row>
    <row r="2993" spans="1:9">
      <c r="A2993" s="1" t="str">
        <f>"41142419991218713X"</f>
        <v>41142419991218713X</v>
      </c>
      <c r="B2993" s="1" t="str">
        <f t="shared" si="1476"/>
        <v>群众</v>
      </c>
      <c r="C2993" s="1" t="str">
        <f t="shared" si="1478"/>
        <v>本科</v>
      </c>
      <c r="D2993" s="1" t="str">
        <f>"2024-06-13"</f>
        <v>2024-06-13</v>
      </c>
      <c r="E2993" s="1" t="str">
        <f>"中国矿业大学徐海学院"</f>
        <v>中国矿业大学徐海学院</v>
      </c>
      <c r="F2993" s="1" t="str">
        <f>"土木工程 "</f>
        <v>土木工程 </v>
      </c>
      <c r="G2993" s="1" t="str">
        <f>"柘城县洪恩乡小罗张"</f>
        <v>柘城县洪恩乡小罗张</v>
      </c>
      <c r="H2993" s="1" t="str">
        <f t="shared" si="1479"/>
        <v>无</v>
      </c>
      <c r="I2993" s="1" t="str">
        <f>"201909-202406    在中国矿业大学徐海学院建筑与安全工程系全日制土木工程专业就读
202406-202507        待业"</f>
        <v>201909-202406    在中国矿业大学徐海学院建筑与安全工程系全日制土木工程专业就读
202406-202507        待业</v>
      </c>
    </row>
    <row r="2994" spans="1:9">
      <c r="A2994" s="1" t="str">
        <f>"411327199802141521"</f>
        <v>411327199802141521</v>
      </c>
      <c r="B2994" s="1" t="str">
        <f t="shared" si="1476"/>
        <v>群众</v>
      </c>
      <c r="C2994" s="1" t="str">
        <f t="shared" si="1477"/>
        <v>专科</v>
      </c>
      <c r="D2994" s="1" t="str">
        <f>"20200701"</f>
        <v>20200701</v>
      </c>
      <c r="E2994" s="1" t="str">
        <f>"平顶山工业职业技术学院"</f>
        <v>平顶山工业职业技术学院</v>
      </c>
      <c r="F2994" s="1" t="str">
        <f>"物流管理"</f>
        <v>物流管理</v>
      </c>
      <c r="G2994" s="1" t="str">
        <f>"河南省南阳市内乡县湍东镇茶庵"</f>
        <v>河南省南阳市内乡县湍东镇茶庵</v>
      </c>
      <c r="H2994" s="1" t="str">
        <f t="shared" si="1479"/>
        <v>无</v>
      </c>
      <c r="I2994" s="1" t="str">
        <f>"201709-202007平顶山工业职业技术学院就读 全日制学历"</f>
        <v>201709-202007平顶山工业职业技术学院就读 全日制学历</v>
      </c>
    </row>
    <row r="2995" spans="1:9">
      <c r="A2995" s="1" t="str">
        <f>"411327200201012535"</f>
        <v>411327200201012535</v>
      </c>
      <c r="B2995" s="1" t="str">
        <f t="shared" si="1476"/>
        <v>群众</v>
      </c>
      <c r="C2995" s="1" t="str">
        <f t="shared" si="1477"/>
        <v>专科</v>
      </c>
      <c r="D2995" s="1" t="str">
        <f>"20230607"</f>
        <v>20230607</v>
      </c>
      <c r="E2995" s="1" t="str">
        <f>"南阳农业 职业学院"</f>
        <v>南阳农业 职业学院</v>
      </c>
      <c r="F2995" s="1" t="str">
        <f>"畜牧兽医"</f>
        <v>畜牧兽医</v>
      </c>
      <c r="G2995" s="1" t="str">
        <f>"河南省南阳市内乡县湍东镇园丁苑"</f>
        <v>河南省南阳市内乡县湍东镇园丁苑</v>
      </c>
      <c r="H2995" s="1" t="str">
        <f t="shared" si="1479"/>
        <v>无</v>
      </c>
      <c r="I2995" s="1" t="str">
        <f>"202009-202306南阳农业职业学院牧医工程学院畜牧兽医专业全日制学历"</f>
        <v>202009-202306南阳农业职业学院牧医工程学院畜牧兽医专业全日制学历</v>
      </c>
    </row>
    <row r="2996" spans="1:9">
      <c r="A2996" s="1" t="str">
        <f>"41132520020618494X"</f>
        <v>41132520020618494X</v>
      </c>
      <c r="B2996" s="1" t="str">
        <f>"共青团员"</f>
        <v>共青团员</v>
      </c>
      <c r="C2996" s="1" t="str">
        <f t="shared" si="1478"/>
        <v>本科</v>
      </c>
      <c r="D2996" s="1" t="str">
        <f>"20230701"</f>
        <v>20230701</v>
      </c>
      <c r="E2996" s="1" t="str">
        <f>"郑州科技学院"</f>
        <v>郑州科技学院</v>
      </c>
      <c r="F2996" s="1" t="str">
        <f>"软件工程"</f>
        <v>软件工程</v>
      </c>
      <c r="G2996" s="1" t="str">
        <f>"河南省南阳市淅川县商圣街道滨江苑"</f>
        <v>河南省南阳市淅川县商圣街道滨江苑</v>
      </c>
      <c r="H2996" s="1" t="str">
        <f t="shared" si="1479"/>
        <v>无</v>
      </c>
      <c r="I2996" s="1" t="str">
        <f>"201909-202307 郑州科技学院 信息工程院系软件工程专业就读，全日制
202307-至今在家待业"</f>
        <v>201909-202307 郑州科技学院 信息工程院系软件工程专业就读，全日制
202307-至今在家待业</v>
      </c>
    </row>
    <row r="2997" spans="1:9">
      <c r="A2997" s="1" t="str">
        <f>"411327199805071522"</f>
        <v>411327199805071522</v>
      </c>
      <c r="B2997" s="1" t="str">
        <f t="shared" ref="B2997:B3000" si="1480">"群众"</f>
        <v>群众</v>
      </c>
      <c r="C2997" s="1" t="str">
        <f>"硕士研究生"</f>
        <v>硕士研究生</v>
      </c>
      <c r="D2997" s="1" t="str">
        <f>"20230607"</f>
        <v>20230607</v>
      </c>
      <c r="E2997" s="1" t="str">
        <f>"河南农业大学"</f>
        <v>河南农业大学</v>
      </c>
      <c r="F2997" s="1" t="str">
        <f>"畜牧学"</f>
        <v>畜牧学</v>
      </c>
      <c r="G2997" s="1" t="str">
        <f>"河南省南阳市内乡县湍东镇博华官邸"</f>
        <v>河南省南阳市内乡县湍东镇博华官邸</v>
      </c>
      <c r="H2997" s="1" t="str">
        <f t="shared" si="1479"/>
        <v>无</v>
      </c>
      <c r="I2997" s="1" t="str">
        <f>"2016.09-2020.09 河南农业大学本科（动物科学）
2020.09-2023.06 河南农业大学全日制硕士研究生（畜牧学）
2023.06-2025.07  待业"</f>
        <v>2016.09-2020.09 河南农业大学本科（动物科学）
2020.09-2023.06 河南农业大学全日制硕士研究生（畜牧学）
2023.06-2025.07  待业</v>
      </c>
    </row>
    <row r="2998" spans="1:9">
      <c r="A2998" s="1" t="str">
        <f>"411327200110230027"</f>
        <v>411327200110230027</v>
      </c>
      <c r="B2998" s="1" t="str">
        <f t="shared" si="1480"/>
        <v>群众</v>
      </c>
      <c r="C2998" s="1" t="str">
        <f t="shared" ref="C2998:C3002" si="1481">"本科"</f>
        <v>本科</v>
      </c>
      <c r="D2998" s="1" t="str">
        <f>"20250630"</f>
        <v>20250630</v>
      </c>
      <c r="E2998" s="1" t="str">
        <f>"琼台师范学院"</f>
        <v>琼台师范学院</v>
      </c>
      <c r="F2998" s="1" t="str">
        <f>"汉语国际教育"</f>
        <v>汉语国际教育</v>
      </c>
      <c r="G2998" s="1" t="str">
        <f>"河南省南阳市内乡县集贸市场西"</f>
        <v>河南省南阳市内乡县集贸市场西</v>
      </c>
      <c r="H2998" s="1" t="str">
        <f t="shared" si="1479"/>
        <v>无</v>
      </c>
      <c r="I2998" s="1" t="str">
        <f>"202109—20250630琼台师范学院文学院汉语国际教育专业就读，是全日制学历"</f>
        <v>202109—20250630琼台师范学院文学院汉语国际教育专业就读，是全日制学历</v>
      </c>
    </row>
    <row r="2999" spans="1:9">
      <c r="A2999" s="1" t="str">
        <f>"41133020011008112X"</f>
        <v>41133020011008112X</v>
      </c>
      <c r="B2999" s="1" t="str">
        <f t="shared" si="1480"/>
        <v>群众</v>
      </c>
      <c r="C2999" s="1" t="str">
        <f t="shared" si="1481"/>
        <v>本科</v>
      </c>
      <c r="D2999" s="1" t="str">
        <f>"20240617"</f>
        <v>20240617</v>
      </c>
      <c r="E2999" s="1" t="str">
        <f>"黄淮学院"</f>
        <v>黄淮学院</v>
      </c>
      <c r="F2999" s="1" t="str">
        <f>"会计学（注册会计师方向）"</f>
        <v>会计学（注册会计师方向）</v>
      </c>
      <c r="G2999" s="1" t="str">
        <f>"河南省南阳市西峡县紫金街道老十字街"</f>
        <v>河南省南阳市西峡县紫金街道老十字街</v>
      </c>
      <c r="H2999" s="1" t="str">
        <f t="shared" si="1479"/>
        <v>无</v>
      </c>
      <c r="I2999" s="1" t="str">
        <f>"202009-202406黄淮学院经济与管理学院会计学就读，全日制学历就读"</f>
        <v>202009-202406黄淮学院经济与管理学院会计学就读，全日制学历就读</v>
      </c>
    </row>
    <row r="3000" spans="1:9">
      <c r="A3000" s="1" t="str">
        <f>"411327199602023328"</f>
        <v>411327199602023328</v>
      </c>
      <c r="B3000" s="1" t="str">
        <f t="shared" si="1480"/>
        <v>群众</v>
      </c>
      <c r="C3000" s="1" t="str">
        <f>"硕士研究生"</f>
        <v>硕士研究生</v>
      </c>
      <c r="D3000" s="1" t="str">
        <f>"20230701"</f>
        <v>20230701</v>
      </c>
      <c r="E3000" s="1" t="str">
        <f>"河南师范大学"</f>
        <v>河南师范大学</v>
      </c>
      <c r="F3000" s="1" t="str">
        <f>"农村发展"</f>
        <v>农村发展</v>
      </c>
      <c r="G3000" s="1" t="str">
        <f>"七里坪乡后坪村周洼组"</f>
        <v>七里坪乡后坪村周洼组</v>
      </c>
      <c r="H3000" s="1" t="str">
        <f t="shared" si="1479"/>
        <v>无</v>
      </c>
      <c r="I3000" s="1" t="str">
        <f>"2014年9月1日-2018年7月1日 新乡学院；管理学院；人力资源管理专业；全日制；
2018年7月2日-2020年6月27日 待业；
2020年6月28日-2020年8月28日 作业帮教育科技有限公司郑州分公司；课程顾问；从事课程销售工作；
2020年9月1日-2023年7月1日 河南师范大学；旅游学院；农村发展专业；全日制；
2023年7月2日-至今 待业；"</f>
        <v>2014年9月1日-2018年7月1日 新乡学院；管理学院；人力资源管理专业；全日制；
2018年7月2日-2020年6月27日 待业；
2020年6月28日-2020年8月28日 作业帮教育科技有限公司郑州分公司；课程顾问；从事课程销售工作；
2020年9月1日-2023年7月1日 河南师范大学；旅游学院；农村发展专业；全日制；
2023年7月2日-至今 待业；</v>
      </c>
    </row>
    <row r="3001" spans="1:9">
      <c r="A3001" s="1" t="str">
        <f>"411327199411090018"</f>
        <v>411327199411090018</v>
      </c>
      <c r="B3001" s="1" t="str">
        <f>"中共党员"</f>
        <v>中共党员</v>
      </c>
      <c r="C3001" s="1" t="str">
        <f t="shared" si="1481"/>
        <v>本科</v>
      </c>
      <c r="D3001" s="1" t="str">
        <f>"20190701"</f>
        <v>20190701</v>
      </c>
      <c r="E3001" s="1" t="str">
        <f>"河南理工大学万方科技学院"</f>
        <v>河南理工大学万方科技学院</v>
      </c>
      <c r="F3001" s="1" t="str">
        <f>"电子信息工程"</f>
        <v>电子信息工程</v>
      </c>
      <c r="G3001" s="1" t="str">
        <f>"河南省内乡县城关镇清真寺村六组"</f>
        <v>河南省内乡县城关镇清真寺村六组</v>
      </c>
      <c r="H3001" s="1" t="str">
        <f t="shared" si="1479"/>
        <v>无</v>
      </c>
      <c r="I3001" s="1" t="str">
        <f>"201509-2019-07 河南理工大学万方科技学院就读 电子信息工程专业  是全日制本科学历
2019-07-2019-12 内乡县待业
2019-12-2022.12内乡县林业局公益性岗位
2023.01-2023.05 内乡县待业
2023.05-2024.07广州智海科技发展有限公司 项目技术支持
2024.07-至今 内乡县待业
"</f>
        <v>201509-2019-07 河南理工大学万方科技学院就读 电子信息工程专业  是全日制本科学历
2019-07-2019-12 内乡县待业
2019-12-2022.12内乡县林业局公益性岗位
2023.01-2023.05 内乡县待业
2023.05-2024.07广州智海科技发展有限公司 项目技术支持
2024.07-至今 内乡县待业
</v>
      </c>
    </row>
    <row r="3002" spans="1:9">
      <c r="A3002" s="1" t="str">
        <f>"410184199109054417"</f>
        <v>410184199109054417</v>
      </c>
      <c r="B3002" s="1" t="str">
        <f t="shared" ref="B3002:B3005" si="1482">"群众"</f>
        <v>群众</v>
      </c>
      <c r="C3002" s="1" t="str">
        <f t="shared" si="1481"/>
        <v>本科</v>
      </c>
      <c r="D3002" s="1" t="str">
        <f>"20150701"</f>
        <v>20150701</v>
      </c>
      <c r="E3002" s="1" t="str">
        <f>"天津城建大学"</f>
        <v>天津城建大学</v>
      </c>
      <c r="F3002" s="1" t="str">
        <f>"电气工程及其自动化"</f>
        <v>电气工程及其自动化</v>
      </c>
      <c r="G3002" s="1" t="str">
        <f>"河南省新郑市祥和一街"</f>
        <v>河南省新郑市祥和一街</v>
      </c>
      <c r="H3002" s="1" t="str">
        <f>"电工维修高级"</f>
        <v>电工维修高级</v>
      </c>
      <c r="I3002" s="1" t="str">
        <f>"2010.9-2013.6天津轻工职业技术学院  机电一体化  大专全日制
2013.9-2015.6天津城建大学   电气工程及其自动化  本科  全日制
2015.8-2025.4河南天途路业集团有限公司  电气技术员
2025.4-至今  待业"</f>
        <v>2010.9-2013.6天津轻工职业技术学院  机电一体化  大专全日制
2013.9-2015.6天津城建大学   电气工程及其自动化  本科  全日制
2015.8-2025.4河南天途路业集团有限公司  电气技术员
2025.4-至今  待业</v>
      </c>
    </row>
    <row r="3003" spans="1:9">
      <c r="A3003" s="1" t="str">
        <f>"411327199111172943"</f>
        <v>411327199111172943</v>
      </c>
      <c r="B3003" s="1" t="str">
        <f t="shared" si="1482"/>
        <v>群众</v>
      </c>
      <c r="C3003" s="1" t="str">
        <f>"专科"</f>
        <v>专科</v>
      </c>
      <c r="D3003" s="1" t="str">
        <f>"2014-07-01"</f>
        <v>2014-07-01</v>
      </c>
      <c r="E3003" s="1" t="str">
        <f>"河南医学高等专科学校"</f>
        <v>河南医学高等专科学校</v>
      </c>
      <c r="F3003" s="1" t="str">
        <f>"护理"</f>
        <v>护理</v>
      </c>
      <c r="G3003" s="1" t="str">
        <f>"河南省南阳市内乡县湍东镇五里堡村沈营17号"</f>
        <v>河南省南阳市内乡县湍东镇五里堡村沈营17号</v>
      </c>
      <c r="H3003" s="1" t="str">
        <f>"20181411300720300011"</f>
        <v>20181411300720300011</v>
      </c>
      <c r="I3003" s="1" t="str">
        <f>"20110901—20140701在河南医学高等专科学校就读；
20140702—20150131待业；
20150201至今在内乡县赵店乡卫生院工作。"</f>
        <v>20110901—20140701在河南医学高等专科学校就读；
20140702—20150131待业；
20150201至今在内乡县赵店乡卫生院工作。</v>
      </c>
    </row>
    <row r="3004" spans="1:9">
      <c r="A3004" s="1" t="str">
        <f>"411324200105074526"</f>
        <v>411324200105074526</v>
      </c>
      <c r="B3004" s="1" t="str">
        <f>"共青团员"</f>
        <v>共青团员</v>
      </c>
      <c r="C3004" s="1" t="str">
        <f t="shared" ref="C3004:C3007" si="1483">"本科"</f>
        <v>本科</v>
      </c>
      <c r="D3004" s="1" t="str">
        <f>"2025年6月"</f>
        <v>2025年6月</v>
      </c>
      <c r="E3004" s="1" t="str">
        <f>"河南城建学院"</f>
        <v>河南城建学院</v>
      </c>
      <c r="F3004" s="1" t="str">
        <f>"环境设计"</f>
        <v>环境设计</v>
      </c>
      <c r="G3004" s="1" t="str">
        <f>"河南省镇平县杨营镇岁坡村岁坡七组"</f>
        <v>河南省镇平县杨营镇岁坡村岁坡七组</v>
      </c>
      <c r="H3004" s="1" t="str">
        <f t="shared" ref="H3004:H3008" si="1484">"无"</f>
        <v>无</v>
      </c>
      <c r="I3004" s="1" t="str">
        <f>"2021年9月—2025年6月在河南城建学院的艺术设计学院环境设计专业就读，是全日制学历。"</f>
        <v>2021年9月—2025年6月在河南城建学院的艺术设计学院环境设计专业就读，是全日制学历。</v>
      </c>
    </row>
    <row r="3005" spans="1:9">
      <c r="A3005" s="1" t="str">
        <f>"411327200302252933"</f>
        <v>411327200302252933</v>
      </c>
      <c r="B3005" s="1" t="str">
        <f t="shared" si="1482"/>
        <v>群众</v>
      </c>
      <c r="C3005" s="1" t="str">
        <f t="shared" si="1483"/>
        <v>本科</v>
      </c>
      <c r="D3005" s="1" t="str">
        <f>"2024-06-30"</f>
        <v>2024-06-30</v>
      </c>
      <c r="E3005" s="1" t="str">
        <f>"湖北工程学院"</f>
        <v>湖北工程学院</v>
      </c>
      <c r="F3005" s="1" t="str">
        <f>"金融工程"</f>
        <v>金融工程</v>
      </c>
      <c r="G3005" s="1" t="str">
        <f>"河南省南阳市内乡县瓦亭镇瓦亭街"</f>
        <v>河南省南阳市内乡县瓦亭镇瓦亭街</v>
      </c>
      <c r="H3005" s="1" t="str">
        <f t="shared" si="1484"/>
        <v>无</v>
      </c>
      <c r="I3005" s="1" t="str">
        <f>"20200901——20240630湖北工程学院全日制就读
20240630至今待业"</f>
        <v>20200901——20240630湖北工程学院全日制就读
20240630至今待业</v>
      </c>
    </row>
    <row r="3006" ht="121.5" spans="1:9">
      <c r="A3006" s="1" t="str">
        <f>"411523199804301328"</f>
        <v>411523199804301328</v>
      </c>
      <c r="B3006" s="1" t="str">
        <f>"中共党员"</f>
        <v>中共党员</v>
      </c>
      <c r="C3006" s="1" t="str">
        <f t="shared" si="1483"/>
        <v>本科</v>
      </c>
      <c r="D3006" s="1" t="str">
        <f>"20210623"</f>
        <v>20210623</v>
      </c>
      <c r="E3006" s="1" t="str">
        <f>"湖南农业大学"</f>
        <v>湖南农业大学</v>
      </c>
      <c r="F3006" s="1" t="str">
        <f>"农林经济管理"</f>
        <v>农林经济管理</v>
      </c>
      <c r="G3006" s="1" t="str">
        <f>"河南省信阳市新县八里畈镇"</f>
        <v>河南省信阳市新县八里畈镇</v>
      </c>
      <c r="H3006" s="1" t="str">
        <f t="shared" si="1484"/>
        <v>无</v>
      </c>
      <c r="I3006" s="3" t="s">
        <v>258</v>
      </c>
    </row>
    <row r="3007" spans="1:9">
      <c r="A3007" s="1" t="str">
        <f>"410324199708261711"</f>
        <v>410324199708261711</v>
      </c>
      <c r="B3007" s="1" t="str">
        <f t="shared" ref="B3007:B3015" si="1485">"群众"</f>
        <v>群众</v>
      </c>
      <c r="C3007" s="1" t="str">
        <f t="shared" si="1483"/>
        <v>本科</v>
      </c>
      <c r="D3007" s="1" t="str">
        <f>"20200706"</f>
        <v>20200706</v>
      </c>
      <c r="E3007" s="1" t="str">
        <f>"黄河科技学院"</f>
        <v>黄河科技学院</v>
      </c>
      <c r="F3007" s="1" t="str">
        <f>"工商管理"</f>
        <v>工商管理</v>
      </c>
      <c r="G3007" s="1" t="str">
        <f>"18211918668"</f>
        <v>18211918668</v>
      </c>
      <c r="H3007" s="1" t="str">
        <f t="shared" si="1484"/>
        <v>无</v>
      </c>
      <c r="I3007" s="1" t="str">
        <f>"20160901-20200706黄河科技学院就读。就读期间主修专业测控技术与仪器，辅修专业工商管理两者均为全日制学历。毕业后202008-202301，通过自学编程语言JAVA于郑州河南云智慧智能科技有限公司任职JAVA软件开发工程师，202304-202502于浙江火电若新疆若羌2×35MW项目部担任仪控技术员并兼职网络主管"</f>
        <v>20160901-20200706黄河科技学院就读。就读期间主修专业测控技术与仪器，辅修专业工商管理两者均为全日制学历。毕业后202008-202301，通过自学编程语言JAVA于郑州河南云智慧智能科技有限公司任职JAVA软件开发工程师，202304-202502于浙江火电若新疆若羌2×35MW项目部担任仪控技术员并兼职网络主管</v>
      </c>
    </row>
    <row r="3008" spans="1:9">
      <c r="A3008" s="1" t="str">
        <f>"411326200309204428"</f>
        <v>411326200309204428</v>
      </c>
      <c r="B3008" s="1" t="str">
        <f>"共青团员"</f>
        <v>共青团员</v>
      </c>
      <c r="C3008" s="1" t="str">
        <f t="shared" ref="C3008:C3013" si="1486">"专科"</f>
        <v>专科</v>
      </c>
      <c r="D3008" s="1" t="str">
        <f>"20250701"</f>
        <v>20250701</v>
      </c>
      <c r="E3008" s="1" t="str">
        <f>"开封文化艺术职业学院"</f>
        <v>开封文化艺术职业学院</v>
      </c>
      <c r="F3008" s="1" t="str">
        <f>"学前教育"</f>
        <v>学前教育</v>
      </c>
      <c r="G3008" s="1" t="str">
        <f>"河南省南阳市内乡县双星名人楼梯旁二楼208"</f>
        <v>河南省南阳市内乡县双星名人楼梯旁二楼208</v>
      </c>
      <c r="H3008" s="1" t="str">
        <f t="shared" si="1484"/>
        <v>无</v>
      </c>
      <c r="I3008" s="1" t="str">
        <f>"2022.09-2025.06 开封文化艺术职业学院就读  全日制"</f>
        <v>2022.09-2025.06 开封文化艺术职业学院就读  全日制</v>
      </c>
    </row>
    <row r="3009" spans="1:9">
      <c r="A3009" s="1" t="str">
        <f>"411330199909270030"</f>
        <v>411330199909270030</v>
      </c>
      <c r="B3009" s="1" t="str">
        <f>"中共党员"</f>
        <v>中共党员</v>
      </c>
      <c r="C3009" s="1" t="str">
        <f t="shared" si="1486"/>
        <v>专科</v>
      </c>
      <c r="D3009" s="1" t="str">
        <f>"2023-06-15"</f>
        <v>2023-06-15</v>
      </c>
      <c r="E3009" s="1" t="str">
        <f>"商丘职业技术学院"</f>
        <v>商丘职业技术学院</v>
      </c>
      <c r="F3009" s="1" t="str">
        <f>"机电一体化技术"</f>
        <v>机电一体化技术</v>
      </c>
      <c r="G3009" s="1" t="str">
        <f>"河南省南阳市西峡县丹水镇黄营村薛营组"</f>
        <v>河南省南阳市西峡县丹水镇黄营村薛营组</v>
      </c>
      <c r="H3009" s="1" t="str">
        <f>"数控机床电气装调维修"</f>
        <v>数控机床电气装调维修</v>
      </c>
      <c r="I3009" s="1" t="str">
        <f>"2020.09-2023.06商丘职业技术学院 机电工程学院 机电一体化专业 就读，是全日制学历；2023.06-2025.07 待业。"</f>
        <v>2020.09-2023.06商丘职业技术学院 机电工程学院 机电一体化专业 就读，是全日制学历；2023.06-2025.07 待业。</v>
      </c>
    </row>
    <row r="3010" spans="1:9">
      <c r="A3010" s="1" t="str">
        <f>"410325199909012064"</f>
        <v>410325199909012064</v>
      </c>
      <c r="B3010" s="1" t="str">
        <f>"共青团员"</f>
        <v>共青团员</v>
      </c>
      <c r="C3010" s="1" t="str">
        <f t="shared" ref="C3010:C3019" si="1487">"本科"</f>
        <v>本科</v>
      </c>
      <c r="D3010" s="1" t="str">
        <f>"20220617"</f>
        <v>20220617</v>
      </c>
      <c r="E3010" s="1" t="str">
        <f>"湖南城市学院"</f>
        <v>湖南城市学院</v>
      </c>
      <c r="F3010" s="1" t="str">
        <f>"视觉传达设计"</f>
        <v>视觉传达设计</v>
      </c>
      <c r="G3010" s="1" t="str">
        <f>"河南省洛阳市嵩县城关镇文化路31号院"</f>
        <v>河南省洛阳市嵩县城关镇文化路31号院</v>
      </c>
      <c r="H3010" s="1" t="str">
        <f t="shared" ref="H3010:H3013" si="1488">"无"</f>
        <v>无</v>
      </c>
      <c r="I3010" s="1" t="str">
        <f>"201509-201806嵩县一高就读
201809-202206湖南城市学院就读
202206-至今待业"</f>
        <v>201509-201806嵩县一高就读
201809-202206湖南城市学院就读
202206-至今待业</v>
      </c>
    </row>
    <row r="3011" spans="1:9">
      <c r="A3011" s="1" t="str">
        <f>"412725199806167016"</f>
        <v>412725199806167016</v>
      </c>
      <c r="B3011" s="1" t="str">
        <f t="shared" si="1485"/>
        <v>群众</v>
      </c>
      <c r="C3011" s="1" t="str">
        <f t="shared" si="1487"/>
        <v>本科</v>
      </c>
      <c r="D3011" s="1" t="str">
        <f>"20220607"</f>
        <v>20220607</v>
      </c>
      <c r="E3011" s="1" t="str">
        <f>"商丘工学院"</f>
        <v>商丘工学院</v>
      </c>
      <c r="F3011" s="1" t="str">
        <f>"工程管理"</f>
        <v>工程管理</v>
      </c>
      <c r="G3011" s="1" t="str">
        <f>"河南省周口市鹿邑县"</f>
        <v>河南省周口市鹿邑县</v>
      </c>
      <c r="H3011" s="1" t="str">
        <f t="shared" si="1488"/>
        <v>无</v>
      </c>
      <c r="I3011" s="1" t="str">
        <f>"201709-202006郑州财经学院就读202009-202206商丘工学院就读全日制"</f>
        <v>201709-202006郑州财经学院就读202009-202206商丘工学院就读全日制</v>
      </c>
    </row>
    <row r="3012" ht="108" spans="1:9">
      <c r="A3012" s="1" t="str">
        <f>"410324199112281439"</f>
        <v>410324199112281439</v>
      </c>
      <c r="B3012" s="1" t="str">
        <f t="shared" si="1485"/>
        <v>群众</v>
      </c>
      <c r="C3012" s="1" t="str">
        <f t="shared" si="1486"/>
        <v>专科</v>
      </c>
      <c r="D3012" s="1" t="str">
        <f>"20140701"</f>
        <v>20140701</v>
      </c>
      <c r="E3012" s="1" t="str">
        <f>"平顶山工业职业技术学院"</f>
        <v>平顶山工业职业技术学院</v>
      </c>
      <c r="F3012" s="1" t="str">
        <f>"矿山测量"</f>
        <v>矿山测量</v>
      </c>
      <c r="G3012" s="1" t="str">
        <f>"河南省洛阳市栾川县潭头镇西坡村一组"</f>
        <v>河南省洛阳市栾川县潭头镇西坡村一组</v>
      </c>
      <c r="H3012" s="1" t="str">
        <f t="shared" si="1488"/>
        <v>无</v>
      </c>
      <c r="I3012" s="3" t="s">
        <v>259</v>
      </c>
    </row>
    <row r="3013" spans="1:9">
      <c r="A3013" s="1" t="str">
        <f>"411323199704094439"</f>
        <v>411323199704094439</v>
      </c>
      <c r="B3013" s="1" t="str">
        <f t="shared" si="1485"/>
        <v>群众</v>
      </c>
      <c r="C3013" s="1" t="str">
        <f t="shared" si="1486"/>
        <v>专科</v>
      </c>
      <c r="D3013" s="1" t="str">
        <f>"2023年7月1日"</f>
        <v>2023年7月1日</v>
      </c>
      <c r="E3013" s="1" t="str">
        <f>"南阳师范学院"</f>
        <v>南阳师范学院</v>
      </c>
      <c r="F3013" s="1" t="str">
        <f>"小学教育"</f>
        <v>小学教育</v>
      </c>
      <c r="G3013" s="1" t="str">
        <f>"河南省南阳市淅川县盛湾镇井沟村2组38号"</f>
        <v>河南省南阳市淅川县盛湾镇井沟村2组38号</v>
      </c>
      <c r="H3013" s="1" t="str">
        <f t="shared" si="1488"/>
        <v>无</v>
      </c>
      <c r="I3013" s="1" t="str">
        <f>"2021年3月-2023年7月就读于南阳师范学院(函授)
2023年7月至今自主创业"</f>
        <v>2021年3月-2023年7月就读于南阳师范学院(函授)
2023年7月至今自主创业</v>
      </c>
    </row>
    <row r="3014" spans="1:9">
      <c r="A3014" s="1" t="str">
        <f>"411326199808112020"</f>
        <v>411326199808112020</v>
      </c>
      <c r="B3014" s="1" t="str">
        <f t="shared" si="1485"/>
        <v>群众</v>
      </c>
      <c r="C3014" s="1" t="str">
        <f t="shared" si="1487"/>
        <v>本科</v>
      </c>
      <c r="D3014" s="1" t="str">
        <f>"20190701"</f>
        <v>20190701</v>
      </c>
      <c r="E3014" s="1" t="str">
        <f>"河南师范大学新联学院"</f>
        <v>河南师范大学新联学院</v>
      </c>
      <c r="F3014" s="1" t="str">
        <f>"物理学"</f>
        <v>物理学</v>
      </c>
      <c r="G3014" s="1" t="str">
        <f>"河南省内乡县六棵松小区二期"</f>
        <v>河南省内乡县六棵松小区二期</v>
      </c>
      <c r="H3014" s="1" t="str">
        <f>"河南省专业技术人员任职资格证书 中小学二级教师"</f>
        <v>河南省专业技术人员任职资格证书 中小学二级教师</v>
      </c>
      <c r="I3014" s="1" t="str">
        <f>"201509-201906 河南师范大学新联学院就读
201209-201506 南召现代中学就读
200909-201206 皇后乡初级中学就读
200309-200906 红旗小学就读"</f>
        <v>201509-201906 河南师范大学新联学院就读
201209-201506 南召现代中学就读
200909-201206 皇后乡初级中学就读
200309-200906 红旗小学就读</v>
      </c>
    </row>
    <row r="3015" spans="1:9">
      <c r="A3015" s="1" t="str">
        <f>"411327199607260058"</f>
        <v>411327199607260058</v>
      </c>
      <c r="B3015" s="1" t="str">
        <f t="shared" si="1485"/>
        <v>群众</v>
      </c>
      <c r="C3015" s="1" t="str">
        <f t="shared" si="1487"/>
        <v>本科</v>
      </c>
      <c r="D3015" s="1" t="str">
        <f>"20180701"</f>
        <v>20180701</v>
      </c>
      <c r="E3015" s="1" t="str">
        <f>"黄淮学院"</f>
        <v>黄淮学院</v>
      </c>
      <c r="F3015" s="1" t="str">
        <f>"土木工程"</f>
        <v>土木工程</v>
      </c>
      <c r="G3015" s="1" t="str">
        <f>"河南省南阳市内乡县湍东镇茶庵村"</f>
        <v>河南省南阳市内乡县湍东镇茶庵村</v>
      </c>
      <c r="H3015" s="1" t="str">
        <f t="shared" ref="H3015:H3021" si="1489">"无"</f>
        <v>无</v>
      </c>
      <c r="I3015" s="1" t="str">
        <f>"201409-201807黄淮学院就读建筑工程院系土木工程专业是全日制学历201807-201907内乡县消防救援大队合同制员工
201907-202005内乡县在家待业
202005-202507内乡县湍东镇人民政府政府购岗"</f>
        <v>201409-201807黄淮学院就读建筑工程院系土木工程专业是全日制学历201807-201907内乡县消防救援大队合同制员工
201907-202005内乡县在家待业
202005-202507内乡县湍东镇人民政府政府购岗</v>
      </c>
    </row>
    <row r="3016" spans="1:9">
      <c r="A3016" s="1" t="str">
        <f>"411327200311012544"</f>
        <v>411327200311012544</v>
      </c>
      <c r="B3016" s="1" t="str">
        <f>"共青团员"</f>
        <v>共青团员</v>
      </c>
      <c r="C3016" s="1" t="str">
        <f t="shared" si="1487"/>
        <v>本科</v>
      </c>
      <c r="D3016" s="1" t="str">
        <f>"20250707"</f>
        <v>20250707</v>
      </c>
      <c r="E3016" s="1" t="str">
        <f>"郑州大学"</f>
        <v>郑州大学</v>
      </c>
      <c r="F3016" s="1" t="str">
        <f>"音乐表演"</f>
        <v>音乐表演</v>
      </c>
      <c r="G3016" s="1" t="str">
        <f>"河南省南阳市内乡县安居小区4排3单元2楼"</f>
        <v>河南省南阳市内乡县安居小区4排3单元2楼</v>
      </c>
      <c r="H3016" s="1" t="str">
        <f>"高中音乐教师资格证"</f>
        <v>高中音乐教师资格证</v>
      </c>
      <c r="I3016" s="1" t="str">
        <f>"202109-202507郑州大学就读"</f>
        <v>202109-202507郑州大学就读</v>
      </c>
    </row>
    <row r="3017" spans="1:9">
      <c r="A3017" s="1" t="str">
        <f>"411327200108033913"</f>
        <v>411327200108033913</v>
      </c>
      <c r="B3017" s="1" t="str">
        <f>"共青团员"</f>
        <v>共青团员</v>
      </c>
      <c r="C3017" s="1" t="str">
        <f t="shared" si="1487"/>
        <v>本科</v>
      </c>
      <c r="D3017" s="1" t="str">
        <f>"20250701"</f>
        <v>20250701</v>
      </c>
      <c r="E3017" s="1" t="str">
        <f>"郑州财经学院"</f>
        <v>郑州财经学院</v>
      </c>
      <c r="F3017" s="1" t="str">
        <f>"土木工程"</f>
        <v>土木工程</v>
      </c>
      <c r="G3017" s="1" t="str">
        <f>"河南省商丘市永城市新城区开源路"</f>
        <v>河南省商丘市永城市新城区开源路</v>
      </c>
      <c r="H3017" s="1" t="str">
        <f t="shared" si="1489"/>
        <v>无</v>
      </c>
      <c r="I3017" s="1" t="str">
        <f>"202009-202307在信阳职业技术学院建筑工程学院建筑工程技术专业就读
202309-202507在郑州财经学院土木工程学院土木工程专业就读"</f>
        <v>202009-202307在信阳职业技术学院建筑工程学院建筑工程技术专业就读
202309-202507在郑州财经学院土木工程学院土木工程专业就读</v>
      </c>
    </row>
    <row r="3018" spans="1:9">
      <c r="A3018" s="1" t="str">
        <f>"411327199411063140"</f>
        <v>411327199411063140</v>
      </c>
      <c r="B3018" s="1" t="str">
        <f t="shared" ref="B3018:B3021" si="1490">"群众"</f>
        <v>群众</v>
      </c>
      <c r="C3018" s="1" t="str">
        <f t="shared" si="1487"/>
        <v>本科</v>
      </c>
      <c r="D3018" s="1" t="str">
        <f>"20180701"</f>
        <v>20180701</v>
      </c>
      <c r="E3018" s="1" t="str">
        <f>"宁夏师范学院"</f>
        <v>宁夏师范学院</v>
      </c>
      <c r="F3018" s="1" t="str">
        <f>"音乐学"</f>
        <v>音乐学</v>
      </c>
      <c r="G3018" s="1" t="str">
        <f>"内乡县金水港小区5-2-402"</f>
        <v>内乡县金水港小区5-2-402</v>
      </c>
      <c r="H3018" s="1" t="str">
        <f t="shared" si="1489"/>
        <v>无</v>
      </c>
      <c r="I3018" s="1" t="str">
        <f>"201409-201807宁夏师范学院音乐舞蹈学院音乐学专业就读，全日制本科；201809-202407内乡县湍东初中任教；202409至今内乡县第十一小学任教"</f>
        <v>201409-201807宁夏师范学院音乐舞蹈学院音乐学专业就读，全日制本科；201809-202407内乡县湍东初中任教；202409至今内乡县第十一小学任教</v>
      </c>
    </row>
    <row r="3019" spans="1:9">
      <c r="A3019" s="1" t="str">
        <f>"411524199512257237"</f>
        <v>411524199512257237</v>
      </c>
      <c r="B3019" s="1" t="str">
        <f t="shared" si="1490"/>
        <v>群众</v>
      </c>
      <c r="C3019" s="1" t="str">
        <f t="shared" si="1487"/>
        <v>本科</v>
      </c>
      <c r="D3019" s="1" t="str">
        <f>"20200701"</f>
        <v>20200701</v>
      </c>
      <c r="E3019" s="1" t="str">
        <f>"河南城建学院"</f>
        <v>河南城建学院</v>
      </c>
      <c r="F3019" s="1" t="str">
        <f>"新能源科学与工程"</f>
        <v>新能源科学与工程</v>
      </c>
      <c r="G3019" s="1" t="str">
        <f>"河南省信阳市商城县汪岗镇古井村"</f>
        <v>河南省信阳市商城县汪岗镇古井村</v>
      </c>
      <c r="H3019" s="1" t="str">
        <f t="shared" si="1489"/>
        <v>无</v>
      </c>
      <c r="I3019" s="1" t="str">
        <f>"2016.08-2020.07河南城建学院   能源与建筑环境工程学院   新能源科学与工程专业  全日制
2020.08-2025.07待业"</f>
        <v>2016.08-2020.07河南城建学院   能源与建筑环境工程学院   新能源科学与工程专业  全日制
2020.08-2025.07待业</v>
      </c>
    </row>
    <row r="3020" spans="1:9">
      <c r="A3020" s="1" t="str">
        <f>"411303199912205919"</f>
        <v>411303199912205919</v>
      </c>
      <c r="B3020" s="1" t="str">
        <f>"中共党员"</f>
        <v>中共党员</v>
      </c>
      <c r="C3020" s="1" t="str">
        <f>"专科"</f>
        <v>专科</v>
      </c>
      <c r="D3020" s="1" t="str">
        <f>"20200720"</f>
        <v>20200720</v>
      </c>
      <c r="E3020" s="1" t="str">
        <f>"国家开放大学"</f>
        <v>国家开放大学</v>
      </c>
      <c r="F3020" s="1" t="str">
        <f>"机械制造与自动化"</f>
        <v>机械制造与自动化</v>
      </c>
      <c r="G3020" s="1" t="str">
        <f>"河南省南阳市卧龙区英庄镇贾营村三组"</f>
        <v>河南省南阳市卧龙区英庄镇贾营村三组</v>
      </c>
      <c r="H3020" s="1" t="str">
        <f t="shared" si="1489"/>
        <v>无</v>
      </c>
      <c r="I3020" s="1" t="str">
        <f>"2016.09-2016.12中国人民解放军78098部队新训
2016.12-2018.09中国人民解放军78029部队炊事员
2018.9-2019.1陆军勤务学院勤务训练基地学兵
2019.1-2024.09中国人民解放军78029部队
2024.09-至今   待业"</f>
        <v>2016.09-2016.12中国人民解放军78098部队新训
2016.12-2018.09中国人民解放军78029部队炊事员
2018.9-2019.1陆军勤务学院勤务训练基地学兵
2019.1-2024.09中国人民解放军78029部队
2024.09-至今   待业</v>
      </c>
    </row>
    <row r="3021" spans="1:9">
      <c r="A3021" s="1" t="str">
        <f>"522131199402235641"</f>
        <v>522131199402235641</v>
      </c>
      <c r="B3021" s="1" t="str">
        <f t="shared" si="1490"/>
        <v>群众</v>
      </c>
      <c r="C3021" s="1" t="str">
        <f t="shared" ref="C3021:C3025" si="1491">"本科"</f>
        <v>本科</v>
      </c>
      <c r="D3021" s="1" t="str">
        <f>"20190701"</f>
        <v>20190701</v>
      </c>
      <c r="E3021" s="1" t="str">
        <f>"贵州商学院"</f>
        <v>贵州商学院</v>
      </c>
      <c r="F3021" s="1" t="str">
        <f>"物流管理"</f>
        <v>物流管理</v>
      </c>
      <c r="G3021" s="1" t="str">
        <f>"贵州省赤水市官渡镇玉皇村角上组"</f>
        <v>贵州省赤水市官渡镇玉皇村角上组</v>
      </c>
      <c r="H3021" s="1" t="str">
        <f t="shared" si="1489"/>
        <v>无</v>
      </c>
      <c r="I3021" s="1" t="str">
        <f>"201509-201907  贵州商学院管理学院物流管理专业就读 全日制
201907-202301 贵州省赤水市待业
202301-202503 就职于绍兴弗迪电池有限公司
202503-202507 浙江省绍兴市待业
202507至今 就职于兴昌众拓制冷设备有限公司"</f>
        <v>201509-201907  贵州商学院管理学院物流管理专业就读 全日制
201907-202301 贵州省赤水市待业
202301-202503 就职于绍兴弗迪电池有限公司
202503-202507 浙江省绍兴市待业
202507至今 就职于兴昌众拓制冷设备有限公司</v>
      </c>
    </row>
    <row r="3022" spans="1:9">
      <c r="A3022" s="1" t="str">
        <f>"41132720030307311X"</f>
        <v>41132720030307311X</v>
      </c>
      <c r="B3022" s="1" t="str">
        <f>"共青团员"</f>
        <v>共青团员</v>
      </c>
      <c r="C3022" s="1" t="str">
        <f t="shared" si="1491"/>
        <v>本科</v>
      </c>
      <c r="D3022" s="1" t="str">
        <f>"20250610"</f>
        <v>20250610</v>
      </c>
      <c r="E3022" s="1" t="str">
        <f>"郑州工商学院"</f>
        <v>郑州工商学院</v>
      </c>
      <c r="F3022" s="1" t="str">
        <f>"会计学"</f>
        <v>会计学</v>
      </c>
      <c r="G3022" s="1" t="str">
        <f>"河南省南阳市内乡县夏馆镇黄龙村"</f>
        <v>河南省南阳市内乡县夏馆镇黄龙村</v>
      </c>
      <c r="H3022" s="1" t="str">
        <f>"初级会计证"</f>
        <v>初级会计证</v>
      </c>
      <c r="I3022" s="1" t="str">
        <f>"202109-202506 郑州工商学院 财税学院 会计学专业就读 全日制本科"</f>
        <v>202109-202506 郑州工商学院 财税学院 会计学专业就读 全日制本科</v>
      </c>
    </row>
    <row r="3023" spans="1:9">
      <c r="A3023" s="1" t="str">
        <f>"411330200208080811"</f>
        <v>411330200208080811</v>
      </c>
      <c r="B3023" s="1" t="str">
        <f t="shared" ref="B3023:B3027" si="1492">"群众"</f>
        <v>群众</v>
      </c>
      <c r="C3023" s="1" t="str">
        <f t="shared" si="1491"/>
        <v>本科</v>
      </c>
      <c r="D3023" s="1" t="str">
        <f>"2025-07-01"</f>
        <v>2025-07-01</v>
      </c>
      <c r="E3023" s="1" t="str">
        <f>"河南师范大学"</f>
        <v>河南师范大学</v>
      </c>
      <c r="F3023" s="1" t="str">
        <f>"电子信息工程"</f>
        <v>电子信息工程</v>
      </c>
      <c r="G3023" s="1" t="str">
        <f>"河南省南阳市西峡县城关镇莲花南路118-18号"</f>
        <v>河南省南阳市西峡县城关镇莲花南路118-18号</v>
      </c>
      <c r="H3023" s="1" t="str">
        <f t="shared" ref="H3023:H3037" si="1493">"无"</f>
        <v>无</v>
      </c>
      <c r="I3023" s="1" t="str">
        <f>"202109-202507 河南师范大学电子与电气工程学院电子信息工程专业就读，全日制学历"</f>
        <v>202109-202507 河南师范大学电子与电气工程学院电子信息工程专业就读，全日制学历</v>
      </c>
    </row>
    <row r="3024" spans="1:9">
      <c r="A3024" s="1" t="str">
        <f>"411327199807200017"</f>
        <v>411327199807200017</v>
      </c>
      <c r="B3024" s="1" t="str">
        <f t="shared" si="1492"/>
        <v>群众</v>
      </c>
      <c r="C3024" s="1" t="str">
        <f t="shared" si="1491"/>
        <v>本科</v>
      </c>
      <c r="D3024" s="1" t="str">
        <f>"20210701"</f>
        <v>20210701</v>
      </c>
      <c r="E3024" s="1" t="str">
        <f>"郑州商学院"</f>
        <v>郑州商学院</v>
      </c>
      <c r="F3024" s="1" t="str">
        <f>"国际经济与贸易"</f>
        <v>国际经济与贸易</v>
      </c>
      <c r="G3024" s="1" t="str">
        <f>"河南省南阳市内乡县西关壹加壹后粮油小区"</f>
        <v>河南省南阳市内乡县西关壹加壹后粮油小区</v>
      </c>
      <c r="H3024" s="1" t="str">
        <f t="shared" si="1493"/>
        <v>无</v>
      </c>
      <c r="I3024" s="1" t="str">
        <f>"201709—202107郑州商学院全日制国际经济与贸易专业就读
202107—202304待业
202304至今内乡县南水北调运行保障中心职工"</f>
        <v>201709—202107郑州商学院全日制国际经济与贸易专业就读
202107—202304待业
202304至今内乡县南水北调运行保障中心职工</v>
      </c>
    </row>
    <row r="3025" spans="1:9">
      <c r="A3025" s="1" t="str">
        <f>"411327200004204562"</f>
        <v>411327200004204562</v>
      </c>
      <c r="B3025" s="1" t="str">
        <f>"中共党员"</f>
        <v>中共党员</v>
      </c>
      <c r="C3025" s="1" t="str">
        <f t="shared" si="1491"/>
        <v>本科</v>
      </c>
      <c r="D3025" s="1" t="str">
        <f>"2021.07"</f>
        <v>2021.07</v>
      </c>
      <c r="E3025" s="1" t="str">
        <f>"河南师范大学新联学院"</f>
        <v>河南师范大学新联学院</v>
      </c>
      <c r="F3025" s="1" t="str">
        <f>"工商管理"</f>
        <v>工商管理</v>
      </c>
      <c r="G3025" s="1" t="str">
        <f>"河南省南阳市内乡县赵店乡"</f>
        <v>河南省南阳市内乡县赵店乡</v>
      </c>
      <c r="H3025" s="1" t="str">
        <f>"初级会计证书"</f>
        <v>初级会计证书</v>
      </c>
      <c r="I3025" s="1" t="str">
        <f>"2017.09-2021.07河南师范大学新联学院经济与管理学院工商管理专业就读，全日制本科；2021.07-2023.03待业；2023.03-至今南阳市第六完全学校代课"</f>
        <v>2017.09-2021.07河南师范大学新联学院经济与管理学院工商管理专业就读，全日制本科；2021.07-2023.03待业；2023.03-至今南阳市第六完全学校代课</v>
      </c>
    </row>
    <row r="3026" spans="1:9">
      <c r="A3026" s="1" t="str">
        <f>"410324200401263128"</f>
        <v>410324200401263128</v>
      </c>
      <c r="B3026" s="1" t="str">
        <f t="shared" si="1492"/>
        <v>群众</v>
      </c>
      <c r="C3026" s="1" t="str">
        <f>"专科"</f>
        <v>专科</v>
      </c>
      <c r="D3026" s="1" t="str">
        <f>"20250620"</f>
        <v>20250620</v>
      </c>
      <c r="E3026" s="1" t="str">
        <f>"安阳幼儿师范高等专科学校"</f>
        <v>安阳幼儿师范高等专科学校</v>
      </c>
      <c r="F3026" s="1" t="str">
        <f>"小学教育"</f>
        <v>小学教育</v>
      </c>
      <c r="G3026" s="1" t="str">
        <f>"河南省洛阳市栾川县叫河乡叫河村苍房"</f>
        <v>河南省洛阳市栾川县叫河乡叫河村苍房</v>
      </c>
      <c r="H3026" s="1" t="str">
        <f t="shared" si="1493"/>
        <v>无</v>
      </c>
      <c r="I3026" s="1" t="str">
        <f>"202209-202506 安阳幼儿师范高等专科学校语言文化学院小学教育专业就读，全日制学历。"</f>
        <v>202209-202506 安阳幼儿师范高等专科学校语言文化学院小学教育专业就读，全日制学历。</v>
      </c>
    </row>
    <row r="3027" spans="1:9">
      <c r="A3027" s="1" t="str">
        <f>"411326199803180032"</f>
        <v>411326199803180032</v>
      </c>
      <c r="B3027" s="1" t="str">
        <f t="shared" si="1492"/>
        <v>群众</v>
      </c>
      <c r="C3027" s="1" t="str">
        <f>"专科"</f>
        <v>专科</v>
      </c>
      <c r="D3027" s="1" t="str">
        <f>"20200701"</f>
        <v>20200701</v>
      </c>
      <c r="E3027" s="1" t="str">
        <f>"河南牧业经济学院"</f>
        <v>河南牧业经济学院</v>
      </c>
      <c r="F3027" s="1" t="str">
        <f>"会计"</f>
        <v>会计</v>
      </c>
      <c r="G3027" s="1" t="str">
        <f>"河南省南阳市南召县城关镇寿乐街8号"</f>
        <v>河南省南阳市南召县城关镇寿乐街8号</v>
      </c>
      <c r="H3027" s="1" t="str">
        <f t="shared" si="1493"/>
        <v>无</v>
      </c>
      <c r="I3027" s="1" t="str">
        <f>"201709-202007河南牧业经济学院国际教育学院会计专业全日制 就读
202011-至今南召县森源林业发展有限公司就职"</f>
        <v>201709-202007河南牧业经济学院国际教育学院会计专业全日制 就读
202011-至今南召县森源林业发展有限公司就职</v>
      </c>
    </row>
    <row r="3028" spans="1:9">
      <c r="A3028" s="1" t="str">
        <f>"411303199404070026"</f>
        <v>411303199404070026</v>
      </c>
      <c r="B3028" s="1" t="str">
        <f>"中共党员"</f>
        <v>中共党员</v>
      </c>
      <c r="C3028" s="1" t="str">
        <f t="shared" ref="C3028:C3030" si="1494">"本科"</f>
        <v>本科</v>
      </c>
      <c r="D3028" s="1" t="str">
        <f>"20170701"</f>
        <v>20170701</v>
      </c>
      <c r="E3028" s="1" t="str">
        <f>"南阳理工学院"</f>
        <v>南阳理工学院</v>
      </c>
      <c r="F3028" s="1" t="str">
        <f>"土木工程"</f>
        <v>土木工程</v>
      </c>
      <c r="G3028" s="1" t="str">
        <f>"河南省南阳市儒林玉竹园"</f>
        <v>河南省南阳市儒林玉竹园</v>
      </c>
      <c r="H3028" s="1" t="str">
        <f t="shared" si="1493"/>
        <v>无</v>
      </c>
      <c r="I3028" s="1" t="str">
        <f>"201209-201506 黄淮学院 建筑工程系  建筑工程技术专业 就读 全日制
201509-201706  南阳理工学院   土木工程系  土木工程专业  就读  全日制
201709-201808 南阳市设计院 工作
201808-至今  南阳华润燃气有限公司 工作"</f>
        <v>201209-201506 黄淮学院 建筑工程系  建筑工程技术专业 就读 全日制
201509-201706  南阳理工学院   土木工程系  土木工程专业  就读  全日制
201709-201808 南阳市设计院 工作
201808-至今  南阳华润燃气有限公司 工作</v>
      </c>
    </row>
    <row r="3029" spans="1:9">
      <c r="A3029" s="1" t="str">
        <f>"411327200001081528"</f>
        <v>411327200001081528</v>
      </c>
      <c r="B3029" s="1" t="str">
        <f t="shared" ref="B3029:B3033" si="1495">"群众"</f>
        <v>群众</v>
      </c>
      <c r="C3029" s="1" t="str">
        <f t="shared" si="1494"/>
        <v>本科</v>
      </c>
      <c r="D3029" s="1" t="str">
        <f>"20220620"</f>
        <v>20220620</v>
      </c>
      <c r="E3029" s="1" t="str">
        <f>"南京师范大学泰州学院"</f>
        <v>南京师范大学泰州学院</v>
      </c>
      <c r="F3029" s="1" t="str">
        <f>"汉语言文学师范"</f>
        <v>汉语言文学师范</v>
      </c>
      <c r="G3029" s="1" t="str">
        <f>"河南省南阳市内乡县湍东镇"</f>
        <v>河南省南阳市内乡县湍东镇</v>
      </c>
      <c r="H3029" s="1" t="str">
        <f t="shared" si="1493"/>
        <v>无</v>
      </c>
      <c r="I3029" s="1" t="str">
        <f>"201809-202206南京师范大学泰州学院人文传媒学院汉语言文学师范就读，全日制学历。"</f>
        <v>201809-202206南京师范大学泰州学院人文传媒学院汉语言文学师范就读，全日制学历。</v>
      </c>
    </row>
    <row r="3030" spans="1:9">
      <c r="A3030" s="1" t="str">
        <f>"41032420010419754X"</f>
        <v>41032420010419754X</v>
      </c>
      <c r="B3030" s="1" t="str">
        <f>"共青团员"</f>
        <v>共青团员</v>
      </c>
      <c r="C3030" s="1" t="str">
        <f t="shared" si="1494"/>
        <v>本科</v>
      </c>
      <c r="D3030" s="1" t="str">
        <f>"20240606"</f>
        <v>20240606</v>
      </c>
      <c r="E3030" s="1" t="str">
        <f>"安阳师范学院"</f>
        <v>安阳师范学院</v>
      </c>
      <c r="F3030" s="1" t="str">
        <f>"汉语言文学"</f>
        <v>汉语言文学</v>
      </c>
      <c r="G3030" s="1" t="str">
        <f>"河南省洛阳市栾川县石庙镇龙潭村"</f>
        <v>河南省洛阳市栾川县石庙镇龙潭村</v>
      </c>
      <c r="H3030" s="1" t="str">
        <f t="shared" si="1493"/>
        <v>无</v>
      </c>
      <c r="I3030" s="1" t="str">
        <f>"202009-202406 安阳师范学院 文学院 就读
201709-202007栾川县第一高级中学
201409-201707石庙镇初级中学
200809-201407石庙镇中心小学"</f>
        <v>202009-202406 安阳师范学院 文学院 就读
201709-202007栾川县第一高级中学
201409-201707石庙镇初级中学
200809-201407石庙镇中心小学</v>
      </c>
    </row>
    <row r="3031" spans="1:9">
      <c r="A3031" s="1" t="str">
        <f>"411302199904251310"</f>
        <v>411302199904251310</v>
      </c>
      <c r="B3031" s="1" t="str">
        <f t="shared" si="1495"/>
        <v>群众</v>
      </c>
      <c r="C3031" s="1" t="str">
        <f>"硕士研究生"</f>
        <v>硕士研究生</v>
      </c>
      <c r="D3031" s="1" t="str">
        <f>"202507"</f>
        <v>202507</v>
      </c>
      <c r="E3031" s="1" t="str">
        <f>"河南工业大学"</f>
        <v>河南工业大学</v>
      </c>
      <c r="F3031" s="1" t="str">
        <f>"艺术设计"</f>
        <v>艺术设计</v>
      </c>
      <c r="G3031" s="1" t="str">
        <f>"河南省南阳市宛城区汉冶路东鑫中央公园"</f>
        <v>河南省南阳市宛城区汉冶路东鑫中央公园</v>
      </c>
      <c r="H3031" s="1" t="str">
        <f t="shared" si="1493"/>
        <v>无</v>
      </c>
      <c r="I3031" s="1" t="str">
        <f>"201109-201406 南阳市第三初级中学 就读	
201409-201706 南阳市第二高级中学 就读	
201709-202006 黄河科技学院 就读
202009-202206 洛阳师范学院 就读
202209-202506 河南工业大学就读"</f>
        <v>201109-201406 南阳市第三初级中学 就读	
201409-201706 南阳市第二高级中学 就读	
201709-202006 黄河科技学院 就读
202009-202206 洛阳师范学院 就读
202209-202506 河南工业大学就读</v>
      </c>
    </row>
    <row r="3032" spans="1:9">
      <c r="A3032" s="1" t="str">
        <f>"411327200203042551"</f>
        <v>411327200203042551</v>
      </c>
      <c r="B3032" s="1" t="str">
        <f t="shared" si="1495"/>
        <v>群众</v>
      </c>
      <c r="C3032" s="1" t="str">
        <f>"专科"</f>
        <v>专科</v>
      </c>
      <c r="D3032" s="1" t="str">
        <f>"20240607"</f>
        <v>20240607</v>
      </c>
      <c r="E3032" s="1" t="str">
        <f>"平顶山职业技术学院"</f>
        <v>平顶山职业技术学院</v>
      </c>
      <c r="F3032" s="1" t="str">
        <f>"软件技术"</f>
        <v>软件技术</v>
      </c>
      <c r="G3032" s="1" t="str">
        <f>"河南省南阳市内乡县"</f>
        <v>河南省南阳市内乡县</v>
      </c>
      <c r="H3032" s="1" t="str">
        <f t="shared" si="1493"/>
        <v>无</v>
      </c>
      <c r="I3032" s="1" t="str">
        <f>"202109-202406平顶山职业技术学院就读"</f>
        <v>202109-202406平顶山职业技术学院就读</v>
      </c>
    </row>
    <row r="3033" spans="1:9">
      <c r="A3033" s="1" t="str">
        <f>"411327200008230055"</f>
        <v>411327200008230055</v>
      </c>
      <c r="B3033" s="1" t="str">
        <f t="shared" si="1495"/>
        <v>群众</v>
      </c>
      <c r="C3033" s="1" t="str">
        <f>"专科"</f>
        <v>专科</v>
      </c>
      <c r="D3033" s="1" t="str">
        <f>"20220607"</f>
        <v>20220607</v>
      </c>
      <c r="E3033" s="1" t="str">
        <f>"河南交通职业技术学院"</f>
        <v>河南交通职业技术学院</v>
      </c>
      <c r="F3033" s="1" t="str">
        <f>"道路桥梁工程技术"</f>
        <v>道路桥梁工程技术</v>
      </c>
      <c r="G3033" s="1" t="str">
        <f>"河南省内乡县城关镇书院村三组"</f>
        <v>河南省内乡县城关镇书院村三组</v>
      </c>
      <c r="H3033" s="1" t="str">
        <f t="shared" si="1493"/>
        <v>无</v>
      </c>
      <c r="I3033" s="1" t="str">
        <f>"201909-202206河南交通职业技术学院就读 全日制学历"</f>
        <v>201909-202206河南交通职业技术学院就读 全日制学历</v>
      </c>
    </row>
    <row r="3034" spans="1:9">
      <c r="A3034" s="1" t="str">
        <f>"411302199706093147"</f>
        <v>411302199706093147</v>
      </c>
      <c r="B3034" s="1" t="str">
        <f>"中共党员"</f>
        <v>中共党员</v>
      </c>
      <c r="C3034" s="1" t="str">
        <f t="shared" ref="C3034:C3039" si="1496">"本科"</f>
        <v>本科</v>
      </c>
      <c r="D3034" s="1" t="str">
        <f>"20190630"</f>
        <v>20190630</v>
      </c>
      <c r="E3034" s="1" t="str">
        <f>"江汉大学"</f>
        <v>江汉大学</v>
      </c>
      <c r="F3034" s="1" t="str">
        <f>"文化产业管理专业"</f>
        <v>文化产业管理专业</v>
      </c>
      <c r="G3034" s="1" t="str">
        <f>"河南省南阳市宛城区白河镇利民小区"</f>
        <v>河南省南阳市宛城区白河镇利民小区</v>
      </c>
      <c r="H3034" s="1" t="str">
        <f t="shared" si="1493"/>
        <v>无</v>
      </c>
      <c r="I3034" s="1" t="str">
        <f>"201509-201906 江汉大学 就读 全日制学历"</f>
        <v>201509-201906 江汉大学 就读 全日制学历</v>
      </c>
    </row>
    <row r="3035" spans="1:9">
      <c r="A3035" s="1" t="str">
        <f>"410423200204092517"</f>
        <v>410423200204092517</v>
      </c>
      <c r="B3035" s="1" t="str">
        <f>"中共党员"</f>
        <v>中共党员</v>
      </c>
      <c r="C3035" s="1" t="str">
        <f t="shared" si="1496"/>
        <v>本科</v>
      </c>
      <c r="D3035" s="1" t="str">
        <f>"20240601"</f>
        <v>20240601</v>
      </c>
      <c r="E3035" s="1" t="str">
        <f>"信阳学院"</f>
        <v>信阳学院</v>
      </c>
      <c r="F3035" s="1" t="str">
        <f>"教育学"</f>
        <v>教育学</v>
      </c>
      <c r="G3035" s="1" t="str">
        <f>"河南省平顶山市鲁山县中州路嘉年华超市"</f>
        <v>河南省平顶山市鲁山县中州路嘉年华超市</v>
      </c>
      <c r="H3035" s="1" t="str">
        <f t="shared" si="1493"/>
        <v>无</v>
      </c>
      <c r="I3035" s="1" t="str">
        <f>"202009—202406 在信阳学院 教育学院 教育学专业就读 是全日制学历
202406—至今      在家待业"</f>
        <v>202009—202406 在信阳学院 教育学院 教育学专业就读 是全日制学历
202406—至今      在家待业</v>
      </c>
    </row>
    <row r="3036" spans="1:9">
      <c r="A3036" s="1" t="str">
        <f>"411326200009285115"</f>
        <v>411326200009285115</v>
      </c>
      <c r="B3036" s="1" t="str">
        <f t="shared" ref="B3036:B3042" si="1497">"共青团员"</f>
        <v>共青团员</v>
      </c>
      <c r="C3036" s="1" t="str">
        <f t="shared" si="1496"/>
        <v>本科</v>
      </c>
      <c r="D3036" s="1" t="str">
        <f>"20240701"</f>
        <v>20240701</v>
      </c>
      <c r="E3036" s="1" t="str">
        <f>"安阳工学院"</f>
        <v>安阳工学院</v>
      </c>
      <c r="F3036" s="1" t="str">
        <f>"物联网工程"</f>
        <v>物联网工程</v>
      </c>
      <c r="G3036" s="1" t="str">
        <f>"河南省南阳市南召县崔庄乡鱼池村榆树坪北中组1号"</f>
        <v>河南省南阳市南召县崔庄乡鱼池村榆树坪北中组1号</v>
      </c>
      <c r="H3036" s="1" t="str">
        <f t="shared" si="1493"/>
        <v>无</v>
      </c>
      <c r="I3036" s="1" t="str">
        <f>"2016.09至2019.06  南召现代中学 学生
2019.09至2022.07 郑州信息科技职业学院  学生
2022.09至2024.07 安阳工学院 学生 
2024.07至今待业"</f>
        <v>2016.09至2019.06  南召现代中学 学生
2019.09至2022.07 郑州信息科技职业学院  学生
2022.09至2024.07 安阳工学院 学生 
2024.07至今待业</v>
      </c>
    </row>
    <row r="3037" spans="1:9">
      <c r="A3037" s="1" t="str">
        <f>"411327199306290034"</f>
        <v>411327199306290034</v>
      </c>
      <c r="B3037" s="1" t="str">
        <f t="shared" ref="B3037:B3040" si="1498">"群众"</f>
        <v>群众</v>
      </c>
      <c r="C3037" s="1" t="str">
        <f t="shared" si="1496"/>
        <v>本科</v>
      </c>
      <c r="D3037" s="1" t="str">
        <f>"20160630"</f>
        <v>20160630</v>
      </c>
      <c r="E3037" s="1" t="str">
        <f>"长春大学光华学院"</f>
        <v>长春大学光华学院</v>
      </c>
      <c r="F3037" s="1" t="str">
        <f>"金融学"</f>
        <v>金融学</v>
      </c>
      <c r="G3037" s="1" t="str">
        <f>"河南省南阳市内乡县"</f>
        <v>河南省南阳市内乡县</v>
      </c>
      <c r="H3037" s="1" t="str">
        <f t="shared" si="1493"/>
        <v>无</v>
      </c>
      <c r="I3037" s="1" t="str">
        <f>"201208-201606在长春大学光华学院就读金融学专业，全日制学历；
201606-201803在四川古蔺郎酒销售股份有限公司工作
201804-201806在家待业
201807-202012在湍东镇人民政府作为政府购岗人员工作
202101-至今在牧原食品股份有限公司工作"</f>
        <v>201208-201606在长春大学光华学院就读金融学专业，全日制学历；
201606-201803在四川古蔺郎酒销售股份有限公司工作
201804-201806在家待业
201807-202012在湍东镇人民政府作为政府购岗人员工作
202101-至今在牧原食品股份有限公司工作</v>
      </c>
    </row>
    <row r="3038" spans="1:9">
      <c r="A3038" s="1" t="str">
        <f>"411327200208080020"</f>
        <v>411327200208080020</v>
      </c>
      <c r="B3038" s="1" t="str">
        <f t="shared" si="1498"/>
        <v>群众</v>
      </c>
      <c r="C3038" s="1" t="str">
        <f t="shared" si="1496"/>
        <v>本科</v>
      </c>
      <c r="D3038" s="1" t="str">
        <f>"20240607"</f>
        <v>20240607</v>
      </c>
      <c r="E3038" s="1" t="str">
        <f>"周口师范学院"</f>
        <v>周口师范学院</v>
      </c>
      <c r="F3038" s="1" t="str">
        <f>"汉语言文学"</f>
        <v>汉语言文学</v>
      </c>
      <c r="G3038" s="1" t="str">
        <f>"河南省南阳市内乡县郦都大道丽都花园"</f>
        <v>河南省南阳市内乡县郦都大道丽都花园</v>
      </c>
      <c r="H3038" s="1" t="str">
        <f>"普通话二甲证书"</f>
        <v>普通话二甲证书</v>
      </c>
      <c r="I3038" s="1" t="str">
        <f>"202009-202406 周口师范学院 就读"</f>
        <v>202009-202406 周口师范学院 就读</v>
      </c>
    </row>
    <row r="3039" spans="1:9">
      <c r="A3039" s="1" t="str">
        <f>"411327199801303525"</f>
        <v>411327199801303525</v>
      </c>
      <c r="B3039" s="1" t="str">
        <f t="shared" si="1497"/>
        <v>共青团员</v>
      </c>
      <c r="C3039" s="1" t="str">
        <f t="shared" si="1496"/>
        <v>本科</v>
      </c>
      <c r="D3039" s="1" t="str">
        <f>"20200701"</f>
        <v>20200701</v>
      </c>
      <c r="E3039" s="1" t="str">
        <f>"河南师范大学"</f>
        <v>河南师范大学</v>
      </c>
      <c r="F3039" s="1" t="str">
        <f>"投资学"</f>
        <v>投资学</v>
      </c>
      <c r="G3039" s="1" t="str">
        <f>"河南省南阳市内乡县板厂乡"</f>
        <v>河南省南阳市内乡县板厂乡</v>
      </c>
      <c r="H3039" s="1" t="str">
        <f t="shared" ref="H3039:H3050" si="1499">"无"</f>
        <v>无</v>
      </c>
      <c r="I3039" s="1" t="str">
        <f>"201609-202007 河南师范大学商学院投资学就读，全日制本科学历；
202007-202303 内乡郦都学校
202303至今 淅川县工业和信息化局"</f>
        <v>201609-202007 河南师范大学商学院投资学就读，全日制本科学历；
202007-202303 内乡郦都学校
202303至今 淅川县工业和信息化局</v>
      </c>
    </row>
    <row r="3040" spans="1:9">
      <c r="A3040" s="1" t="str">
        <f>"411327200301202934"</f>
        <v>411327200301202934</v>
      </c>
      <c r="B3040" s="1" t="str">
        <f t="shared" si="1498"/>
        <v>群众</v>
      </c>
      <c r="C3040" s="1" t="str">
        <f>"专科"</f>
        <v>专科</v>
      </c>
      <c r="D3040" s="1" t="str">
        <f>"202307"</f>
        <v>202307</v>
      </c>
      <c r="E3040" s="1" t="str">
        <f>"三门峡职业技术学院"</f>
        <v>三门峡职业技术学院</v>
      </c>
      <c r="F3040" s="1" t="str">
        <f>"汽车检测与维修技术"</f>
        <v>汽车检测与维修技术</v>
      </c>
      <c r="G3040" s="1" t="str">
        <f>"河南省内乡县星博公寓"</f>
        <v>河南省内乡县星博公寓</v>
      </c>
      <c r="H3040" s="1" t="str">
        <f t="shared" si="1499"/>
        <v>无</v>
      </c>
      <c r="I3040" s="1" t="str">
        <f>"202009—202307三门峡职业技术学院汽车学院汽车检测与维修技术专业"</f>
        <v>202009—202307三门峡职业技术学院汽车学院汽车检测与维修技术专业</v>
      </c>
    </row>
    <row r="3041" spans="1:9">
      <c r="A3041" s="1" t="str">
        <f>"412822199804017643"</f>
        <v>412822199804017643</v>
      </c>
      <c r="B3041" s="1" t="str">
        <f t="shared" si="1497"/>
        <v>共青团员</v>
      </c>
      <c r="C3041" s="1" t="str">
        <f t="shared" ref="C3041:C3046" si="1500">"本科"</f>
        <v>本科</v>
      </c>
      <c r="D3041" s="1" t="str">
        <f>"20200701"</f>
        <v>20200701</v>
      </c>
      <c r="E3041" s="1" t="str">
        <f>"河南师范大学"</f>
        <v>河南师范大学</v>
      </c>
      <c r="F3041" s="1" t="str">
        <f>"教育学"</f>
        <v>教育学</v>
      </c>
      <c r="G3041" s="1" t="str">
        <f>"河南省驻马店市驿城区板桥镇崔张楼村委姚河"</f>
        <v>河南省驻马店市驿城区板桥镇崔张楼村委姚河</v>
      </c>
      <c r="H3041" s="1" t="str">
        <f t="shared" si="1499"/>
        <v>无</v>
      </c>
      <c r="I3041" s="1" t="str">
        <f>"201609-202007河南师范大学就读，全日制学历
202007-至今在驻马店待业"</f>
        <v>201609-202007河南师范大学就读，全日制学历
202007-至今在驻马店待业</v>
      </c>
    </row>
    <row r="3042" spans="1:9">
      <c r="A3042" s="1" t="str">
        <f>"411327200011091535"</f>
        <v>411327200011091535</v>
      </c>
      <c r="B3042" s="1" t="str">
        <f t="shared" si="1497"/>
        <v>共青团员</v>
      </c>
      <c r="C3042" s="1" t="str">
        <f t="shared" si="1500"/>
        <v>本科</v>
      </c>
      <c r="D3042" s="1" t="str">
        <f>"20230619"</f>
        <v>20230619</v>
      </c>
      <c r="E3042" s="1" t="str">
        <f>"南京林业大学"</f>
        <v>南京林业大学</v>
      </c>
      <c r="F3042" s="1" t="str">
        <f>"林学"</f>
        <v>林学</v>
      </c>
      <c r="G3042" s="1" t="str">
        <f>"河南省南阳市内乡县湍东镇东王营村李二49号"</f>
        <v>河南省南阳市内乡县湍东镇东王营村李二49号</v>
      </c>
      <c r="H3042" s="1" t="str">
        <f t="shared" si="1499"/>
        <v>无</v>
      </c>
      <c r="I3042" s="1" t="str">
        <f>"200011-202306 南京林业大学林学就读，全日制
202306-202403 在户籍地待业
202403-202506 安徽省东林设计院含山分公司就业
202506-202507 在户籍地待业"</f>
        <v>200011-202306 南京林业大学林学就读，全日制
202306-202403 在户籍地待业
202403-202506 安徽省东林设计院含山分公司就业
202506-202507 在户籍地待业</v>
      </c>
    </row>
    <row r="3043" spans="1:9">
      <c r="A3043" s="1" t="str">
        <f>"411324199409010032"</f>
        <v>411324199409010032</v>
      </c>
      <c r="B3043" s="1" t="str">
        <f t="shared" ref="B3043:B3048" si="1501">"群众"</f>
        <v>群众</v>
      </c>
      <c r="C3043" s="1" t="str">
        <f t="shared" ref="C3043:C3050" si="1502">"专科"</f>
        <v>专科</v>
      </c>
      <c r="D3043" s="1" t="str">
        <f>"201907"</f>
        <v>201907</v>
      </c>
      <c r="E3043" s="1" t="str">
        <f>"南阳师范学院"</f>
        <v>南阳师范学院</v>
      </c>
      <c r="F3043" s="1" t="str">
        <f>"法律事务"</f>
        <v>法律事务</v>
      </c>
      <c r="G3043" s="1" t="str">
        <f>"镇平县东关三初中操场东边"</f>
        <v>镇平县东关三初中操场东边</v>
      </c>
      <c r="H3043" s="1" t="str">
        <f t="shared" si="1499"/>
        <v>无</v>
      </c>
      <c r="I3043" s="1" t="str">
        <f>"  201703-201907  在南阳师范学院法律事务专业就读，不是全日制学历。
  201403-202507  进入镇平县公安局巡特警大队于202005调入镇平县看守所工作至今。"</f>
        <v>  201703-201907  在南阳师范学院法律事务专业就读，不是全日制学历。
  201403-202507  进入镇平县公安局巡特警大队于202005调入镇平县看守所工作至今。</v>
      </c>
    </row>
    <row r="3044" spans="1:9">
      <c r="A3044" s="1" t="str">
        <f>"411323199910271520"</f>
        <v>411323199910271520</v>
      </c>
      <c r="B3044" s="1" t="str">
        <f>"共青团员"</f>
        <v>共青团员</v>
      </c>
      <c r="C3044" s="1" t="str">
        <f t="shared" si="1500"/>
        <v>本科</v>
      </c>
      <c r="D3044" s="1" t="str">
        <f>"20220701"</f>
        <v>20220701</v>
      </c>
      <c r="E3044" s="1" t="str">
        <f>"南阳理工学院"</f>
        <v>南阳理工学院</v>
      </c>
      <c r="F3044" s="1" t="str">
        <f>"动画"</f>
        <v>动画</v>
      </c>
      <c r="G3044" s="1" t="str">
        <f>"河南省西峡县莲花南路兴阳小区1单元601"</f>
        <v>河南省西峡县莲花南路兴阳小区1单元601</v>
      </c>
      <c r="H3044" s="1" t="str">
        <f t="shared" si="1499"/>
        <v>无</v>
      </c>
      <c r="I3044" s="1" t="str">
        <f>"201809-202207 南阳理工学院 数字媒体与艺术设计学院动画专业就读
202208-202312 待业
202401-202506 苏州市安本通物流有限公司 财务岗
202507-至今 待业"</f>
        <v>201809-202207 南阳理工学院 数字媒体与艺术设计学院动画专业就读
202208-202312 待业
202401-202506 苏州市安本通物流有限公司 财务岗
202507-至今 待业</v>
      </c>
    </row>
    <row r="3045" spans="1:9">
      <c r="A3045" s="1" t="str">
        <f>"411323199103022122"</f>
        <v>411323199103022122</v>
      </c>
      <c r="B3045" s="1" t="str">
        <f>"中共党员"</f>
        <v>中共党员</v>
      </c>
      <c r="C3045" s="1" t="str">
        <f t="shared" si="1500"/>
        <v>本科</v>
      </c>
      <c r="D3045" s="1" t="str">
        <f>"20140620"</f>
        <v>20140620</v>
      </c>
      <c r="E3045" s="1" t="str">
        <f>"南开大学滨海学院"</f>
        <v>南开大学滨海学院</v>
      </c>
      <c r="F3045" s="1" t="str">
        <f>"国际经济与贸易"</f>
        <v>国际经济与贸易</v>
      </c>
      <c r="G3045" s="1" t="str">
        <f>"河南省南阳市宛城区凯璟清华园"</f>
        <v>河南省南阳市宛城区凯璟清华园</v>
      </c>
      <c r="H3045" s="1" t="str">
        <f t="shared" si="1499"/>
        <v>无</v>
      </c>
      <c r="I3045" s="1" t="str">
        <f>"201009-201406 南开大学滨海学院经济管理系国际经济与贸易专业 就读 全日制
201407-201612 重庆市待业
201701-202108 千微（杭州）科技有限公司重庆分公司 就业 运营主管
202109-202504 重庆市工商学校 就业 教师
202505-202506 河南省南阳市待业
202507至今 南阳欢心LILY思维馆 就业 教务管理"</f>
        <v>201009-201406 南开大学滨海学院经济管理系国际经济与贸易专业 就读 全日制
201407-201612 重庆市待业
201701-202108 千微（杭州）科技有限公司重庆分公司 就业 运营主管
202109-202504 重庆市工商学校 就业 教师
202505-202506 河南省南阳市待业
202507至今 南阳欢心LILY思维馆 就业 教务管理</v>
      </c>
    </row>
    <row r="3046" spans="1:9">
      <c r="A3046" s="1" t="str">
        <f>"410225199711219857"</f>
        <v>410225199711219857</v>
      </c>
      <c r="B3046" s="1" t="str">
        <f>"中共党员"</f>
        <v>中共党员</v>
      </c>
      <c r="C3046" s="1" t="str">
        <f t="shared" si="1500"/>
        <v>本科</v>
      </c>
      <c r="D3046" s="1" t="str">
        <f>"20250613"</f>
        <v>20250613</v>
      </c>
      <c r="E3046" s="1" t="str">
        <f>"河南工程学院"</f>
        <v>河南工程学院</v>
      </c>
      <c r="F3046" s="1" t="str">
        <f>"土木工程"</f>
        <v>土木工程</v>
      </c>
      <c r="G3046" s="1" t="str">
        <f>"河南省开封市兰考县惠安街道子芳村"</f>
        <v>河南省开封市兰考县惠安街道子芳村</v>
      </c>
      <c r="H3046" s="1" t="str">
        <f t="shared" si="1499"/>
        <v>无</v>
      </c>
      <c r="I3046" s="1" t="str">
        <f>"202009-202306 河南建筑职业技术学院土木工程系建筑工程技术专业就读 是全日制学历
202309-202506 河南工程学院在土木工程学院土木工程专业就读  是全日制 "</f>
        <v>202009-202306 河南建筑职业技术学院土木工程系建筑工程技术专业就读 是全日制学历
202309-202506 河南工程学院在土木工程学院土木工程专业就读  是全日制 </v>
      </c>
    </row>
    <row r="3047" spans="1:9">
      <c r="A3047" s="1" t="str">
        <f>"412822200105292465"</f>
        <v>412822200105292465</v>
      </c>
      <c r="B3047" s="1" t="str">
        <f t="shared" si="1501"/>
        <v>群众</v>
      </c>
      <c r="C3047" s="1" t="str">
        <f t="shared" si="1502"/>
        <v>专科</v>
      </c>
      <c r="D3047" s="1" t="str">
        <f>"2022.07"</f>
        <v>2022.07</v>
      </c>
      <c r="E3047" s="1" t="str">
        <f>"黄河水利职业技术学院"</f>
        <v>黄河水利职业技术学院</v>
      </c>
      <c r="F3047" s="1" t="str">
        <f>"会计"</f>
        <v>会计</v>
      </c>
      <c r="G3047" s="1" t="str">
        <f>"河南省驻马店市泌阳县泰山庙镇"</f>
        <v>河南省驻马店市泌阳县泰山庙镇</v>
      </c>
      <c r="H3047" s="1" t="str">
        <f t="shared" si="1499"/>
        <v>无</v>
      </c>
      <c r="I3047" s="1" t="str">
        <f>"2019.09-2022.07黄河水利职业技术大学 会计专业 全日制
2023.05-2025.07信阳师范大学 小学教育 函授"</f>
        <v>2019.09-2022.07黄河水利职业技术大学 会计专业 全日制
2023.05-2025.07信阳师范大学 小学教育 函授</v>
      </c>
    </row>
    <row r="3048" spans="1:9">
      <c r="A3048" s="1" t="str">
        <f>"411327199805240031"</f>
        <v>411327199805240031</v>
      </c>
      <c r="B3048" s="1" t="str">
        <f t="shared" si="1501"/>
        <v>群众</v>
      </c>
      <c r="C3048" s="1" t="str">
        <f t="shared" si="1502"/>
        <v>专科</v>
      </c>
      <c r="D3048" s="1" t="str">
        <f>"20200607"</f>
        <v>20200607</v>
      </c>
      <c r="E3048" s="1" t="str">
        <f>"平顶山工业职业技术学院"</f>
        <v>平顶山工业职业技术学院</v>
      </c>
      <c r="F3048" s="1" t="str">
        <f>"机电一体化技术"</f>
        <v>机电一体化技术</v>
      </c>
      <c r="G3048" s="1" t="str">
        <f>"内乡县建业三期小区"</f>
        <v>内乡县建业三期小区</v>
      </c>
      <c r="H3048" s="1" t="str">
        <f t="shared" si="1499"/>
        <v>无</v>
      </c>
      <c r="I3048" s="1" t="str">
        <f>"201809-202006 平顶山工业职业技术学院
202009-202406  仙鹤纸业
202407-至今       内乡县公安局看护大队"</f>
        <v>201809-202006 平顶山工业职业技术学院
202009-202406  仙鹤纸业
202407-至今       内乡县公安局看护大队</v>
      </c>
    </row>
    <row r="3049" spans="1:9">
      <c r="A3049" s="1" t="str">
        <f>"411321200109193662"</f>
        <v>411321200109193662</v>
      </c>
      <c r="B3049" s="1" t="str">
        <f>"共青团员"</f>
        <v>共青团员</v>
      </c>
      <c r="C3049" s="1" t="str">
        <f t="shared" si="1502"/>
        <v>专科</v>
      </c>
      <c r="D3049" s="1" t="str">
        <f>"20230701"</f>
        <v>20230701</v>
      </c>
      <c r="E3049" s="1" t="str">
        <f>"信阳职业技术学院"</f>
        <v>信阳职业技术学院</v>
      </c>
      <c r="F3049" s="1" t="str">
        <f>"美术教育"</f>
        <v>美术教育</v>
      </c>
      <c r="G3049" s="1" t="str">
        <f>"河南省南阳市南召县南河店镇文化路东"</f>
        <v>河南省南阳市南召县南河店镇文化路东</v>
      </c>
      <c r="H3049" s="1" t="str">
        <f t="shared" si="1499"/>
        <v>无</v>
      </c>
      <c r="I3049" s="1" t="str">
        <f>"2020.09-2023.07信阳职业技术学院 学前与艺术教育学院 美术教育专业就读，全日制学历
2023.07-2024.06待业
2024.06-2025.07南召县工业和信息化局公益岗"</f>
        <v>2020.09-2023.07信阳职业技术学院 学前与艺术教育学院 美术教育专业就读，全日制学历
2023.07-2024.06待业
2024.06-2025.07南召县工业和信息化局公益岗</v>
      </c>
    </row>
    <row r="3050" spans="1:9">
      <c r="A3050" s="1" t="str">
        <f>"41132720000320005X"</f>
        <v>41132720000320005X</v>
      </c>
      <c r="B3050" s="1" t="str">
        <f>"共青团员"</f>
        <v>共青团员</v>
      </c>
      <c r="C3050" s="1" t="str">
        <f t="shared" si="1502"/>
        <v>专科</v>
      </c>
      <c r="D3050" s="1" t="str">
        <f>"20210701"</f>
        <v>20210701</v>
      </c>
      <c r="E3050" s="1" t="str">
        <f>"商丘学院"</f>
        <v>商丘学院</v>
      </c>
      <c r="F3050" s="1" t="str">
        <f>"会计"</f>
        <v>会计</v>
      </c>
      <c r="G3050" s="1" t="str">
        <f>"河南省南阳市内乡县城关镇北城居委会"</f>
        <v>河南省南阳市内乡县城关镇北城居委会</v>
      </c>
      <c r="H3050" s="1" t="str">
        <f t="shared" si="1499"/>
        <v>无</v>
      </c>
      <c r="I3050" s="1" t="str">
        <f>"201809——202107于商丘学院全日制会计专业就读
202107——202210于内乡县人民法院就职书记员工作
202210——202506于内乡县消防救援大队就职专职消防员工作"</f>
        <v>201809——202107于商丘学院全日制会计专业就读
202107——202210于内乡县人民法院就职书记员工作
202210——202506于内乡县消防救援大队就职专职消防员工作</v>
      </c>
    </row>
    <row r="3051" spans="1:9">
      <c r="A3051" s="1" t="str">
        <f>"411323200008153410"</f>
        <v>411323200008153410</v>
      </c>
      <c r="B3051" s="1" t="str">
        <f t="shared" ref="B3051:B3054" si="1503">"群众"</f>
        <v>群众</v>
      </c>
      <c r="C3051" s="1" t="str">
        <f t="shared" ref="C3051:C3055" si="1504">"本科"</f>
        <v>本科</v>
      </c>
      <c r="D3051" s="1" t="str">
        <f>"202407"</f>
        <v>202407</v>
      </c>
      <c r="E3051" s="1" t="str">
        <f>"平顶山学院"</f>
        <v>平顶山学院</v>
      </c>
      <c r="F3051" s="1" t="str">
        <f>"小学教育"</f>
        <v>小学教育</v>
      </c>
      <c r="G3051" s="1" t="str">
        <f>"淅川县东湾村"</f>
        <v>淅川县东湾村</v>
      </c>
      <c r="H3051" s="1" t="str">
        <f>"普通话证书"</f>
        <v>普通话证书</v>
      </c>
      <c r="I3051" s="1" t="str">
        <f>"2015-2018 淅川县五高就读
2018-2021 河南工业贸易职业学院就读  食品营养与检测专业  全日制
2022-2024 平顶山学院  小学教育  非全日制
2021-2024淅川县丹阳书院任教    
2024-至今淅川县第五高级中学任教"</f>
        <v>2015-2018 淅川县五高就读
2018-2021 河南工业贸易职业学院就读  食品营养与检测专业  全日制
2022-2024 平顶山学院  小学教育  非全日制
2021-2024淅川县丹阳书院任教    
2024-至今淅川县第五高级中学任教</v>
      </c>
    </row>
    <row r="3052" spans="1:9">
      <c r="A3052" s="1" t="str">
        <f>"411327199501142918"</f>
        <v>411327199501142918</v>
      </c>
      <c r="B3052" s="1" t="str">
        <f>"中共党员"</f>
        <v>中共党员</v>
      </c>
      <c r="C3052" s="1" t="str">
        <f t="shared" si="1504"/>
        <v>本科</v>
      </c>
      <c r="D3052" s="1" t="str">
        <f>"20170607"</f>
        <v>20170607</v>
      </c>
      <c r="E3052" s="1" t="str">
        <f>"河南科技学院"</f>
        <v>河南科技学院</v>
      </c>
      <c r="F3052" s="1" t="str">
        <f>"园艺园林学院"</f>
        <v>园艺园林学院</v>
      </c>
      <c r="G3052" s="1" t="str">
        <f>"河南省南阳市内乡县六棵松三期"</f>
        <v>河南省南阳市内乡县六棵松三期</v>
      </c>
      <c r="H3052" s="1" t="str">
        <f>"园艺师"</f>
        <v>园艺师</v>
      </c>
      <c r="I3052" s="1" t="str">
        <f>"201306-201706 河南科技学院就读，全日制学历"</f>
        <v>201306-201706 河南科技学院就读，全日制学历</v>
      </c>
    </row>
    <row r="3053" spans="1:9">
      <c r="A3053" s="1" t="str">
        <f>"411302199405301328"</f>
        <v>411302199405301328</v>
      </c>
      <c r="B3053" s="1" t="str">
        <f t="shared" si="1503"/>
        <v>群众</v>
      </c>
      <c r="C3053" s="1" t="str">
        <f>"硕士研究生"</f>
        <v>硕士研究生</v>
      </c>
      <c r="D3053" s="1" t="str">
        <f>"20230625"</f>
        <v>20230625</v>
      </c>
      <c r="E3053" s="1" t="str">
        <f>"华南农业大学"</f>
        <v>华南农业大学</v>
      </c>
      <c r="F3053" s="1" t="str">
        <f>"农村发展"</f>
        <v>农村发展</v>
      </c>
      <c r="G3053" s="1" t="str">
        <f>"河南省南阳市卧龙区车站北路翰林华府南区"</f>
        <v>河南省南阳市卧龙区车站北路翰林华府南区</v>
      </c>
      <c r="H3053" s="1" t="str">
        <f t="shared" ref="H3053:H3056" si="1505">"无"</f>
        <v>无</v>
      </c>
      <c r="I3053" s="1" t="str">
        <f>"201405-201606 河南科技大学 经济学院 经济信息管理专业 非全日制本科
201607-202006 开封市示范区公安分局刑事侦查大队 辅警
201607-202108 备考研究生
202109-202306华南农业大学 公共管理学院 农村发展专业 全日制研究生
202307至今在家待业"</f>
        <v>201405-201606 河南科技大学 经济学院 经济信息管理专业 非全日制本科
201607-202006 开封市示范区公安分局刑事侦查大队 辅警
201607-202108 备考研究生
202109-202306华南农业大学 公共管理学院 农村发展专业 全日制研究生
202307至今在家待业</v>
      </c>
    </row>
    <row r="3054" spans="1:9">
      <c r="A3054" s="1" t="str">
        <f>"411324200401210019"</f>
        <v>411324200401210019</v>
      </c>
      <c r="B3054" s="1" t="str">
        <f t="shared" si="1503"/>
        <v>群众</v>
      </c>
      <c r="C3054" s="1" t="str">
        <f>"专科"</f>
        <v>专科</v>
      </c>
      <c r="D3054" s="1" t="str">
        <f>"20250630"</f>
        <v>20250630</v>
      </c>
      <c r="E3054" s="1" t="str">
        <f>"襄阳汽车职业技术学院"</f>
        <v>襄阳汽车职业技术学院</v>
      </c>
      <c r="F3054" s="1" t="str">
        <f>"城市轨道交通运营管理"</f>
        <v>城市轨道交通运营管理</v>
      </c>
      <c r="G3054" s="1" t="str">
        <f>"镇平县涅阳路东段植保站"</f>
        <v>镇平县涅阳路东段植保站</v>
      </c>
      <c r="H3054" s="1" t="str">
        <f t="shared" si="1505"/>
        <v>无</v>
      </c>
      <c r="I3054" s="1" t="str">
        <f>"202210—202506在襄阳汽车职业技术学院，交通运输学院现代管理学院城市轨道交通运营管理专业就读，全日制大专"</f>
        <v>202210—202506在襄阳汽车职业技术学院，交通运输学院现代管理学院城市轨道交通运营管理专业就读，全日制大专</v>
      </c>
    </row>
    <row r="3055" spans="1:9">
      <c r="A3055" s="1" t="str">
        <f>"41270120030221301X"</f>
        <v>41270120030221301X</v>
      </c>
      <c r="B3055" s="1" t="str">
        <f t="shared" ref="B3055:B3060" si="1506">"共青团员"</f>
        <v>共青团员</v>
      </c>
      <c r="C3055" s="1" t="str">
        <f t="shared" si="1504"/>
        <v>本科</v>
      </c>
      <c r="D3055" s="1" t="str">
        <f>"20250614"</f>
        <v>20250614</v>
      </c>
      <c r="E3055" s="1" t="str">
        <f>"信阳农林学院"</f>
        <v>信阳农林学院</v>
      </c>
      <c r="F3055" s="1" t="str">
        <f>"农学"</f>
        <v>农学</v>
      </c>
      <c r="G3055" s="1" t="str">
        <f>"河南省周口市川汇区城南街道后村"</f>
        <v>河南省周口市川汇区城南街道后村</v>
      </c>
      <c r="H3055" s="1" t="str">
        <f>"农业技术员三级"</f>
        <v>农业技术员三级</v>
      </c>
      <c r="I3055" s="1" t="str">
        <f>"202010-202306 河南农业职业学院 农业工程学院 现代农业专业 全日制专科；202309-202506 信阳农林学院 农学院 农学专业 全日制本科。"</f>
        <v>202010-202306 河南农业职业学院 农业工程学院 现代农业专业 全日制专科；202309-202506 信阳农林学院 农学院 农学专业 全日制本科。</v>
      </c>
    </row>
    <row r="3056" spans="1:9">
      <c r="A3056" s="1" t="str">
        <f>"411327200110110068"</f>
        <v>411327200110110068</v>
      </c>
      <c r="B3056" s="1" t="str">
        <f t="shared" si="1506"/>
        <v>共青团员</v>
      </c>
      <c r="C3056" s="1" t="str">
        <f>"专科"</f>
        <v>专科</v>
      </c>
      <c r="D3056" s="1" t="str">
        <f>"20230607"</f>
        <v>20230607</v>
      </c>
      <c r="E3056" s="1" t="str">
        <f>"漯河医学高等专科学校"</f>
        <v>漯河医学高等专科学校</v>
      </c>
      <c r="F3056" s="1" t="str">
        <f>"医学影像技术"</f>
        <v>医学影像技术</v>
      </c>
      <c r="G3056" s="1" t="str">
        <f>"南阳市内乡县"</f>
        <v>南阳市内乡县</v>
      </c>
      <c r="H3056" s="1" t="str">
        <f t="shared" si="1505"/>
        <v>无</v>
      </c>
      <c r="I3056" s="1" t="str">
        <f>"202009-202306 在漯河医学高等专科学校，医学影像技术专业就读，为全日制高等专科学历"</f>
        <v>202009-202306 在漯河医学高等专科学校，医学影像技术专业就读，为全日制高等专科学历</v>
      </c>
    </row>
    <row r="3057" spans="1:9">
      <c r="A3057" s="1" t="str">
        <f>"411327199601241120"</f>
        <v>411327199601241120</v>
      </c>
      <c r="B3057" s="1" t="str">
        <f t="shared" ref="B3057:B3061" si="1507">"群众"</f>
        <v>群众</v>
      </c>
      <c r="C3057" s="1" t="str">
        <f t="shared" ref="C3057:C3065" si="1508">"本科"</f>
        <v>本科</v>
      </c>
      <c r="D3057" s="1" t="str">
        <f>"20241230"</f>
        <v>20241230</v>
      </c>
      <c r="E3057" s="1" t="str">
        <f>"暨南大学"</f>
        <v>暨南大学</v>
      </c>
      <c r="F3057" s="1" t="str">
        <f>"工商管理"</f>
        <v>工商管理</v>
      </c>
      <c r="G3057" s="1" t="str">
        <f>"河南省南阳市内乡县赤眉镇福山村"</f>
        <v>河南省南阳市内乡县赤眉镇福山村</v>
      </c>
      <c r="H3057" s="1" t="str">
        <f>"化学检验工 高级技能"</f>
        <v>化学检验工 高级技能</v>
      </c>
      <c r="I3057" s="1" t="str">
        <f>"201603-201807在广东省石油化工职业技术学校就读，专业 应用化工技术专业 ，不是全日制学历；201808在内乡县湍西污水处理厂工作至今。在此期间自考本科 拿到本科毕业证。"</f>
        <v>201603-201807在广东省石油化工职业技术学校就读，专业 应用化工技术专业 ，不是全日制学历；201808在内乡县湍西污水处理厂工作至今。在此期间自考本科 拿到本科毕业证。</v>
      </c>
    </row>
    <row r="3058" spans="1:9">
      <c r="A3058" s="1" t="str">
        <f>"411123199703220025"</f>
        <v>411123199703220025</v>
      </c>
      <c r="B3058" s="1" t="str">
        <f t="shared" si="1507"/>
        <v>群众</v>
      </c>
      <c r="C3058" s="1" t="str">
        <f t="shared" si="1508"/>
        <v>本科</v>
      </c>
      <c r="D3058" s="1" t="str">
        <f>"20200701"</f>
        <v>20200701</v>
      </c>
      <c r="E3058" s="1" t="str">
        <f>"黄河科技学院"</f>
        <v>黄河科技学院</v>
      </c>
      <c r="F3058" s="1" t="str">
        <f>"市场营销"</f>
        <v>市场营销</v>
      </c>
      <c r="G3058" s="1" t="str">
        <f>"河南省漯河市郾城区富华棕榈城"</f>
        <v>河南省漯河市郾城区富华棕榈城</v>
      </c>
      <c r="H3058" s="1" t="str">
        <f t="shared" ref="H3058:H3060" si="1509">"无"</f>
        <v>无</v>
      </c>
      <c r="I3058" s="1" t="str">
        <f>"201509-201807 黄河科技学院商学院电子商务就读 是全日制
201809-202007 黄河科技学院商学院市场营销就读 是全日制"</f>
        <v>201509-201807 黄河科技学院商学院电子商务就读 是全日制
201809-202007 黄河科技学院商学院市场营销就读 是全日制</v>
      </c>
    </row>
    <row r="3059" spans="1:9">
      <c r="A3059" s="1" t="str">
        <f>"411327200306190063"</f>
        <v>411327200306190063</v>
      </c>
      <c r="B3059" s="1" t="str">
        <f t="shared" si="1506"/>
        <v>共青团员</v>
      </c>
      <c r="C3059" s="1" t="str">
        <f t="shared" si="1508"/>
        <v>本科</v>
      </c>
      <c r="D3059" s="1" t="str">
        <f>"20250630"</f>
        <v>20250630</v>
      </c>
      <c r="E3059" s="1" t="str">
        <f>"东北财经大学"</f>
        <v>东北财经大学</v>
      </c>
      <c r="F3059" s="1" t="str">
        <f>"法学"</f>
        <v>法学</v>
      </c>
      <c r="G3059" s="1" t="str">
        <f>"河南省南阳市内乡县泊华官邸小区"</f>
        <v>河南省南阳市内乡县泊华官邸小区</v>
      </c>
      <c r="H3059" s="1" t="str">
        <f t="shared" si="1509"/>
        <v>无</v>
      </c>
      <c r="I3059" s="1" t="str">
        <f>"202109-202506在东北财经大学法学院就读，全日制学历。"</f>
        <v>202109-202506在东北财经大学法学院就读，全日制学历。</v>
      </c>
    </row>
    <row r="3060" spans="1:9">
      <c r="A3060" s="1" t="str">
        <f>"412721200009095857"</f>
        <v>412721200009095857</v>
      </c>
      <c r="B3060" s="1" t="str">
        <f t="shared" si="1506"/>
        <v>共青团员</v>
      </c>
      <c r="C3060" s="1" t="str">
        <f t="shared" si="1508"/>
        <v>本科</v>
      </c>
      <c r="D3060" s="1" t="str">
        <f>"20220701"</f>
        <v>20220701</v>
      </c>
      <c r="E3060" s="1" t="str">
        <f>"南阳理工学院"</f>
        <v>南阳理工学院</v>
      </c>
      <c r="F3060" s="1" t="str">
        <f>"环境设计"</f>
        <v>环境设计</v>
      </c>
      <c r="G3060" s="1" t="str">
        <f>"河南省周口市扶沟县城郊乡金海花苑"</f>
        <v>河南省周口市扶沟县城郊乡金海花苑</v>
      </c>
      <c r="H3060" s="1" t="str">
        <f t="shared" si="1509"/>
        <v>无</v>
      </c>
      <c r="I3060" s="1" t="str">
        <f>"201809-202207 就读于南阳理工学院、建筑学院、环境设计专业，普通全日制学历；
202207-至今 于河南省周口市扶沟县 待业"</f>
        <v>201809-202207 就读于南阳理工学院、建筑学院、环境设计专业，普通全日制学历；
202207-至今 于河南省周口市扶沟县 待业</v>
      </c>
    </row>
    <row r="3061" spans="1:9">
      <c r="A3061" s="1" t="str">
        <f>"411381200111093915"</f>
        <v>411381200111093915</v>
      </c>
      <c r="B3061" s="1" t="str">
        <f t="shared" si="1507"/>
        <v>群众</v>
      </c>
      <c r="C3061" s="1" t="str">
        <f t="shared" si="1508"/>
        <v>本科</v>
      </c>
      <c r="D3061" s="1" t="str">
        <f>"2024-06-20"</f>
        <v>2024-06-20</v>
      </c>
      <c r="E3061" s="1" t="str">
        <f>"太原师范学院"</f>
        <v>太原师范学院</v>
      </c>
      <c r="F3061" s="1" t="str">
        <f>"数学与应用数学"</f>
        <v>数学与应用数学</v>
      </c>
      <c r="G3061" s="1" t="str">
        <f>"河南省南阳市邓州市罗庄镇马岗村"</f>
        <v>河南省南阳市邓州市罗庄镇马岗村</v>
      </c>
      <c r="H3061" s="1" t="str">
        <f>"普通话二甲"</f>
        <v>普通话二甲</v>
      </c>
      <c r="I3061" s="1" t="str">
        <f>"2020年10月至2024年06月在太原师范学院数学系数学与应用数学专业就读，全日制学历。2024年06月在家待业至今"</f>
        <v>2020年10月至2024年06月在太原师范学院数学系数学与应用数学专业就读，全日制学历。2024年06月在家待业至今</v>
      </c>
    </row>
    <row r="3062" spans="1:9">
      <c r="A3062" s="1" t="str">
        <f>"412826199804146010"</f>
        <v>412826199804146010</v>
      </c>
      <c r="B3062" s="1" t="str">
        <f>"中共党员"</f>
        <v>中共党员</v>
      </c>
      <c r="C3062" s="1" t="str">
        <f t="shared" si="1508"/>
        <v>本科</v>
      </c>
      <c r="D3062" s="1" t="str">
        <f>"20230701"</f>
        <v>20230701</v>
      </c>
      <c r="E3062" s="1" t="str">
        <f>"河南理工大学"</f>
        <v>河南理工大学</v>
      </c>
      <c r="F3062" s="1" t="str">
        <f>"金融学"</f>
        <v>金融学</v>
      </c>
      <c r="G3062" s="1" t="str">
        <f>"河南省驻马店市文明大道北段警苑小区"</f>
        <v>河南省驻马店市文明大道北段警苑小区</v>
      </c>
      <c r="H3062" s="1" t="str">
        <f t="shared" ref="H3062:H3070" si="1510">"无"</f>
        <v>无</v>
      </c>
      <c r="I3062" s="1" t="str">
        <f>"2013/9-2016/7        于驻马店市第二高级中学
2016/9-2019/7        于信阳职业技术学院就读人力资源管理专业（全日制）
2021/3-2023/7        于河南理工大学就读金融学（非全日制）
2023/7-至今            在顺昌商贸任职业务专员"</f>
        <v>2013/9-2016/7        于驻马店市第二高级中学
2016/9-2019/7        于信阳职业技术学院就读人力资源管理专业（全日制）
2021/3-2023/7        于河南理工大学就读金融学（非全日制）
2023/7-至今            在顺昌商贸任职业务专员</v>
      </c>
    </row>
    <row r="3063" spans="1:9">
      <c r="A3063" s="1" t="str">
        <f>"411327200201240060"</f>
        <v>411327200201240060</v>
      </c>
      <c r="B3063" s="1" t="str">
        <f>"共青团员"</f>
        <v>共青团员</v>
      </c>
      <c r="C3063" s="1" t="str">
        <f t="shared" si="1508"/>
        <v>本科</v>
      </c>
      <c r="D3063" s="1" t="str">
        <f>"20240701"</f>
        <v>20240701</v>
      </c>
      <c r="E3063" s="1" t="str">
        <f>"河南科技学院"</f>
        <v>河南科技学院</v>
      </c>
      <c r="F3063" s="1" t="str">
        <f>"动物医学"</f>
        <v>动物医学</v>
      </c>
      <c r="G3063" s="1" t="str">
        <f>"河南省南阳市内乡县城关镇东风村东风南路4号"</f>
        <v>河南省南阳市内乡县城关镇东风村东风南路4号</v>
      </c>
      <c r="H3063" s="1" t="str">
        <f t="shared" si="1510"/>
        <v>无</v>
      </c>
      <c r="I3063" s="1" t="str">
        <f>"202009-202407 于河南科技学院动物科技学院动物医学专业就读，全日制学历。
202407-202507 待业"</f>
        <v>202009-202407 于河南科技学院动物科技学院动物医学专业就读，全日制学历。
202407-202507 待业</v>
      </c>
    </row>
    <row r="3064" spans="1:9">
      <c r="A3064" s="1" t="str">
        <f>"411324200110203433"</f>
        <v>411324200110203433</v>
      </c>
      <c r="B3064" s="1" t="str">
        <f>"共青团员"</f>
        <v>共青团员</v>
      </c>
      <c r="C3064" s="1" t="str">
        <f t="shared" si="1508"/>
        <v>本科</v>
      </c>
      <c r="D3064" s="1" t="str">
        <f>"20230701"</f>
        <v>20230701</v>
      </c>
      <c r="E3064" s="1" t="str">
        <f>"信阳学院"</f>
        <v>信阳学院</v>
      </c>
      <c r="F3064" s="1" t="str">
        <f>"会计学"</f>
        <v>会计学</v>
      </c>
      <c r="G3064" s="1" t="str">
        <f>"河南省镇平县贾宋镇桥西村桥西122号9组"</f>
        <v>河南省镇平县贾宋镇桥西村桥西122号9组</v>
      </c>
      <c r="H3064" s="1" t="str">
        <f>"初级会计证书"</f>
        <v>初级会计证书</v>
      </c>
      <c r="I3064" s="1" t="str">
        <f>"201909-202307 信阳学院商学院会计学就读 全日制本科学历"</f>
        <v>201909-202307 信阳学院商学院会计学就读 全日制本科学历</v>
      </c>
    </row>
    <row r="3065" spans="1:9">
      <c r="A3065" s="1" t="str">
        <f>"411327200004012026"</f>
        <v>411327200004012026</v>
      </c>
      <c r="B3065" s="1" t="str">
        <f t="shared" ref="B3065:B3067" si="1511">"群众"</f>
        <v>群众</v>
      </c>
      <c r="C3065" s="1" t="str">
        <f t="shared" si="1508"/>
        <v>本科</v>
      </c>
      <c r="D3065" s="1" t="str">
        <f>"20220701"</f>
        <v>20220701</v>
      </c>
      <c r="E3065" s="1" t="str">
        <f>"河南师范大学新联学院"</f>
        <v>河南师范大学新联学院</v>
      </c>
      <c r="F3065" s="1" t="str">
        <f>"心理学"</f>
        <v>心理学</v>
      </c>
      <c r="G3065" s="1" t="str">
        <f>"河南省南阳市内乡县"</f>
        <v>河南省南阳市内乡县</v>
      </c>
      <c r="H3065" s="1" t="str">
        <f t="shared" si="1510"/>
        <v>无</v>
      </c>
      <c r="I3065" s="1" t="str">
        <f>"201809-202207 河南师范大学新联学院心理学就读，全日制学历"</f>
        <v>201809-202207 河南师范大学新联学院心理学就读，全日制学历</v>
      </c>
    </row>
    <row r="3066" spans="1:9">
      <c r="A3066" s="1" t="str">
        <f>"411327199306150621"</f>
        <v>411327199306150621</v>
      </c>
      <c r="B3066" s="1" t="str">
        <f t="shared" si="1511"/>
        <v>群众</v>
      </c>
      <c r="C3066" s="1" t="str">
        <f t="shared" ref="C3066:C3069" si="1512">"专科"</f>
        <v>专科</v>
      </c>
      <c r="D3066" s="1" t="str">
        <f>"20160701"</f>
        <v>20160701</v>
      </c>
      <c r="E3066" s="1" t="str">
        <f>"郑州铁路职业技术学院"</f>
        <v>郑州铁路职业技术学院</v>
      </c>
      <c r="F3066" s="1" t="str">
        <f>"护理"</f>
        <v>护理</v>
      </c>
      <c r="G3066" s="1" t="str">
        <f>"河南省南阳市内乡县马山口镇关帝坪村"</f>
        <v>河南省南阳市内乡县马山口镇关帝坪村</v>
      </c>
      <c r="H3066" s="1" t="str">
        <f t="shared" si="1510"/>
        <v>无</v>
      </c>
      <c r="I3066" s="1" t="str">
        <f>"201309-201607于郑州铁路职业技术学院护理系就读护理专业。全日制学历
201607-201801于河南省南阳市内乡县待业。
201801-202212于内乡县人民医院工作。
202301-至今于河南省南阳市内乡县待业。"</f>
        <v>201309-201607于郑州铁路职业技术学院护理系就读护理专业。全日制学历
201607-201801于河南省南阳市内乡县待业。
201801-202212于内乡县人民医院工作。
202301-至今于河南省南阳市内乡县待业。</v>
      </c>
    </row>
    <row r="3067" spans="1:9">
      <c r="A3067" s="1" t="str">
        <f>"411323200309171428"</f>
        <v>411323200309171428</v>
      </c>
      <c r="B3067" s="1" t="str">
        <f t="shared" si="1511"/>
        <v>群众</v>
      </c>
      <c r="C3067" s="1" t="str">
        <f t="shared" si="1512"/>
        <v>专科</v>
      </c>
      <c r="D3067" s="1" t="str">
        <f>"20250630"</f>
        <v>20250630</v>
      </c>
      <c r="E3067" s="1" t="str">
        <f>"河南工业职业技术学院"</f>
        <v>河南工业职业技术学院</v>
      </c>
      <c r="F3067" s="1" t="str">
        <f>"大数据与财务管理"</f>
        <v>大数据与财务管理</v>
      </c>
      <c r="G3067" s="1" t="str">
        <f>"河南省南阳市淅川县龙城街道亿隆财富世家"</f>
        <v>河南省南阳市淅川县龙城街道亿隆财富世家</v>
      </c>
      <c r="H3067" s="1" t="str">
        <f t="shared" si="1510"/>
        <v>无</v>
      </c>
      <c r="I3067" s="1" t="str">
        <f>"202209-202507河南工业职业技术学院经济贸易学院大数据与财务管理专业就读全日制学历"</f>
        <v>202209-202507河南工业职业技术学院经济贸易学院大数据与财务管理专业就读全日制学历</v>
      </c>
    </row>
    <row r="3068" spans="1:9">
      <c r="A3068" s="1" t="str">
        <f>"410926199606242443"</f>
        <v>410926199606242443</v>
      </c>
      <c r="B3068" s="1" t="str">
        <f t="shared" ref="B3068:B3070" si="1513">"中共党员"</f>
        <v>中共党员</v>
      </c>
      <c r="C3068" s="1" t="str">
        <f>"硕士研究生"</f>
        <v>硕士研究生</v>
      </c>
      <c r="D3068" s="1" t="str">
        <f>"20250624"</f>
        <v>20250624</v>
      </c>
      <c r="E3068" s="1" t="str">
        <f>"云南财经大学"</f>
        <v>云南财经大学</v>
      </c>
      <c r="F3068" s="1" t="str">
        <f>"世界经济"</f>
        <v>世界经济</v>
      </c>
      <c r="G3068" s="1" t="str">
        <f>"河南省濮阳市范县新区家具厂家属院4号楼"</f>
        <v>河南省濮阳市范县新区家具厂家属院4号楼</v>
      </c>
      <c r="H3068" s="1" t="str">
        <f t="shared" si="1510"/>
        <v>无</v>
      </c>
      <c r="I3068" s="1" t="str">
        <f>"201409-201807上海财经大学信息管理与工程学院电子商务专业就读，全日制学历；
201807-202004河南省范县，待业；
202004-202103范县财政国库集中收付中心，见习；
202103-202105河南省范县，待业；
202105-202206濮阳市惠天商贸有限公司，职员；
202206-202209河南省范县，待入学；
202209-202506云南财经大学印度洋地区研究中心/经济学院世界经济专业就读，全日制学历；
202506-至今     河南省范县，待业
"</f>
        <v>201409-201807上海财经大学信息管理与工程学院电子商务专业就读，全日制学历；
201807-202004河南省范县，待业；
202004-202103范县财政国库集中收付中心，见习；
202103-202105河南省范县，待业；
202105-202206濮阳市惠天商贸有限公司，职员；
202206-202209河南省范县，待入学；
202209-202506云南财经大学印度洋地区研究中心/经济学院世界经济专业就读，全日制学历；
202506-至今     河南省范县，待业
</v>
      </c>
    </row>
    <row r="3069" spans="1:9">
      <c r="A3069" s="1" t="str">
        <f>"411324199809260559"</f>
        <v>411324199809260559</v>
      </c>
      <c r="B3069" s="1" t="str">
        <f t="shared" si="1513"/>
        <v>中共党员</v>
      </c>
      <c r="C3069" s="1" t="str">
        <f t="shared" si="1512"/>
        <v>专科</v>
      </c>
      <c r="D3069" s="1" t="str">
        <f>"20250701"</f>
        <v>20250701</v>
      </c>
      <c r="E3069" s="1" t="str">
        <f>"郑州信息工程职业技术学院"</f>
        <v>郑州信息工程职业技术学院</v>
      </c>
      <c r="F3069" s="1" t="str">
        <f>"计算机应用技术"</f>
        <v>计算机应用技术</v>
      </c>
      <c r="G3069" s="1" t="str">
        <f>"镇平县寺山乡拐沟村刘家庄11组"</f>
        <v>镇平县寺山乡拐沟村刘家庄11组</v>
      </c>
      <c r="H3069" s="1" t="str">
        <f t="shared" si="1510"/>
        <v>无</v>
      </c>
      <c r="I3069" s="1" t="str">
        <f>"201709-201809 郑州信息工程职业技术学院就读计算机应用技术专业 为全日制
201809-202309 北部战区陆军边防第330旅机步营炮兵连
202309-202507 郑州信息工程职业技术学院就读计算机应用技术专业 为全日制"</f>
        <v>201709-201809 郑州信息工程职业技术学院就读计算机应用技术专业 为全日制
201809-202309 北部战区陆军边防第330旅机步营炮兵连
202309-202507 郑州信息工程职业技术学院就读计算机应用技术专业 为全日制</v>
      </c>
    </row>
    <row r="3070" spans="1:9">
      <c r="A3070" s="1" t="str">
        <f>"411303199603211020"</f>
        <v>411303199603211020</v>
      </c>
      <c r="B3070" s="1" t="str">
        <f t="shared" si="1513"/>
        <v>中共党员</v>
      </c>
      <c r="C3070" s="1" t="str">
        <f t="shared" ref="C3070:C3074" si="1514">"本科"</f>
        <v>本科</v>
      </c>
      <c r="D3070" s="1" t="str">
        <f>"20180701"</f>
        <v>20180701</v>
      </c>
      <c r="E3070" s="1" t="str">
        <f>"大庆师范学院"</f>
        <v>大庆师范学院</v>
      </c>
      <c r="F3070" s="1" t="str">
        <f>"汉语言文学"</f>
        <v>汉语言文学</v>
      </c>
      <c r="G3070" s="1" t="str">
        <f>"河南省郑州市高新区恒大翡翠华庭"</f>
        <v>河南省郑州市高新区恒大翡翠华庭</v>
      </c>
      <c r="H3070" s="1" t="str">
        <f t="shared" si="1510"/>
        <v>无</v>
      </c>
      <c r="I3070" s="1" t="str">
        <f>"201409-201807大庆师范学院就读，汉语言文学专业，大学本科全日制学历，文学学士学位。
201809-201904郑州新郑国际机场工作，安全检查员岗位；
201904-202009河南省南阳市待业；
202009-202202郑州猿辅导信息科技有限公司工作，语文辅导老师岗位；202202-202210河南省郑州市待业；
202210至今工作于河南省人民检察院，书记员岗位。"</f>
        <v>201409-201807大庆师范学院就读，汉语言文学专业，大学本科全日制学历，文学学士学位。
201809-201904郑州新郑国际机场工作，安全检查员岗位；
201904-202009河南省南阳市待业；
202009-202202郑州猿辅导信息科技有限公司工作，语文辅导老师岗位；202202-202210河南省郑州市待业；
202210至今工作于河南省人民检察院，书记员岗位。</v>
      </c>
    </row>
    <row r="3071" spans="1:9">
      <c r="A3071" s="1" t="str">
        <f>"410122200211140086"</f>
        <v>410122200211140086</v>
      </c>
      <c r="B3071" s="1" t="str">
        <f t="shared" ref="B3071:B3076" si="1515">"共青团员"</f>
        <v>共青团员</v>
      </c>
      <c r="C3071" s="1" t="str">
        <f t="shared" si="1514"/>
        <v>本科</v>
      </c>
      <c r="D3071" s="1" t="str">
        <f>"20250630"</f>
        <v>20250630</v>
      </c>
      <c r="E3071" s="1" t="str">
        <f>"商丘师范学院"</f>
        <v>商丘师范学院</v>
      </c>
      <c r="F3071" s="1" t="str">
        <f>"土木工程"</f>
        <v>土木工程</v>
      </c>
      <c r="G3071" s="1" t="str">
        <f>"河南省郑州市中牟县东风路街道尚庄村233号"</f>
        <v>河南省郑州市中牟县东风路街道尚庄村233号</v>
      </c>
      <c r="H3071" s="1" t="str">
        <f>"  无"</f>
        <v>  无</v>
      </c>
      <c r="I3071" s="1" t="str">
        <f>"202109-202506 商丘师范学院建筑工程学院土木工程就读，全日制学历"</f>
        <v>202109-202506 商丘师范学院建筑工程学院土木工程就读，全日制学历</v>
      </c>
    </row>
    <row r="3072" spans="1:9">
      <c r="A3072" s="1" t="str">
        <f>"411327200402251161"</f>
        <v>411327200402251161</v>
      </c>
      <c r="B3072" s="1" t="str">
        <f t="shared" ref="B3072:B3074" si="1516">"群众"</f>
        <v>群众</v>
      </c>
      <c r="C3072" s="1" t="str">
        <f t="shared" ref="C3072:C3077" si="1517">"专科"</f>
        <v>专科</v>
      </c>
      <c r="D3072" s="1" t="str">
        <f>"2025-07-01"</f>
        <v>2025-07-01</v>
      </c>
      <c r="E3072" s="1" t="str">
        <f>"河南工业贸易职业学院"</f>
        <v>河南工业贸易职业学院</v>
      </c>
      <c r="F3072" s="1" t="str">
        <f>"食品智能加工技术"</f>
        <v>食品智能加工技术</v>
      </c>
      <c r="G3072" s="1" t="str">
        <f>"河南省南阳市内乡县"</f>
        <v>河南省南阳市内乡县</v>
      </c>
      <c r="H3072" s="1" t="str">
        <f>"粮农食品安全评价证书"</f>
        <v>粮农食品安全评价证书</v>
      </c>
      <c r="I3072" s="1" t="str">
        <f>"2022.09-2025.07于河南工业贸易职业学院粮食工程系食品智能加工技术专业就读是全日制学历"</f>
        <v>2022.09-2025.07于河南工业贸易职业学院粮食工程系食品智能加工技术专业就读是全日制学历</v>
      </c>
    </row>
    <row r="3073" spans="1:9">
      <c r="A3073" s="1" t="str">
        <f>"411327200004133717"</f>
        <v>411327200004133717</v>
      </c>
      <c r="B3073" s="1" t="str">
        <f t="shared" si="1516"/>
        <v>群众</v>
      </c>
      <c r="C3073" s="1" t="str">
        <f t="shared" si="1517"/>
        <v>专科</v>
      </c>
      <c r="D3073" s="1" t="str">
        <f>"20210701"</f>
        <v>20210701</v>
      </c>
      <c r="E3073" s="1" t="str">
        <f>"河南信息统计职业学院"</f>
        <v>河南信息统计职业学院</v>
      </c>
      <c r="F3073" s="1" t="str">
        <f>"大数据技术与应用"</f>
        <v>大数据技术与应用</v>
      </c>
      <c r="G3073" s="1" t="str">
        <f>"河南省南阳市淅川县上集镇北塘村全家组"</f>
        <v>河南省南阳市淅川县上集镇北塘村全家组</v>
      </c>
      <c r="H3073" s="1" t="str">
        <f t="shared" ref="H3073:H3076" si="1518">"无"</f>
        <v>无</v>
      </c>
      <c r="I3073" s="1" t="str">
        <f>"201809-202107河南信息统计职业学院
202112-202507南阳市公安局交通管理支队第十一勤务大队"</f>
        <v>201809-202107河南信息统计职业学院
202112-202507南阳市公安局交通管理支队第十一勤务大队</v>
      </c>
    </row>
    <row r="3074" spans="1:9">
      <c r="A3074" s="1" t="str">
        <f>"513021199711184228"</f>
        <v>513021199711184228</v>
      </c>
      <c r="B3074" s="1" t="str">
        <f t="shared" si="1516"/>
        <v>群众</v>
      </c>
      <c r="C3074" s="1" t="str">
        <f t="shared" si="1514"/>
        <v>本科</v>
      </c>
      <c r="D3074" s="1" t="str">
        <f>"20210701"</f>
        <v>20210701</v>
      </c>
      <c r="E3074" s="1" t="str">
        <f>"四川师范大学"</f>
        <v>四川师范大学</v>
      </c>
      <c r="F3074" s="1" t="str">
        <f>"公共事业管理"</f>
        <v>公共事业管理</v>
      </c>
      <c r="G3074" s="1" t="str">
        <f>"四川省达州市达川区"</f>
        <v>四川省达州市达川区</v>
      </c>
      <c r="H3074" s="1" t="str">
        <f t="shared" si="1518"/>
        <v>无</v>
      </c>
      <c r="I3074" s="1" t="str">
        <f>"2017.09-2021.07 四川师范大学管理学院公共事业管理专业（全日制学历） 就读
2021.07-2022.9 待业
2022.9-至今 平昌县人民政府金宝街道办事处工作，任疫情防控社工岗职务（四川省公共卫生特别服务项目）"</f>
        <v>2017.09-2021.07 四川师范大学管理学院公共事业管理专业（全日制学历） 就读
2021.07-2022.9 待业
2022.9-至今 平昌县人民政府金宝街道办事处工作，任疫情防控社工岗职务（四川省公共卫生特别服务项目）</v>
      </c>
    </row>
    <row r="3075" spans="1:9">
      <c r="A3075" s="1" t="str">
        <f>"412822200011015520"</f>
        <v>412822200011015520</v>
      </c>
      <c r="B3075" s="1" t="str">
        <f t="shared" si="1515"/>
        <v>共青团员</v>
      </c>
      <c r="C3075" s="1" t="str">
        <f>"硕士研究生"</f>
        <v>硕士研究生</v>
      </c>
      <c r="D3075" s="1" t="str">
        <f>"20250630"</f>
        <v>20250630</v>
      </c>
      <c r="E3075" s="1" t="str">
        <f>"河南大学"</f>
        <v>河南大学</v>
      </c>
      <c r="F3075" s="1" t="str">
        <f>"理论经济学"</f>
        <v>理论经济学</v>
      </c>
      <c r="G3075" s="1" t="str">
        <f>"河南省驻马店市驿城区中华路287号"</f>
        <v>河南省驻马店市驿城区中华路287号</v>
      </c>
      <c r="H3075" s="1" t="str">
        <f t="shared" si="1518"/>
        <v>无</v>
      </c>
      <c r="I3075" s="1" t="str">
        <f>"201809-202206 河南大学民生学院 经济学院金融学专业就读 全日制学历
202209-202506 河南大学 经济学院理论经济学专业就读 全日制学历"</f>
        <v>201809-202206 河南大学民生学院 经济学院金融学专业就读 全日制学历
202209-202506 河南大学 经济学院理论经济学专业就读 全日制学历</v>
      </c>
    </row>
    <row r="3076" spans="1:9">
      <c r="A3076" s="1" t="str">
        <f>"411324200302265890"</f>
        <v>411324200302265890</v>
      </c>
      <c r="B3076" s="1" t="str">
        <f t="shared" si="1515"/>
        <v>共青团员</v>
      </c>
      <c r="C3076" s="1" t="str">
        <f t="shared" ref="C3076:C3080" si="1519">"本科"</f>
        <v>本科</v>
      </c>
      <c r="D3076" s="1" t="str">
        <f>"20250701"</f>
        <v>20250701</v>
      </c>
      <c r="E3076" s="1" t="str">
        <f>"河南农业大学"</f>
        <v>河南农业大学</v>
      </c>
      <c r="F3076" s="1" t="str">
        <f>"数据科学与大数据技术"</f>
        <v>数据科学与大数据技术</v>
      </c>
      <c r="G3076" s="1" t="str">
        <f>"河南省南阳市镇平县东圆新村"</f>
        <v>河南省南阳市镇平县东圆新村</v>
      </c>
      <c r="H3076" s="1" t="str">
        <f t="shared" si="1518"/>
        <v>无</v>
      </c>
      <c r="I3076" s="1" t="str">
        <f>"202109-202507于河南农业大学信息与管理科学学院数据科学与大数据技术专业就读，全日制学历。"</f>
        <v>202109-202507于河南农业大学信息与管理科学学院数据科学与大数据技术专业就读，全日制学历。</v>
      </c>
    </row>
    <row r="3077" spans="1:9">
      <c r="A3077" s="1" t="str">
        <f>"411327199906014930"</f>
        <v>411327199906014930</v>
      </c>
      <c r="B3077" s="1" t="str">
        <f>"群众"</f>
        <v>群众</v>
      </c>
      <c r="C3077" s="1" t="str">
        <f t="shared" si="1517"/>
        <v>专科</v>
      </c>
      <c r="D3077" s="1" t="str">
        <f>"20220726"</f>
        <v>20220726</v>
      </c>
      <c r="E3077" s="1" t="str">
        <f>"郑州工业安全职业技术学院"</f>
        <v>郑州工业安全职业技术学院</v>
      </c>
      <c r="F3077" s="1" t="str">
        <f>"工程造价"</f>
        <v>工程造价</v>
      </c>
      <c r="G3077" s="1" t="str">
        <f>"河南省南阳市内乡县城关镇鼎荣华府小区"</f>
        <v>河南省南阳市内乡县城关镇鼎荣华府小区</v>
      </c>
      <c r="H3077" s="1" t="str">
        <f>"中级人力资源师"</f>
        <v>中级人力资源师</v>
      </c>
      <c r="I3077" s="1" t="str">
        <f>"201909-202207郑州工业安全职业学院就读"</f>
        <v>201909-202207郑州工业安全职业学院就读</v>
      </c>
    </row>
    <row r="3078" spans="1:9">
      <c r="A3078" s="1" t="str">
        <f>"411330200303101529"</f>
        <v>411330200303101529</v>
      </c>
      <c r="B3078" s="1" t="str">
        <f>"共青团员"</f>
        <v>共青团员</v>
      </c>
      <c r="C3078" s="1" t="str">
        <f t="shared" si="1519"/>
        <v>本科</v>
      </c>
      <c r="D3078" s="1" t="str">
        <f>"20250612"</f>
        <v>20250612</v>
      </c>
      <c r="E3078" s="1" t="str">
        <f>"黄河科技学院"</f>
        <v>黄河科技学院</v>
      </c>
      <c r="F3078" s="1" t="str">
        <f>"会计学"</f>
        <v>会计学</v>
      </c>
      <c r="G3078" s="1" t="str">
        <f>"河南省南阳市西峡县城关镇莲花南路天府置业"</f>
        <v>河南省南阳市西峡县城关镇莲花南路天府置业</v>
      </c>
      <c r="H3078" s="1" t="str">
        <f>"初级会计证书"</f>
        <v>初级会计证书</v>
      </c>
      <c r="I3078" s="1" t="str">
        <f>"202109-202506 黄河科技学院商学部会计学就读"</f>
        <v>202109-202506 黄河科技学院商学部会计学就读</v>
      </c>
    </row>
    <row r="3079" spans="1:9">
      <c r="A3079" s="1" t="str">
        <f>"411381200304030822"</f>
        <v>411381200304030822</v>
      </c>
      <c r="B3079" s="1" t="str">
        <f>"共青团员"</f>
        <v>共青团员</v>
      </c>
      <c r="C3079" s="1" t="str">
        <f t="shared" si="1519"/>
        <v>本科</v>
      </c>
      <c r="D3079" s="1" t="str">
        <f>"20250701"</f>
        <v>20250701</v>
      </c>
      <c r="E3079" s="1" t="str">
        <f>"南阳师范学院"</f>
        <v>南阳师范学院</v>
      </c>
      <c r="F3079" s="1" t="str">
        <f>"动画"</f>
        <v>动画</v>
      </c>
      <c r="G3079" s="1" t="str">
        <f>"河南省邓州市人民路17号佰宇卢浮帝景"</f>
        <v>河南省邓州市人民路17号佰宇卢浮帝景</v>
      </c>
      <c r="H3079" s="1" t="str">
        <f t="shared" ref="H3079:H3083" si="1520">"无"</f>
        <v>无</v>
      </c>
      <c r="I3079" s="1" t="str">
        <f>"202309-202507 南阳师范学院就读 动画专业全日制本科
202009-202307 商丘师范学院就读 美术专业全日制专科
"</f>
        <v>202309-202507 南阳师范学院就读 动画专业全日制本科
202009-202307 商丘师范学院就读 美术专业全日制专科
</v>
      </c>
    </row>
    <row r="3080" spans="1:9">
      <c r="A3080" s="1" t="str">
        <f>"411327199004091515"</f>
        <v>411327199004091515</v>
      </c>
      <c r="B3080" s="1" t="str">
        <f t="shared" ref="B3080:B3083" si="1521">"中共党员"</f>
        <v>中共党员</v>
      </c>
      <c r="C3080" s="1" t="str">
        <f t="shared" si="1519"/>
        <v>本科</v>
      </c>
      <c r="D3080" s="1" t="str">
        <f>"20240701"</f>
        <v>20240701</v>
      </c>
      <c r="E3080" s="1" t="str">
        <f>"河南财经政法大学"</f>
        <v>河南财经政法大学</v>
      </c>
      <c r="F3080" s="1" t="str">
        <f>"工商管理"</f>
        <v>工商管理</v>
      </c>
      <c r="G3080" s="1" t="str">
        <f>"河南省南阳市内乡县湍东镇"</f>
        <v>河南省南阳市内乡县湍东镇</v>
      </c>
      <c r="H3080" s="1" t="str">
        <f>"小学教师资格证"</f>
        <v>小学教师资格证</v>
      </c>
      <c r="I3080" s="1" t="str">
        <f>"200909-201207 漯河医学高等专科学校（全日制大专）
202203-202407 河南财经政法大学（成人本科）"</f>
        <v>200909-201207 漯河医学高等专科学校（全日制大专）
202203-202407 河南财经政法大学（成人本科）</v>
      </c>
    </row>
    <row r="3081" spans="1:9">
      <c r="A3081" s="1" t="str">
        <f>"410821200110010065"</f>
        <v>410821200110010065</v>
      </c>
      <c r="B3081" s="1" t="str">
        <f t="shared" si="1521"/>
        <v>中共党员</v>
      </c>
      <c r="C3081" s="1" t="str">
        <f>"硕士研究生"</f>
        <v>硕士研究生</v>
      </c>
      <c r="D3081" s="1" t="str">
        <f>"2024.11.11"</f>
        <v>2024.11.11</v>
      </c>
      <c r="E3081" s="1" t="str">
        <f>"悉尼大学"</f>
        <v>悉尼大学</v>
      </c>
      <c r="F3081" s="1" t="str">
        <f>"新闻传播学"</f>
        <v>新闻传播学</v>
      </c>
      <c r="G3081" s="1" t="str">
        <f>"河南省焦作市修武县森林半岛小区33号楼1单元2楼"</f>
        <v>河南省焦作市修武县森林半岛小区33号楼1单元2楼</v>
      </c>
      <c r="H3081" s="1" t="str">
        <f t="shared" si="1520"/>
        <v>无</v>
      </c>
      <c r="I3081" s="1" t="str">
        <f>"201509-201807 河南省修武县第一中学 全日制
201809-202207 渭南师范学院 传媒学院 广播电视表导专业 全日制
202208-202301 考托福英语 
202302-202411 悉尼大学 人文和社会科学学院 新闻传播学专业 全日制"</f>
        <v>201509-201807 河南省修武县第一中学 全日制
201809-202207 渭南师范学院 传媒学院 广播电视表导专业 全日制
202208-202301 考托福英语 
202302-202411 悉尼大学 人文和社会科学学院 新闻传播学专业 全日制</v>
      </c>
    </row>
    <row r="3082" spans="1:9">
      <c r="A3082" s="1" t="str">
        <f>"410482199101073852"</f>
        <v>410482199101073852</v>
      </c>
      <c r="B3082" s="1" t="str">
        <f>"群众"</f>
        <v>群众</v>
      </c>
      <c r="C3082" s="1" t="str">
        <f t="shared" ref="C3082:C3087" si="1522">"本科"</f>
        <v>本科</v>
      </c>
      <c r="D3082" s="1" t="str">
        <f>"20240625"</f>
        <v>20240625</v>
      </c>
      <c r="E3082" s="1" t="str">
        <f>"西安工业大学"</f>
        <v>西安工业大学</v>
      </c>
      <c r="F3082" s="1" t="str">
        <f>"计算机科学与技术"</f>
        <v>计算机科学与技术</v>
      </c>
      <c r="G3082" s="1" t="str">
        <f>"河南省汝州市"</f>
        <v>河南省汝州市</v>
      </c>
      <c r="H3082" s="1" t="str">
        <f t="shared" si="1520"/>
        <v>无</v>
      </c>
      <c r="I3082" s="1" t="str">
        <f>"2010年9月-2013年6月，就读于河南职业技术学院，烹饪工业与营养专业，是全日制专科学历；
2014年3月-2019年12月，外出务工；
2020年1月-2021年12月，工作于河南中智包装有限公司；
2022年1月-至今，工作于河南汝诚包装有限公司；
2022年3月-2024年6月，就读于西安工业大学，计算机科学与技术专业，为函授学习2.5年制专升本。"</f>
        <v>2010年9月-2013年6月，就读于河南职业技术学院，烹饪工业与营养专业，是全日制专科学历；
2014年3月-2019年12月，外出务工；
2020年1月-2021年12月，工作于河南中智包装有限公司；
2022年1月-至今，工作于河南汝诚包装有限公司；
2022年3月-2024年6月，就读于西安工业大学，计算机科学与技术专业，为函授学习2.5年制专升本。</v>
      </c>
    </row>
    <row r="3083" spans="1:9">
      <c r="A3083" s="1" t="str">
        <f>"411327199103012915"</f>
        <v>411327199103012915</v>
      </c>
      <c r="B3083" s="1" t="str">
        <f t="shared" si="1521"/>
        <v>中共党员</v>
      </c>
      <c r="C3083" s="1" t="str">
        <f t="shared" si="1522"/>
        <v>本科</v>
      </c>
      <c r="D3083" s="1" t="str">
        <f>"20220701"</f>
        <v>20220701</v>
      </c>
      <c r="E3083" s="1" t="str">
        <f>"南阳师范学院"</f>
        <v>南阳师范学院</v>
      </c>
      <c r="F3083" s="1" t="str">
        <f>"工商管理"</f>
        <v>工商管理</v>
      </c>
      <c r="G3083" s="1" t="str">
        <f>"河南省南阳市内乡县城关镇菊潭大街50号"</f>
        <v>河南省南阳市内乡县城关镇菊潭大街50号</v>
      </c>
      <c r="H3083" s="1" t="str">
        <f t="shared" si="1520"/>
        <v>无</v>
      </c>
      <c r="I3083" s="1" t="str">
        <f>"200809-201107 郑州科技学院工商管理系工商企业管理专业全日制就读
201108-201409 杭州海康威视数字技术股份有限公司品质管理科上班
201410-201608苏州华硕电脑有限公司产品测试科上班
201609至今 内乡县公安局辅警
202003-202207  南阳师范学院工商管理专业 非全日制在职本科"</f>
        <v>200809-201107 郑州科技学院工商管理系工商企业管理专业全日制就读
201108-201409 杭州海康威视数字技术股份有限公司品质管理科上班
201410-201608苏州华硕电脑有限公司产品测试科上班
201609至今 内乡县公安局辅警
202003-202207  南阳师范学院工商管理专业 非全日制在职本科</v>
      </c>
    </row>
    <row r="3084" spans="1:9">
      <c r="A3084" s="1" t="str">
        <f>"41132720021026112X"</f>
        <v>41132720021026112X</v>
      </c>
      <c r="B3084" s="1" t="str">
        <f t="shared" ref="B3084:B3087" si="1523">"共青团员"</f>
        <v>共青团员</v>
      </c>
      <c r="C3084" s="1" t="str">
        <f t="shared" si="1522"/>
        <v>本科</v>
      </c>
      <c r="D3084" s="1" t="str">
        <f>"20240630"</f>
        <v>20240630</v>
      </c>
      <c r="E3084" s="1" t="str">
        <f>"黄河交通学院"</f>
        <v>黄河交通学院</v>
      </c>
      <c r="F3084" s="1" t="str">
        <f>"财务管理"</f>
        <v>财务管理</v>
      </c>
      <c r="G3084" s="1" t="str">
        <f>"河南省南阳市内乡县湍东镇碧桂园"</f>
        <v>河南省南阳市内乡县湍东镇碧桂园</v>
      </c>
      <c r="H3084" s="1" t="str">
        <f>"会计专业技术资格证书"</f>
        <v>会计专业技术资格证书</v>
      </c>
      <c r="I3084" s="1" t="str">
        <f>"202009-202406 黄河交通学院 经济管理学院 财务管理专业 就读 全日制
202407至今 河南省南阳市内乡县待业"</f>
        <v>202009-202406 黄河交通学院 经济管理学院 财务管理专业 就读 全日制
202407至今 河南省南阳市内乡县待业</v>
      </c>
    </row>
    <row r="3085" spans="1:9">
      <c r="A3085" s="1" t="str">
        <f>"411327199901083312"</f>
        <v>411327199901083312</v>
      </c>
      <c r="B3085" s="1" t="str">
        <f t="shared" si="1523"/>
        <v>共青团员</v>
      </c>
      <c r="C3085" s="1" t="str">
        <f t="shared" si="1522"/>
        <v>本科</v>
      </c>
      <c r="D3085" s="1" t="str">
        <f>"2024.6.20"</f>
        <v>2024.6.20</v>
      </c>
      <c r="E3085" s="1" t="str">
        <f>"郑州科技学院"</f>
        <v>郑州科技学院</v>
      </c>
      <c r="F3085" s="1" t="str">
        <f>"学前教育"</f>
        <v>学前教育</v>
      </c>
      <c r="G3085" s="1" t="str">
        <f>"河南省内乡县七里坪乡"</f>
        <v>河南省内乡县七里坪乡</v>
      </c>
      <c r="H3085" s="1" t="str">
        <f>"二级甲等普通话证"</f>
        <v>二级甲等普通话证</v>
      </c>
      <c r="I3085" s="1" t="str">
        <f>"2019.9.1~2022.7.1南阳职业学院
2022.9.1~2024.6.20郑州科技学院
"</f>
        <v>2019.9.1~2022.7.1南阳职业学院
2022.9.1~2024.6.20郑州科技学院
</v>
      </c>
    </row>
    <row r="3086" spans="1:9">
      <c r="A3086" s="1" t="str">
        <f>"411327200208120029"</f>
        <v>411327200208120029</v>
      </c>
      <c r="B3086" s="1" t="str">
        <f t="shared" ref="B3086:B3091" si="1524">"群众"</f>
        <v>群众</v>
      </c>
      <c r="C3086" s="1" t="str">
        <f t="shared" si="1522"/>
        <v>本科</v>
      </c>
      <c r="D3086" s="1" t="str">
        <f>"2024-06-05"</f>
        <v>2024-06-05</v>
      </c>
      <c r="E3086" s="1" t="str">
        <f>"河南师范大学新联学院"</f>
        <v>河南师范大学新联学院</v>
      </c>
      <c r="F3086" s="1" t="str">
        <f>"小学教育"</f>
        <v>小学教育</v>
      </c>
      <c r="G3086" s="1" t="str">
        <f>"河南省南阳市内乡县"</f>
        <v>河南省南阳市内乡县</v>
      </c>
      <c r="H3086" s="1" t="str">
        <f t="shared" ref="H3086:H3100" si="1525">"无"</f>
        <v>无</v>
      </c>
      <c r="I3086" s="1" t="str">
        <f>"202010—202406 河南师范大学新联学院 教育学院 小学教育专业 就读"</f>
        <v>202010—202406 河南师范大学新联学院 教育学院 小学教育专业 就读</v>
      </c>
    </row>
    <row r="3087" spans="1:9">
      <c r="A3087" s="1" t="str">
        <f>"411327200207260046"</f>
        <v>411327200207260046</v>
      </c>
      <c r="B3087" s="1" t="str">
        <f t="shared" si="1523"/>
        <v>共青团员</v>
      </c>
      <c r="C3087" s="1" t="str">
        <f t="shared" si="1522"/>
        <v>本科</v>
      </c>
      <c r="D3087" s="1" t="str">
        <f>"20240701"</f>
        <v>20240701</v>
      </c>
      <c r="E3087" s="1" t="str">
        <f>"郑州升达经贸管理学院"</f>
        <v>郑州升达经贸管理学院</v>
      </c>
      <c r="F3087" s="1" t="str">
        <f>"会计学"</f>
        <v>会计学</v>
      </c>
      <c r="G3087" s="1" t="str">
        <f>"河南省南阳市内乡县城关镇黉学街十三巷"</f>
        <v>河南省南阳市内乡县城关镇黉学街十三巷</v>
      </c>
      <c r="H3087" s="1" t="str">
        <f t="shared" si="1525"/>
        <v>无</v>
      </c>
      <c r="I3087" s="1" t="str">
        <f>"202009-202207河南财政金融学院就读
202209-202407郑州升达经贸管理学院就读"</f>
        <v>202009-202207河南财政金融学院就读
202209-202407郑州升达经贸管理学院就读</v>
      </c>
    </row>
    <row r="3088" spans="1:9">
      <c r="A3088" s="1" t="str">
        <f>"420682200109226727"</f>
        <v>420682200109226727</v>
      </c>
      <c r="B3088" s="1" t="str">
        <f t="shared" si="1524"/>
        <v>群众</v>
      </c>
      <c r="C3088" s="1" t="str">
        <f>"专科"</f>
        <v>专科</v>
      </c>
      <c r="D3088" s="1" t="str">
        <f>"20230701"</f>
        <v>20230701</v>
      </c>
      <c r="E3088" s="1" t="str">
        <f>"驻马店幼儿师范高等专科学校"</f>
        <v>驻马店幼儿师范高等专科学校</v>
      </c>
      <c r="F3088" s="1" t="str">
        <f>"小学教育"</f>
        <v>小学教育</v>
      </c>
      <c r="G3088" s="1" t="str">
        <f>"河南省南阳市淅川县"</f>
        <v>河南省南阳市淅川县</v>
      </c>
      <c r="H3088" s="1" t="str">
        <f>""</f>
        <v/>
      </c>
      <c r="I3088" s="1" t="str">
        <f>"202009-202307 驻马店幼儿师范高等专科学校 基础教育学院 小学教育专业 就读"</f>
        <v>202009-202307 驻马店幼儿师范高等专科学校 基础教育学院 小学教育专业 就读</v>
      </c>
    </row>
    <row r="3089" spans="1:9">
      <c r="A3089" s="1" t="str">
        <f>"411327200108150028"</f>
        <v>411327200108150028</v>
      </c>
      <c r="B3089" s="1" t="str">
        <f t="shared" si="1524"/>
        <v>群众</v>
      </c>
      <c r="C3089" s="1" t="str">
        <f>"专科"</f>
        <v>专科</v>
      </c>
      <c r="D3089" s="1" t="str">
        <f>"20230701"</f>
        <v>20230701</v>
      </c>
      <c r="E3089" s="1" t="str">
        <f>"驻马店职业技术学院"</f>
        <v>驻马店职业技术学院</v>
      </c>
      <c r="F3089" s="1" t="str">
        <f>"城市信息化管理"</f>
        <v>城市信息化管理</v>
      </c>
      <c r="G3089" s="1" t="str">
        <f>"内乡县城关镇渚阳大街206号"</f>
        <v>内乡县城关镇渚阳大街206号</v>
      </c>
      <c r="H3089" s="1" t="str">
        <f t="shared" si="1525"/>
        <v>无</v>
      </c>
      <c r="I3089" s="1" t="str">
        <f>"202009-202307 驻马店职业技术学院 城市信息化管理专业就读
202307-至今 待业"</f>
        <v>202009-202307 驻马店职业技术学院 城市信息化管理专业就读
202307-至今 待业</v>
      </c>
    </row>
    <row r="3090" spans="1:9">
      <c r="A3090" s="1" t="str">
        <f>"342225199512040057"</f>
        <v>342225199512040057</v>
      </c>
      <c r="B3090" s="1" t="str">
        <f t="shared" si="1524"/>
        <v>群众</v>
      </c>
      <c r="C3090" s="1" t="str">
        <f t="shared" ref="C3090:C3095" si="1526">"本科"</f>
        <v>本科</v>
      </c>
      <c r="D3090" s="1" t="str">
        <f>"20241230"</f>
        <v>20241230</v>
      </c>
      <c r="E3090" s="1" t="str">
        <f>"中央司法警官学院"</f>
        <v>中央司法警官学院</v>
      </c>
      <c r="F3090" s="1" t="str">
        <f>"监所管理"</f>
        <v>监所管理</v>
      </c>
      <c r="G3090" s="1" t="str">
        <f>"江苏省南京市浦口区旭日上城三区20栋501室"</f>
        <v>江苏省南京市浦口区旭日上城三区20栋501室</v>
      </c>
      <c r="H3090" s="1" t="str">
        <f t="shared" si="1525"/>
        <v>无</v>
      </c>
      <c r="I3090" s="1" t="str">
        <f>"201903-202107江南大学食品检测技术专业就读，非全日制学历
202107-202412中央司法警官学院监所管理专业就读，非全日制学历
"</f>
        <v>201903-202107江南大学食品检测技术专业就读，非全日制学历
202107-202412中央司法警官学院监所管理专业就读，非全日制学历
</v>
      </c>
    </row>
    <row r="3091" spans="1:9">
      <c r="A3091" s="1" t="str">
        <f>"412827199111070531"</f>
        <v>412827199111070531</v>
      </c>
      <c r="B3091" s="1" t="str">
        <f t="shared" si="1524"/>
        <v>群众</v>
      </c>
      <c r="C3091" s="1" t="str">
        <f t="shared" si="1526"/>
        <v>本科</v>
      </c>
      <c r="D3091" s="1" t="str">
        <f>"20170701"</f>
        <v>20170701</v>
      </c>
      <c r="E3091" s="1" t="str">
        <f>"安阳师范学院"</f>
        <v>安阳师范学院</v>
      </c>
      <c r="F3091" s="1" t="str">
        <f>"软件工程(JAVA方向)"</f>
        <v>软件工程(JAVA方向)</v>
      </c>
      <c r="G3091" s="1" t="str">
        <f>"河南省驻马店市平舆县东皇街道办事处大王寨村委张楼"</f>
        <v>河南省驻马店市平舆县东皇街道办事处大王寨村委张楼</v>
      </c>
      <c r="H3091" s="1" t="str">
        <f t="shared" si="1525"/>
        <v>无</v>
      </c>
      <c r="I3091" s="1" t="str">
        <f>"201309-201707 在安阳师范学院软件学院就读 全日制学历；
202105-202310 在杭州绿藤信息技术有限公司工作；
202311-至今 在河南待业。"</f>
        <v>201309-201707 在安阳师范学院软件学院就读 全日制学历；
202105-202310 在杭州绿藤信息技术有限公司工作；
202311-至今 在河南待业。</v>
      </c>
    </row>
    <row r="3092" spans="1:9">
      <c r="A3092" s="1" t="str">
        <f>"411327200205113149"</f>
        <v>411327200205113149</v>
      </c>
      <c r="B3092" s="1" t="str">
        <f t="shared" ref="B3092:B3097" si="1527">"共青团员"</f>
        <v>共青团员</v>
      </c>
      <c r="C3092" s="1" t="str">
        <f t="shared" si="1526"/>
        <v>本科</v>
      </c>
      <c r="D3092" s="1" t="str">
        <f>"20240607"</f>
        <v>20240607</v>
      </c>
      <c r="E3092" s="1" t="str">
        <f>"郑州工商学院"</f>
        <v>郑州工商学院</v>
      </c>
      <c r="F3092" s="1" t="str">
        <f>"环境设计"</f>
        <v>环境设计</v>
      </c>
      <c r="G3092" s="1" t="str">
        <f>"河南省南阳市内乡县夏馆镇夏馆村"</f>
        <v>河南省南阳市内乡县夏馆镇夏馆村</v>
      </c>
      <c r="H3092" s="1" t="str">
        <f t="shared" si="1525"/>
        <v>无</v>
      </c>
      <c r="I3092" s="1" t="str">
        <f>"202009-202406在郑州工商学院艺术学院环境设计专业就读，是全日制学历；
202407-202503在南阳市艾尔实验幼儿园工作；
202504至今待业。"</f>
        <v>202009-202406在郑州工商学院艺术学院环境设计专业就读，是全日制学历；
202407-202503在南阳市艾尔实验幼儿园工作；
202504至今待业。</v>
      </c>
    </row>
    <row r="3093" spans="1:9">
      <c r="A3093" s="1" t="str">
        <f>"411324200009284814"</f>
        <v>411324200009284814</v>
      </c>
      <c r="B3093" s="1" t="str">
        <f t="shared" ref="B3093:B3098" si="1528">"群众"</f>
        <v>群众</v>
      </c>
      <c r="C3093" s="1" t="str">
        <f t="shared" si="1526"/>
        <v>本科</v>
      </c>
      <c r="D3093" s="1" t="str">
        <f>"20230615"</f>
        <v>20230615</v>
      </c>
      <c r="E3093" s="1" t="str">
        <f>"黄河科技学院"</f>
        <v>黄河科技学院</v>
      </c>
      <c r="F3093" s="1" t="str">
        <f>"物联网工程"</f>
        <v>物联网工程</v>
      </c>
      <c r="G3093" s="1" t="str">
        <f>"河南省南阳市镇平县中央华府"</f>
        <v>河南省南阳市镇平县中央华府</v>
      </c>
      <c r="H3093" s="1" t="str">
        <f t="shared" si="1525"/>
        <v>无</v>
      </c>
      <c r="I3093" s="1" t="str">
        <f>"201809–202107  河南牧业经济学院应用电子技术专业就读  是全日制学历
202109–202306   黄河科技学院物联网工程专业就读   是全日制学历
202307–至今   待业"</f>
        <v>201809–202107  河南牧业经济学院应用电子技术专业就读  是全日制学历
202109–202306   黄河科技学院物联网工程专业就读   是全日制学历
202307–至今   待业</v>
      </c>
    </row>
    <row r="3094" spans="1:9">
      <c r="A3094" s="1" t="str">
        <f>"410881199712267029"</f>
        <v>410881199712267029</v>
      </c>
      <c r="B3094" s="1" t="str">
        <f t="shared" si="1527"/>
        <v>共青团员</v>
      </c>
      <c r="C3094" s="1" t="str">
        <f t="shared" si="1526"/>
        <v>本科</v>
      </c>
      <c r="D3094" s="1" t="str">
        <f>"20210701"</f>
        <v>20210701</v>
      </c>
      <c r="E3094" s="1" t="str">
        <f>"河南科技学院"</f>
        <v>河南科技学院</v>
      </c>
      <c r="F3094" s="1" t="str">
        <f>"汉语言文学"</f>
        <v>汉语言文学</v>
      </c>
      <c r="G3094" s="1" t="str">
        <f>"河南省济源市坡头镇坡头村"</f>
        <v>河南省济源市坡头镇坡头村</v>
      </c>
      <c r="H3094" s="1" t="str">
        <f t="shared" si="1525"/>
        <v>无</v>
      </c>
      <c r="I3094" s="1" t="str">
        <f>"201609-201907商丘师范学院语文教育全日制
201909-202107河南科技学院汉语言文学全日制"</f>
        <v>201609-201907商丘师范学院语文教育全日制
201909-202107河南科技学院汉语言文学全日制</v>
      </c>
    </row>
    <row r="3095" spans="1:9">
      <c r="A3095" s="1" t="str">
        <f>"411381200304044220"</f>
        <v>411381200304044220</v>
      </c>
      <c r="B3095" s="1" t="str">
        <f t="shared" si="1528"/>
        <v>群众</v>
      </c>
      <c r="C3095" s="1" t="str">
        <f t="shared" si="1526"/>
        <v>本科</v>
      </c>
      <c r="D3095" s="1" t="str">
        <f>"20250701"</f>
        <v>20250701</v>
      </c>
      <c r="E3095" s="1" t="str">
        <f>"洛阳理工学院"</f>
        <v>洛阳理工学院</v>
      </c>
      <c r="F3095" s="1" t="str">
        <f>"电气工程及其自动化"</f>
        <v>电气工程及其自动化</v>
      </c>
      <c r="G3095" s="1" t="str">
        <f>"河南省邓州市十林镇"</f>
        <v>河南省邓州市十林镇</v>
      </c>
      <c r="H3095" s="1" t="str">
        <f t="shared" si="1525"/>
        <v>无</v>
      </c>
      <c r="I3095" s="1" t="str">
        <f>"20200901-20230701 河南财经政法大学国际教育学院计算机网络技术专业就读 20230901-20250701 洛阳理工学院电力电气工程学院电气工程及其自动化专业就读"</f>
        <v>20200901-20230701 河南财经政法大学国际教育学院计算机网络技术专业就读 20230901-20250701 洛阳理工学院电力电气工程学院电气工程及其自动化专业就读</v>
      </c>
    </row>
    <row r="3096" spans="1:9">
      <c r="A3096" s="1" t="str">
        <f>"411327200003090348"</f>
        <v>411327200003090348</v>
      </c>
      <c r="B3096" s="1" t="str">
        <f t="shared" si="1527"/>
        <v>共青团员</v>
      </c>
      <c r="C3096" s="1" t="str">
        <f>"硕士研究生"</f>
        <v>硕士研究生</v>
      </c>
      <c r="D3096" s="1" t="str">
        <f>"20250613"</f>
        <v>20250613</v>
      </c>
      <c r="E3096" s="1" t="str">
        <f>"石河子大学"</f>
        <v>石河子大学</v>
      </c>
      <c r="F3096" s="1" t="str">
        <f>"化学工程与技术"</f>
        <v>化学工程与技术</v>
      </c>
      <c r="G3096" s="1" t="str">
        <f>"河南省南阳市内乡县大桥乡郭河村王庄272号"</f>
        <v>河南省南阳市内乡县大桥乡郭河村王庄272号</v>
      </c>
      <c r="H3096" s="1" t="str">
        <f t="shared" si="1525"/>
        <v>无</v>
      </c>
      <c r="I3096" s="1" t="str">
        <f>"201809-202206 石河子大学 化学化工学院 环境工程专业 全日制
202208-202506 石河子大学 化学化工学院 化学工程与技术专业 全日制"</f>
        <v>201809-202206 石河子大学 化学化工学院 环境工程专业 全日制
202208-202506 石河子大学 化学化工学院 化学工程与技术专业 全日制</v>
      </c>
    </row>
    <row r="3097" spans="1:9">
      <c r="A3097" s="1" t="str">
        <f>"411224200009302423"</f>
        <v>411224200009302423</v>
      </c>
      <c r="B3097" s="1" t="str">
        <f t="shared" si="1527"/>
        <v>共青团员</v>
      </c>
      <c r="C3097" s="1" t="str">
        <f t="shared" ref="C3097:C3103" si="1529">"本科"</f>
        <v>本科</v>
      </c>
      <c r="D3097" s="1" t="str">
        <f>"2024-07-01"</f>
        <v>2024-07-01</v>
      </c>
      <c r="E3097" s="1" t="str">
        <f>"商丘工学院"</f>
        <v>商丘工学院</v>
      </c>
      <c r="F3097" s="1" t="str">
        <f>"工程造价"</f>
        <v>工程造价</v>
      </c>
      <c r="G3097" s="1" t="str">
        <f>"河南省卢氏县双槐树乡"</f>
        <v>河南省卢氏县双槐树乡</v>
      </c>
      <c r="H3097" s="1" t="str">
        <f t="shared" si="1525"/>
        <v>无</v>
      </c>
      <c r="I3097" s="1" t="str">
        <f>"202009-202407商丘工学院土木工程学院工程造价专业就读，是全日制"</f>
        <v>202009-202407商丘工学院土木工程学院工程造价专业就读，是全日制</v>
      </c>
    </row>
    <row r="3098" spans="1:9">
      <c r="A3098" s="1" t="str">
        <f>"411327199711061569"</f>
        <v>411327199711061569</v>
      </c>
      <c r="B3098" s="1" t="str">
        <f t="shared" si="1528"/>
        <v>群众</v>
      </c>
      <c r="C3098" s="1" t="str">
        <f t="shared" si="1529"/>
        <v>本科</v>
      </c>
      <c r="D3098" s="1" t="str">
        <f>"20200630"</f>
        <v>20200630</v>
      </c>
      <c r="E3098" s="1" t="str">
        <f>"信阳农林学院"</f>
        <v>信阳农林学院</v>
      </c>
      <c r="F3098" s="1" t="str">
        <f>"财务管理"</f>
        <v>财务管理</v>
      </c>
      <c r="G3098" s="1" t="str">
        <f>"河南省南阳市内乡县湍东镇龙头村"</f>
        <v>河南省南阳市内乡县湍东镇龙头村</v>
      </c>
      <c r="H3098" s="1" t="str">
        <f t="shared" si="1525"/>
        <v>无</v>
      </c>
      <c r="I3098" s="1" t="str">
        <f>"201609-202006  信阳农林学院  财经学院  财务管理专业  全日制本科；
202007-202009   家中待业；
202010-202303   内乡县牧原现代农业综合体  财务人员；
202304-至今        家中待业。"</f>
        <v>201609-202006  信阳农林学院  财经学院  财务管理专业  全日制本科；
202007-202009   家中待业；
202010-202303   内乡县牧原现代农业综合体  财务人员；
202304-至今        家中待业。</v>
      </c>
    </row>
    <row r="3099" spans="1:9">
      <c r="A3099" s="1" t="str">
        <f>"411327199904291125"</f>
        <v>411327199904291125</v>
      </c>
      <c r="B3099" s="1" t="str">
        <f>"共青团员"</f>
        <v>共青团员</v>
      </c>
      <c r="C3099" s="1" t="str">
        <f>"硕士研究生"</f>
        <v>硕士研究生</v>
      </c>
      <c r="D3099" s="1" t="str">
        <f>"20250630"</f>
        <v>20250630</v>
      </c>
      <c r="E3099" s="1" t="str">
        <f>"吉林体育学院"</f>
        <v>吉林体育学院</v>
      </c>
      <c r="F3099" s="1" t="str">
        <f>"体育人文社会学"</f>
        <v>体育人文社会学</v>
      </c>
      <c r="G3099" s="1" t="str">
        <f>"河南省南阳市内乡县湍东镇屈庄村屈庄94号"</f>
        <v>河南省南阳市内乡县湍东镇屈庄村屈庄94号</v>
      </c>
      <c r="H3099" s="1" t="str">
        <f t="shared" si="1525"/>
        <v>无</v>
      </c>
      <c r="I3099" s="1" t="str">
        <f>"201709-202106 本科 河南师范大学 体育学院 运动人体科学专业
202109-202206 在家备考 
202209-202506 研究生 吉林体育学院 体育人文社会学专业"</f>
        <v>201709-202106 本科 河南师范大学 体育学院 运动人体科学专业
202109-202206 在家备考 
202209-202506 研究生 吉林体育学院 体育人文社会学专业</v>
      </c>
    </row>
    <row r="3100" spans="1:9">
      <c r="A3100" s="1" t="str">
        <f>"41132520010512004X"</f>
        <v>41132520010512004X</v>
      </c>
      <c r="B3100" s="1" t="str">
        <f t="shared" ref="B3100:B3106" si="1530">"群众"</f>
        <v>群众</v>
      </c>
      <c r="C3100" s="1" t="str">
        <f t="shared" si="1529"/>
        <v>本科</v>
      </c>
      <c r="D3100" s="1" t="str">
        <f>"20230702"</f>
        <v>20230702</v>
      </c>
      <c r="E3100" s="1" t="str">
        <f>"郑州师范学院"</f>
        <v>郑州师范学院</v>
      </c>
      <c r="F3100" s="1" t="str">
        <f>"地理科学"</f>
        <v>地理科学</v>
      </c>
      <c r="G3100" s="1" t="str">
        <f>"河南省南阳市内乡县城关镇渚阳大街北十八巷30号"</f>
        <v>河南省南阳市内乡县城关镇渚阳大街北十八巷30号</v>
      </c>
      <c r="H3100" s="1" t="str">
        <f t="shared" si="1525"/>
        <v>无</v>
      </c>
      <c r="I3100" s="1" t="str">
        <f>"201909—202307 郑州师范学院就读"</f>
        <v>201909—202307 郑州师范学院就读</v>
      </c>
    </row>
    <row r="3101" spans="1:9">
      <c r="A3101" s="1" t="str">
        <f>"411327200001170037"</f>
        <v>411327200001170037</v>
      </c>
      <c r="B3101" s="1" t="str">
        <f t="shared" si="1530"/>
        <v>群众</v>
      </c>
      <c r="C3101" s="1" t="str">
        <f t="shared" si="1529"/>
        <v>本科</v>
      </c>
      <c r="D3101" s="1" t="str">
        <f>"20230616"</f>
        <v>20230616</v>
      </c>
      <c r="E3101" s="1" t="str">
        <f>"哈尔滨金融学院"</f>
        <v>哈尔滨金融学院</v>
      </c>
      <c r="F3101" s="1" t="str">
        <f>"经济学"</f>
        <v>经济学</v>
      </c>
      <c r="G3101" s="1" t="str">
        <f>"河南省南阳市内乡县"</f>
        <v>河南省南阳市内乡县</v>
      </c>
      <c r="H3101" s="1" t="str">
        <f>"四级"</f>
        <v>四级</v>
      </c>
      <c r="I3101" s="1" t="str">
        <f>"201909-20230616，在哈尔滨金融学院就读，经济学专业"</f>
        <v>201909-20230616，在哈尔滨金融学院就读，经济学专业</v>
      </c>
    </row>
    <row r="3102" spans="1:9">
      <c r="A3102" s="1" t="str">
        <f>"411327200102110041"</f>
        <v>411327200102110041</v>
      </c>
      <c r="B3102" s="1" t="str">
        <f>"共青团员"</f>
        <v>共青团员</v>
      </c>
      <c r="C3102" s="1" t="str">
        <f t="shared" si="1529"/>
        <v>本科</v>
      </c>
      <c r="D3102" s="1" t="str">
        <f>"20230631"</f>
        <v>20230631</v>
      </c>
      <c r="E3102" s="1" t="str">
        <f>"郑州西亚斯学院"</f>
        <v>郑州西亚斯学院</v>
      </c>
      <c r="F3102" s="1" t="str">
        <f>"汉语言文学"</f>
        <v>汉语言文学</v>
      </c>
      <c r="G3102" s="1" t="str">
        <f>"河南省南阳市内乡县皇家碧岸"</f>
        <v>河南省南阳市内乡县皇家碧岸</v>
      </c>
      <c r="H3102" s="1" t="str">
        <f t="shared" ref="H3102:H3109" si="1531">"无"</f>
        <v>无</v>
      </c>
      <c r="I3102" s="1" t="str">
        <f>"202109-202306郑州西亚斯学院汉语言文学专业，全日制学历
201809-202106焦作师范高等专科学校文学院语文教育专业，全日制学历
"</f>
        <v>202109-202306郑州西亚斯学院汉语言文学专业，全日制学历
201809-202106焦作师范高等专科学校文学院语文教育专业，全日制学历
</v>
      </c>
    </row>
    <row r="3103" spans="1:9">
      <c r="A3103" s="1" t="str">
        <f>"411327199909260029"</f>
        <v>411327199909260029</v>
      </c>
      <c r="B3103" s="1" t="str">
        <f>"中共党员"</f>
        <v>中共党员</v>
      </c>
      <c r="C3103" s="1" t="str">
        <f t="shared" si="1529"/>
        <v>本科</v>
      </c>
      <c r="D3103" s="1" t="str">
        <f>"20220701"</f>
        <v>20220701</v>
      </c>
      <c r="E3103" s="1" t="str">
        <f>"洛阳师范学院"</f>
        <v>洛阳师范学院</v>
      </c>
      <c r="F3103" s="1" t="str">
        <f>"会计学"</f>
        <v>会计学</v>
      </c>
      <c r="G3103" s="1" t="str">
        <f>"河南省南阳市内乡县城关镇县衙路城西组7号"</f>
        <v>河南省南阳市内乡县城关镇县衙路城西组7号</v>
      </c>
      <c r="H3103" s="1" t="str">
        <f t="shared" si="1531"/>
        <v>无</v>
      </c>
      <c r="I3103" s="1" t="str">
        <f>"201809-202207 洛阳师范学院就读
2022年8月 -至今 中原农业保险股份有限公司内乡县支公司就业"</f>
        <v>201809-202207 洛阳师范学院就读
2022年8月 -至今 中原农业保险股份有限公司内乡县支公司就业</v>
      </c>
    </row>
    <row r="3104" spans="1:9">
      <c r="A3104" s="1" t="str">
        <f>"411303200411260616"</f>
        <v>411303200411260616</v>
      </c>
      <c r="B3104" s="1" t="str">
        <f t="shared" si="1530"/>
        <v>群众</v>
      </c>
      <c r="C3104" s="1" t="str">
        <f>"专科"</f>
        <v>专科</v>
      </c>
      <c r="D3104" s="1" t="str">
        <f>"20250701"</f>
        <v>20250701</v>
      </c>
      <c r="E3104" s="1" t="str">
        <f>"郑州科技学院"</f>
        <v>郑州科技学院</v>
      </c>
      <c r="F3104" s="1" t="str">
        <f>"计算机网络技术"</f>
        <v>计算机网络技术</v>
      </c>
      <c r="G3104" s="1" t="str">
        <f>"河南省南召县城郊乡政府家属院158号"</f>
        <v>河南省南召县城郊乡政府家属院158号</v>
      </c>
      <c r="H3104" s="1" t="str">
        <f t="shared" si="1531"/>
        <v>无</v>
      </c>
      <c r="I3104" s="1" t="str">
        <f>"202209-202507 郑州科技学院计算机网络技术就读 全日制学历"</f>
        <v>202209-202507 郑州科技学院计算机网络技术就读 全日制学历</v>
      </c>
    </row>
    <row r="3105" spans="1:9">
      <c r="A3105" s="1" t="str">
        <f>"411327200303113118"</f>
        <v>411327200303113118</v>
      </c>
      <c r="B3105" s="1" t="str">
        <f t="shared" si="1530"/>
        <v>群众</v>
      </c>
      <c r="C3105" s="1" t="str">
        <f t="shared" ref="C3105:C3111" si="1532">"本科"</f>
        <v>本科</v>
      </c>
      <c r="D3105" s="1" t="str">
        <f>"20240624"</f>
        <v>20240624</v>
      </c>
      <c r="E3105" s="1" t="str">
        <f>"西安航空学院"</f>
        <v>西安航空学院</v>
      </c>
      <c r="F3105" s="1" t="str">
        <f>"材料成型及控制工程"</f>
        <v>材料成型及控制工程</v>
      </c>
      <c r="G3105" s="1" t="str">
        <f>"河南省南阳市内乡县夏馆镇"</f>
        <v>河南省南阳市内乡县夏馆镇</v>
      </c>
      <c r="H3105" s="1" t="str">
        <f t="shared" si="1531"/>
        <v>无</v>
      </c>
      <c r="I3105" s="1" t="str">
        <f>"202009-202406西安航空学院就读
202406至今待业"</f>
        <v>202009-202406西安航空学院就读
202406至今待业</v>
      </c>
    </row>
    <row r="3106" spans="1:9">
      <c r="A3106" s="1" t="str">
        <f>"411327200205280019"</f>
        <v>411327200205280019</v>
      </c>
      <c r="B3106" s="1" t="str">
        <f t="shared" si="1530"/>
        <v>群众</v>
      </c>
      <c r="C3106" s="1" t="str">
        <f t="shared" si="1532"/>
        <v>本科</v>
      </c>
      <c r="D3106" s="1" t="str">
        <f>"20250630"</f>
        <v>20250630</v>
      </c>
      <c r="E3106" s="1" t="str">
        <f>"景德镇学院"</f>
        <v>景德镇学院</v>
      </c>
      <c r="F3106" s="1" t="str">
        <f>"雕塑"</f>
        <v>雕塑</v>
      </c>
      <c r="G3106" s="1" t="str">
        <f>"内乡县新都花园"</f>
        <v>内乡县新都花园</v>
      </c>
      <c r="H3106" s="1" t="str">
        <f t="shared" si="1531"/>
        <v>无</v>
      </c>
      <c r="I3106" s="1" t="str">
        <f>"202109-202506 景德镇学院就读。陶瓷美术与设计艺术学院雕塑专业，是全日制本科学历。"</f>
        <v>202109-202506 景德镇学院就读。陶瓷美术与设计艺术学院雕塑专业，是全日制本科学历。</v>
      </c>
    </row>
    <row r="3107" spans="1:9">
      <c r="A3107" s="1" t="str">
        <f>"140430199604137211"</f>
        <v>140430199604137211</v>
      </c>
      <c r="B3107" s="1" t="str">
        <f t="shared" ref="B3107:B3114" si="1533">"共青团员"</f>
        <v>共青团员</v>
      </c>
      <c r="C3107" s="1" t="str">
        <f t="shared" si="1532"/>
        <v>本科</v>
      </c>
      <c r="D3107" s="1" t="str">
        <f>"20180615"</f>
        <v>20180615</v>
      </c>
      <c r="E3107" s="1" t="str">
        <f>"武夷学院"</f>
        <v>武夷学院</v>
      </c>
      <c r="F3107" s="1" t="str">
        <f>"通信工程"</f>
        <v>通信工程</v>
      </c>
      <c r="G3107" s="1" t="str">
        <f>"山西省长治市沁县新店镇新店村"</f>
        <v>山西省长治市沁县新店镇新店村</v>
      </c>
      <c r="H3107" s="1" t="str">
        <f t="shared" si="1531"/>
        <v>无</v>
      </c>
      <c r="I3107" s="1" t="str">
        <f>"201409-201806  武夷学院（数学与计算机系、通信工程专业）就读 
 全日制学历；
201807-201909 北京培训JAVA；
201909-202005 待业；
202005-202308 山西金子典信息技术有限公司工作（数据标注员）；
202308-202310 待业；
202310-202408  山西月圆科技有限公司工作（数据标注员）；
202408-202504 待业；
202504-至今在山西星球数据有限责任公司工作（视频审核员）。
"</f>
        <v>201409-201806  武夷学院（数学与计算机系、通信工程专业）就读 
 全日制学历；
201807-201909 北京培训JAVA；
201909-202005 待业；
202005-202308 山西金子典信息技术有限公司工作（数据标注员）；
202308-202310 待业；
202310-202408  山西月圆科技有限公司工作（数据标注员）；
202408-202504 待业；
202504-至今在山西星球数据有限责任公司工作（视频审核员）。
</v>
      </c>
    </row>
    <row r="3108" spans="1:9">
      <c r="A3108" s="1" t="str">
        <f>"410882199112268032"</f>
        <v>410882199112268032</v>
      </c>
      <c r="B3108" s="1" t="str">
        <f>"中共党员"</f>
        <v>中共党员</v>
      </c>
      <c r="C3108" s="1" t="str">
        <f t="shared" si="1532"/>
        <v>本科</v>
      </c>
      <c r="D3108" s="1" t="str">
        <f>"201606"</f>
        <v>201606</v>
      </c>
      <c r="E3108" s="1" t="str">
        <f>"河南师范大学新联学院"</f>
        <v>河南师范大学新联学院</v>
      </c>
      <c r="F3108" s="1" t="str">
        <f>"工商管理"</f>
        <v>工商管理</v>
      </c>
      <c r="G3108" s="1" t="str">
        <f>"河南省焦作市沁阳市锦绣江南小区"</f>
        <v>河南省焦作市沁阳市锦绣江南小区</v>
      </c>
      <c r="H3108" s="1" t="str">
        <f t="shared" si="1531"/>
        <v>无</v>
      </c>
      <c r="I3108" s="1" t="str">
        <f>"201109-201406   焦作大学汽车技术服务与营销专业就读
201409-201606   河南师范大学新联学院工商管理专业就读"</f>
        <v>201109-201406   焦作大学汽车技术服务与营销专业就读
201409-201606   河南师范大学新联学院工商管理专业就读</v>
      </c>
    </row>
    <row r="3109" spans="1:9">
      <c r="A3109" s="1" t="str">
        <f>"411327200205170100"</f>
        <v>411327200205170100</v>
      </c>
      <c r="B3109" s="1" t="str">
        <f t="shared" si="1533"/>
        <v>共青团员</v>
      </c>
      <c r="C3109" s="1" t="str">
        <f t="shared" si="1532"/>
        <v>本科</v>
      </c>
      <c r="D3109" s="1" t="str">
        <f>"20240613"</f>
        <v>20240613</v>
      </c>
      <c r="E3109" s="1" t="str">
        <f>"南开大学"</f>
        <v>南开大学</v>
      </c>
      <c r="F3109" s="1" t="str">
        <f>"法学"</f>
        <v>法学</v>
      </c>
      <c r="G3109" s="1" t="str">
        <f>"河南省南阳市内乡县城关镇渚阳大街673号职专组97号"</f>
        <v>河南省南阳市内乡县城关镇渚阳大街673号职专组97号</v>
      </c>
      <c r="H3109" s="1" t="str">
        <f t="shared" si="1531"/>
        <v>无</v>
      </c>
      <c r="I3109" s="1" t="str">
        <f>"201908-202406 南开大学法学院法学专业就读 全日制学历"</f>
        <v>201908-202406 南开大学法学院法学专业就读 全日制学历</v>
      </c>
    </row>
    <row r="3110" spans="1:9">
      <c r="A3110" s="1" t="str">
        <f>"411327200303230023"</f>
        <v>411327200303230023</v>
      </c>
      <c r="B3110" s="1" t="str">
        <f>"群众"</f>
        <v>群众</v>
      </c>
      <c r="C3110" s="1" t="str">
        <f t="shared" si="1532"/>
        <v>本科</v>
      </c>
      <c r="D3110" s="1" t="str">
        <f>"20250630"</f>
        <v>20250630</v>
      </c>
      <c r="E3110" s="1" t="str">
        <f>"南阳理工学院"</f>
        <v>南阳理工学院</v>
      </c>
      <c r="F3110" s="1" t="str">
        <f>"财务管理"</f>
        <v>财务管理</v>
      </c>
      <c r="G3110" s="1" t="str">
        <f>"河南省南阳市内乡县水岸豪庭小区"</f>
        <v>河南省南阳市内乡县水岸豪庭小区</v>
      </c>
      <c r="H3110" s="1" t="str">
        <f>"初级会计证书"</f>
        <v>初级会计证书</v>
      </c>
      <c r="I3110" s="1" t="str">
        <f>"20200901-20230630 河南财政金融学院就读专科会计专业
20230901-20250630  南阳理工学院就读财务管理专业"</f>
        <v>20200901-20230630 河南财政金融学院就读专科会计专业
20230901-20250630  南阳理工学院就读财务管理专业</v>
      </c>
    </row>
    <row r="3111" spans="1:9">
      <c r="A3111" s="1" t="str">
        <f>"411325199803183333"</f>
        <v>411325199803183333</v>
      </c>
      <c r="B3111" s="1" t="str">
        <f t="shared" si="1533"/>
        <v>共青团员</v>
      </c>
      <c r="C3111" s="1" t="str">
        <f t="shared" si="1532"/>
        <v>本科</v>
      </c>
      <c r="D3111" s="1" t="str">
        <f>"20210620"</f>
        <v>20210620</v>
      </c>
      <c r="E3111" s="1" t="str">
        <f>"浙江科技学院"</f>
        <v>浙江科技学院</v>
      </c>
      <c r="F3111" s="1" t="str">
        <f>"信息与计算科学"</f>
        <v>信息与计算科学</v>
      </c>
      <c r="G3111" s="1" t="str">
        <f>"河南省内乡县海天楼"</f>
        <v>河南省内乡县海天楼</v>
      </c>
      <c r="H3111" s="1" t="str">
        <f t="shared" ref="H3111:H3115" si="1534">"无"</f>
        <v>无</v>
      </c>
      <c r="I3111" s="1" t="str">
        <f>"201709-202106 就读于浙江科技学院信息与计算科学专业
202106-202501 就职于郑州飞天电气自动化设备有限公司"</f>
        <v>201709-202106 就读于浙江科技学院信息与计算科学专业
202106-202501 就职于郑州飞天电气自动化设备有限公司</v>
      </c>
    </row>
    <row r="3112" spans="1:9">
      <c r="A3112" s="1" t="str">
        <f>"411327200110044945"</f>
        <v>411327200110044945</v>
      </c>
      <c r="B3112" s="1" t="str">
        <f t="shared" si="1533"/>
        <v>共青团员</v>
      </c>
      <c r="C3112" s="1" t="str">
        <f>"专科"</f>
        <v>专科</v>
      </c>
      <c r="D3112" s="1" t="str">
        <f>"20230630"</f>
        <v>20230630</v>
      </c>
      <c r="E3112" s="1" t="str">
        <f>"河南林业职业技术学院"</f>
        <v>河南林业职业技术学院</v>
      </c>
      <c r="F3112" s="1" t="str">
        <f>"园林技术"</f>
        <v>园林技术</v>
      </c>
      <c r="G3112" s="1" t="str">
        <f>"河南省南阳市内乡县城关镇大成桥白云小区"</f>
        <v>河南省南阳市内乡县城关镇大成桥白云小区</v>
      </c>
      <c r="H3112" s="1" t="str">
        <f t="shared" si="1534"/>
        <v>无</v>
      </c>
      <c r="I3112" s="1" t="str">
        <f>"2020.09-2023.06河南林业职业技术学院园林技术专业学生2022.06-2024.6在河南园林绿化中心工作 2025.4-至今在河南亿禾设备维修有限公司工作"</f>
        <v>2020.09-2023.06河南林业职业技术学院园林技术专业学生2022.06-2024.6在河南园林绿化中心工作 2025.4-至今在河南亿禾设备维修有限公司工作</v>
      </c>
    </row>
    <row r="3113" spans="1:9">
      <c r="A3113" s="1" t="str">
        <f>"411327200104040040"</f>
        <v>411327200104040040</v>
      </c>
      <c r="B3113" s="1" t="str">
        <f t="shared" si="1533"/>
        <v>共青团员</v>
      </c>
      <c r="C3113" s="1" t="str">
        <f t="shared" ref="C3113:C3115" si="1535">"本科"</f>
        <v>本科</v>
      </c>
      <c r="D3113" s="1" t="str">
        <f>"20230621"</f>
        <v>20230621</v>
      </c>
      <c r="E3113" s="1" t="str">
        <f>"哈尔滨工程大学"</f>
        <v>哈尔滨工程大学</v>
      </c>
      <c r="F3113" s="1" t="str">
        <f>"金融学"</f>
        <v>金融学</v>
      </c>
      <c r="G3113" s="1" t="str">
        <f>"河南省南阳市内乡县城关镇郦都大道1号附8号"</f>
        <v>河南省南阳市内乡县城关镇郦都大道1号附8号</v>
      </c>
      <c r="H3113" s="1" t="str">
        <f t="shared" si="1534"/>
        <v>无</v>
      </c>
      <c r="I3113" s="1" t="str">
        <f>"201909-202306 哈尔滨工程大学就读，全日制学历；202307-202404，在家待业；202405-202409，武汉新东方就业；202410-至今，在家待业。"</f>
        <v>201909-202306 哈尔滨工程大学就读，全日制学历；202307-202404，在家待业；202405-202409，武汉新东方就业；202410-至今，在家待业。</v>
      </c>
    </row>
    <row r="3114" spans="1:9">
      <c r="A3114" s="1" t="str">
        <f>"41132720040304392X"</f>
        <v>41132720040304392X</v>
      </c>
      <c r="B3114" s="1" t="str">
        <f t="shared" si="1533"/>
        <v>共青团员</v>
      </c>
      <c r="C3114" s="1" t="str">
        <f t="shared" si="1535"/>
        <v>本科</v>
      </c>
      <c r="D3114" s="1" t="str">
        <f>"20250701"</f>
        <v>20250701</v>
      </c>
      <c r="E3114" s="1" t="str">
        <f>"郑州师范学院"</f>
        <v>郑州师范学院</v>
      </c>
      <c r="F3114" s="1" t="str">
        <f>"地理科学"</f>
        <v>地理科学</v>
      </c>
      <c r="G3114" s="1" t="str">
        <f>"河南省南阳市内乡县菊韵花苑3期3栋703"</f>
        <v>河南省南阳市内乡县菊韵花苑3期3栋703</v>
      </c>
      <c r="H3114" s="1" t="str">
        <f t="shared" si="1534"/>
        <v>无</v>
      </c>
      <c r="I3114" s="1" t="str">
        <f>"202109-202507郑州师范学院 地理与旅游学院 地理科学专业就读 全日制学历"</f>
        <v>202109-202507郑州师范学院 地理与旅游学院 地理科学专业就读 全日制学历</v>
      </c>
    </row>
    <row r="3115" spans="1:9">
      <c r="A3115" s="1" t="str">
        <f>"411523200112280429"</f>
        <v>411523200112280429</v>
      </c>
      <c r="B3115" s="1" t="str">
        <f>"群众"</f>
        <v>群众</v>
      </c>
      <c r="C3115" s="1" t="str">
        <f t="shared" si="1535"/>
        <v>本科</v>
      </c>
      <c r="D3115" s="1" t="str">
        <f>"20240701"</f>
        <v>20240701</v>
      </c>
      <c r="E3115" s="1" t="str">
        <f>"平顶山学院"</f>
        <v>平顶山学院</v>
      </c>
      <c r="F3115" s="1" t="str">
        <f>"旅游管理"</f>
        <v>旅游管理</v>
      </c>
      <c r="G3115" s="1" t="str">
        <f>"河南省信阳市新县发展大道"</f>
        <v>河南省信阳市新县发展大道</v>
      </c>
      <c r="H3115" s="1" t="str">
        <f t="shared" si="1534"/>
        <v>无</v>
      </c>
      <c r="I3115" s="1" t="str">
        <f>"20190901——20220701河南科技学院
20220901——20240701平顶山学院"</f>
        <v>20190901——20220701河南科技学院
20220901——20240701平顶山学院</v>
      </c>
    </row>
    <row r="3116" spans="1:9">
      <c r="A3116" s="1" t="str">
        <f>"41132720001014202X"</f>
        <v>41132720001014202X</v>
      </c>
      <c r="B3116" s="1" t="str">
        <f>"中共党员"</f>
        <v>中共党员</v>
      </c>
      <c r="C3116" s="1" t="str">
        <f>"专科"</f>
        <v>专科</v>
      </c>
      <c r="D3116" s="1" t="str">
        <f>"20210701"</f>
        <v>20210701</v>
      </c>
      <c r="E3116" s="1" t="str">
        <f>"三门峡职业技术学院"</f>
        <v>三门峡职业技术学院</v>
      </c>
      <c r="F3116" s="1" t="str">
        <f>"建筑室内设计"</f>
        <v>建筑室内设计</v>
      </c>
      <c r="G3116" s="1" t="str">
        <f>"河南省南阳市内乡县师岗镇一组"</f>
        <v>河南省南阳市内乡县师岗镇一组</v>
      </c>
      <c r="H3116" s="1" t="str">
        <f>"全国工业和信息化应用人才测评证书"</f>
        <v>全国工业和信息化应用人才测评证书</v>
      </c>
      <c r="I3116" s="1" t="str">
        <f>"201809-202107 三门峡职业技术学院 建筑工程学院 建筑室内设计"</f>
        <v>201809-202107 三门峡职业技术学院 建筑工程学院 建筑室内设计</v>
      </c>
    </row>
    <row r="3117" spans="1:9">
      <c r="A3117" s="1" t="str">
        <f>"411327200102171522"</f>
        <v>411327200102171522</v>
      </c>
      <c r="B3117" s="1" t="str">
        <f t="shared" ref="B3117:B3120" si="1536">"共青团员"</f>
        <v>共青团员</v>
      </c>
      <c r="C3117" s="1" t="str">
        <f t="shared" ref="C3117:C3119" si="1537">"本科"</f>
        <v>本科</v>
      </c>
      <c r="D3117" s="1" t="str">
        <f>"20230701"</f>
        <v>20230701</v>
      </c>
      <c r="E3117" s="1" t="str">
        <f>"信阳学院"</f>
        <v>信阳学院</v>
      </c>
      <c r="F3117" s="1" t="str">
        <f>"小学教育"</f>
        <v>小学教育</v>
      </c>
      <c r="G3117" s="1" t="str">
        <f>"河南省内乡县湍东镇庙岗村北沟组5号"</f>
        <v>河南省内乡县湍东镇庙岗村北沟组5号</v>
      </c>
      <c r="H3117" s="1" t="str">
        <f t="shared" ref="H3117:H3122" si="1538">"无"</f>
        <v>无</v>
      </c>
      <c r="I3117" s="1" t="str">
        <f>"201909-202307 信阳学院 小学教育专业就读  全日制
2023.09至今待业"</f>
        <v>201909-202307 信阳学院 小学教育专业就读  全日制
2023.09至今待业</v>
      </c>
    </row>
    <row r="3118" spans="1:9">
      <c r="A3118" s="1" t="str">
        <f>"411327200303052511"</f>
        <v>411327200303052511</v>
      </c>
      <c r="B3118" s="1" t="str">
        <f t="shared" ref="B3118:B3125" si="1539">"群众"</f>
        <v>群众</v>
      </c>
      <c r="C3118" s="1" t="str">
        <f t="shared" si="1537"/>
        <v>本科</v>
      </c>
      <c r="D3118" s="1" t="str">
        <f>"2025-07-01"</f>
        <v>2025-07-01</v>
      </c>
      <c r="E3118" s="1" t="str">
        <f>"河南财经政法大学"</f>
        <v>河南财经政法大学</v>
      </c>
      <c r="F3118" s="1" t="str">
        <f>"金融学类保险学"</f>
        <v>金融学类保险学</v>
      </c>
      <c r="G3118" s="1" t="str">
        <f>"河南省南阳市内乡县王店镇宋沟村"</f>
        <v>河南省南阳市内乡县王店镇宋沟村</v>
      </c>
      <c r="H3118" s="1" t="str">
        <f t="shared" si="1538"/>
        <v>无</v>
      </c>
      <c r="I3118" s="1" t="str">
        <f>"202109-202506于河南财经政法大学金融学院就读金融学类保险学专业，属于全日制学历"</f>
        <v>202109-202506于河南财经政法大学金融学院就读金融学类保险学专业，属于全日制学历</v>
      </c>
    </row>
    <row r="3119" spans="1:9">
      <c r="A3119" s="1" t="str">
        <f>"411224200210210029"</f>
        <v>411224200210210029</v>
      </c>
      <c r="B3119" s="1" t="str">
        <f t="shared" si="1536"/>
        <v>共青团员</v>
      </c>
      <c r="C3119" s="1" t="str">
        <f t="shared" si="1537"/>
        <v>本科</v>
      </c>
      <c r="D3119" s="1" t="str">
        <f>"20240605"</f>
        <v>20240605</v>
      </c>
      <c r="E3119" s="1" t="str">
        <f>"河南师范大学新联学院"</f>
        <v>河南师范大学新联学院</v>
      </c>
      <c r="F3119" s="1" t="str">
        <f>"学前教育"</f>
        <v>学前教育</v>
      </c>
      <c r="G3119" s="1" t="str">
        <f>"河南省三门峡市卢氏县城关镇"</f>
        <v>河南省三门峡市卢氏县城关镇</v>
      </c>
      <c r="H3119" s="1" t="str">
        <f t="shared" si="1538"/>
        <v>无</v>
      </c>
      <c r="I3119" s="1" t="str">
        <f>"202009-202406 河南师范大学新联学院学前教育专业就读，全日制学历。"</f>
        <v>202009-202406 河南师范大学新联学院学前教育专业就读，全日制学历。</v>
      </c>
    </row>
    <row r="3120" spans="1:9">
      <c r="A3120" s="1" t="str">
        <f>"411330200001204514"</f>
        <v>411330200001204514</v>
      </c>
      <c r="B3120" s="1" t="str">
        <f t="shared" si="1536"/>
        <v>共青团员</v>
      </c>
      <c r="C3120" s="1" t="str">
        <f>"硕士研究生"</f>
        <v>硕士研究生</v>
      </c>
      <c r="D3120" s="1" t="str">
        <f>"20250630"</f>
        <v>20250630</v>
      </c>
      <c r="E3120" s="1" t="str">
        <f>"西藏农牧学院"</f>
        <v>西藏农牧学院</v>
      </c>
      <c r="F3120" s="1" t="str">
        <f>"林学"</f>
        <v>林学</v>
      </c>
      <c r="G3120" s="1" t="str">
        <f>"河南省南阳市西峡县"</f>
        <v>河南省南阳市西峡县</v>
      </c>
      <c r="H3120" s="1" t="str">
        <f t="shared" si="1538"/>
        <v>无</v>
      </c>
      <c r="I3120" s="1" t="str">
        <f>"201809-202206 信阳农林学院 林学院 林学 全日制
202209-202506 西藏农牧学院 资源与环境学院 林学 全日制"</f>
        <v>201809-202206 信阳农林学院 林学院 林学 全日制
202209-202506 西藏农牧学院 资源与环境学院 林学 全日制</v>
      </c>
    </row>
    <row r="3121" spans="1:9">
      <c r="A3121" s="1" t="str">
        <f>"411327199904090016"</f>
        <v>411327199904090016</v>
      </c>
      <c r="B3121" s="1" t="str">
        <f t="shared" si="1539"/>
        <v>群众</v>
      </c>
      <c r="C3121" s="1" t="str">
        <f t="shared" ref="C3121:C3128" si="1540">"本科"</f>
        <v>本科</v>
      </c>
      <c r="D3121" s="1" t="str">
        <f>"20220701"</f>
        <v>20220701</v>
      </c>
      <c r="E3121" s="1" t="str">
        <f>"安阳学院"</f>
        <v>安阳学院</v>
      </c>
      <c r="F3121" s="1" t="str">
        <f>"市场营销"</f>
        <v>市场营销</v>
      </c>
      <c r="G3121" s="1" t="str">
        <f>"内乡县东湖家园"</f>
        <v>内乡县东湖家园</v>
      </c>
      <c r="H3121" s="1" t="str">
        <f t="shared" si="1538"/>
        <v>无</v>
      </c>
      <c r="I3121" s="1" t="str">
        <f>"2017.09-2020.07河南质量工程职业学院会计专业就读
2020.09-2022.07安阳学院市场营销专业就读
2022-2023待业
2023-2024南邓高速公路有限公司
2024-2025内乡县文广旅局"</f>
        <v>2017.09-2020.07河南质量工程职业学院会计专业就读
2020.09-2022.07安阳学院市场营销专业就读
2022-2023待业
2023-2024南邓高速公路有限公司
2024-2025内乡县文广旅局</v>
      </c>
    </row>
    <row r="3122" spans="1:9">
      <c r="A3122" s="1" t="str">
        <f>"411327200007161529"</f>
        <v>411327200007161529</v>
      </c>
      <c r="B3122" s="1" t="str">
        <f>"共青团员"</f>
        <v>共青团员</v>
      </c>
      <c r="C3122" s="1" t="str">
        <f t="shared" si="1540"/>
        <v>本科</v>
      </c>
      <c r="D3122" s="1" t="str">
        <f>"20220701"</f>
        <v>20220701</v>
      </c>
      <c r="E3122" s="1" t="str">
        <f>"信阳学院"</f>
        <v>信阳学院</v>
      </c>
      <c r="F3122" s="1" t="str">
        <f>"汉语言文学"</f>
        <v>汉语言文学</v>
      </c>
      <c r="G3122" s="1" t="str">
        <f>"河南省南阳市内乡县湍东镇五里堡村"</f>
        <v>河南省南阳市内乡县湍东镇五里堡村</v>
      </c>
      <c r="H3122" s="1" t="str">
        <f t="shared" si="1538"/>
        <v>无</v>
      </c>
      <c r="I3122" s="1" t="str">
        <f>"201809-202207信阳学院汉语言文学专业就读
202208-202407南阳传媒公司工作
202408-202506内乡县郦都学校工作
202507-202508在家待业"</f>
        <v>201809-202207信阳学院汉语言文学专业就读
202208-202407南阳传媒公司工作
202408-202506内乡县郦都学校工作
202507-202508在家待业</v>
      </c>
    </row>
    <row r="3123" spans="1:9">
      <c r="A3123" s="1" t="str">
        <f>"411282199011302324"</f>
        <v>411282199011302324</v>
      </c>
      <c r="B3123" s="1" t="str">
        <f t="shared" si="1539"/>
        <v>群众</v>
      </c>
      <c r="C3123" s="1" t="str">
        <f t="shared" si="1540"/>
        <v>本科</v>
      </c>
      <c r="D3123" s="1" t="str">
        <f>"20150703"</f>
        <v>20150703</v>
      </c>
      <c r="E3123" s="1" t="str">
        <f>"东北师范大学"</f>
        <v>东北师范大学</v>
      </c>
      <c r="F3123" s="1" t="str">
        <f>"汉语言文学"</f>
        <v>汉语言文学</v>
      </c>
      <c r="G3123" s="1" t="str">
        <f>"河南省新郑育源高级中学"</f>
        <v>河南省新郑育源高级中学</v>
      </c>
      <c r="H3123" s="1" t="str">
        <f>"中小学二级"</f>
        <v>中小学二级</v>
      </c>
      <c r="I3123" s="1" t="str">
        <f>"200809-201106许昌职业技术学院人文教育艺术系影视动漫专业就读全日制201303-201507东北师范大学汉语言文学专业就读非全日制
间断是由于2011年在灵宝市参加工作后想提升学历于是在2013年参加网络教育"</f>
        <v>200809-201106许昌职业技术学院人文教育艺术系影视动漫专业就读全日制201303-201507东北师范大学汉语言文学专业就读非全日制
间断是由于2011年在灵宝市参加工作后想提升学历于是在2013年参加网络教育</v>
      </c>
    </row>
    <row r="3124" spans="1:9">
      <c r="A3124" s="1" t="str">
        <f>"410323200212162532"</f>
        <v>410323200212162532</v>
      </c>
      <c r="B3124" s="1" t="str">
        <f t="shared" si="1539"/>
        <v>群众</v>
      </c>
      <c r="C3124" s="1" t="str">
        <f t="shared" si="1540"/>
        <v>本科</v>
      </c>
      <c r="D3124" s="1" t="str">
        <f>"2025-07-01"</f>
        <v>2025-07-01</v>
      </c>
      <c r="E3124" s="1" t="str">
        <f>"商丘学院"</f>
        <v>商丘学院</v>
      </c>
      <c r="F3124" s="1" t="str">
        <f>"汉语言文学（师范）"</f>
        <v>汉语言文学（师范）</v>
      </c>
      <c r="G3124" s="1" t="str">
        <f>"河南省洛阳市新安县双湘路洛新家园"</f>
        <v>河南省洛阳市新安县双湘路洛新家园</v>
      </c>
      <c r="H3124" s="1" t="str">
        <f>"普通话二级甲等"</f>
        <v>普通话二级甲等</v>
      </c>
      <c r="I3124" s="1" t="str">
        <f>"202109-202507 商丘学院人文学院汉语言文学（师范）专业全日制本科"</f>
        <v>202109-202507 商丘学院人文学院汉语言文学（师范）专业全日制本科</v>
      </c>
    </row>
    <row r="3125" spans="1:9">
      <c r="A3125" s="1" t="str">
        <f>"41010220030130013X"</f>
        <v>41010220030130013X</v>
      </c>
      <c r="B3125" s="1" t="str">
        <f t="shared" si="1539"/>
        <v>群众</v>
      </c>
      <c r="C3125" s="1" t="str">
        <f t="shared" si="1540"/>
        <v>本科</v>
      </c>
      <c r="D3125" s="1" t="str">
        <f>"2025-07-01"</f>
        <v>2025-07-01</v>
      </c>
      <c r="E3125" s="1" t="str">
        <f>"河南工程学院"</f>
        <v>河南工程学院</v>
      </c>
      <c r="F3125" s="1" t="str">
        <f>"人工智能"</f>
        <v>人工智能</v>
      </c>
      <c r="G3125" s="1" t="str">
        <f>"河南省郑州市中原区汝河路22号院"</f>
        <v>河南省郑州市中原区汝河路22号院</v>
      </c>
      <c r="H3125" s="1" t="str">
        <f t="shared" ref="H3125:H3136" si="1541">"无"</f>
        <v>无</v>
      </c>
      <c r="I3125" s="1" t="str">
        <f>"202109-202507 河南工程学院 电气信息工程学院 人工智能"</f>
        <v>202109-202507 河南工程学院 电气信息工程学院 人工智能</v>
      </c>
    </row>
    <row r="3126" spans="1:9">
      <c r="A3126" s="1" t="str">
        <f>"41133020011120251X"</f>
        <v>41133020011120251X</v>
      </c>
      <c r="B3126" s="1" t="str">
        <f>"中共党员"</f>
        <v>中共党员</v>
      </c>
      <c r="C3126" s="1" t="str">
        <f t="shared" si="1540"/>
        <v>本科</v>
      </c>
      <c r="D3126" s="1" t="str">
        <f>"2024-06-18"</f>
        <v>2024-06-18</v>
      </c>
      <c r="E3126" s="1" t="str">
        <f>"中国石油大学胜利学院"</f>
        <v>中国石油大学胜利学院</v>
      </c>
      <c r="F3126" s="1" t="str">
        <f>"财务管理"</f>
        <v>财务管理</v>
      </c>
      <c r="G3126" s="1" t="str">
        <f>"河南省南阳市西峡县灌河大道南段与西保路交叉口水悦龙湾13-903"</f>
        <v>河南省南阳市西峡县灌河大道南段与西保路交叉口水悦龙湾13-903</v>
      </c>
      <c r="H3126" s="1" t="str">
        <f t="shared" si="1541"/>
        <v>无</v>
      </c>
      <c r="I3126" s="1" t="str">
        <f>"202009-202406 中国石油大学胜利学院 经济管理与文法学院 财务管理专业就读 系全日制本科学历 202406至今在家待业"</f>
        <v>202009-202406 中国石油大学胜利学院 经济管理与文法学院 财务管理专业就读 系全日制本科学历 202406至今在家待业</v>
      </c>
    </row>
    <row r="3127" spans="1:9">
      <c r="A3127" s="1" t="str">
        <f>"411481200007029628"</f>
        <v>411481200007029628</v>
      </c>
      <c r="B3127" s="1" t="str">
        <f t="shared" ref="B3127:B3130" si="1542">"共青团员"</f>
        <v>共青团员</v>
      </c>
      <c r="C3127" s="1" t="str">
        <f t="shared" si="1540"/>
        <v>本科</v>
      </c>
      <c r="D3127" s="1" t="str">
        <f>"20240701"</f>
        <v>20240701</v>
      </c>
      <c r="E3127" s="1" t="str">
        <f>"黄河科技学院"</f>
        <v>黄河科技学院</v>
      </c>
      <c r="F3127" s="1" t="str">
        <f>"学前教育"</f>
        <v>学前教育</v>
      </c>
      <c r="G3127" s="1" t="str">
        <f>"河南省永城市"</f>
        <v>河南省永城市</v>
      </c>
      <c r="H3127" s="1" t="str">
        <f t="shared" si="1541"/>
        <v>无</v>
      </c>
      <c r="I3127" s="1" t="str">
        <f>"201609-201906 永城市第一高级中学 高中 全日制
201909-202206 商丘学院 小学教育专业 全日制专科
202209-202406 黄河科技学院 学前教育专业 全日制本科"</f>
        <v>201609-201906 永城市第一高级中学 高中 全日制
201909-202206 商丘学院 小学教育专业 全日制专科
202209-202406 黄河科技学院 学前教育专业 全日制本科</v>
      </c>
    </row>
    <row r="3128" spans="1:9">
      <c r="A3128" s="1" t="str">
        <f>"411324200010280087"</f>
        <v>411324200010280087</v>
      </c>
      <c r="B3128" s="1" t="str">
        <f t="shared" ref="B3128:B3132" si="1543">"群众"</f>
        <v>群众</v>
      </c>
      <c r="C3128" s="1" t="str">
        <f t="shared" si="1540"/>
        <v>本科</v>
      </c>
      <c r="D3128" s="1" t="str">
        <f>"20230607"</f>
        <v>20230607</v>
      </c>
      <c r="E3128" s="1" t="str">
        <f>"郑州升达经贸管理学院"</f>
        <v>郑州升达经贸管理学院</v>
      </c>
      <c r="F3128" s="1" t="str">
        <f>"翻译"</f>
        <v>翻译</v>
      </c>
      <c r="G3128" s="1" t="str">
        <f>"镇平县福润花园"</f>
        <v>镇平县福润花园</v>
      </c>
      <c r="H3128" s="1" t="str">
        <f t="shared" si="1541"/>
        <v>无</v>
      </c>
      <c r="I3128" s="1" t="str">
        <f>"201909-202306 郑州升达经贸管理学院 外国语学院翻译专业 就读 全日制学历
202306-至今 河南待业"</f>
        <v>201909-202306 郑州升达经贸管理学院 外国语学院翻译专业 就读 全日制学历
202306-至今 河南待业</v>
      </c>
    </row>
    <row r="3129" spans="1:9">
      <c r="A3129" s="1" t="str">
        <f>"411327200207301522"</f>
        <v>411327200207301522</v>
      </c>
      <c r="B3129" s="1" t="str">
        <f t="shared" si="1542"/>
        <v>共青团员</v>
      </c>
      <c r="C3129" s="1" t="str">
        <f>"专科"</f>
        <v>专科</v>
      </c>
      <c r="D3129" s="1" t="str">
        <f>"20220701"</f>
        <v>20220701</v>
      </c>
      <c r="E3129" s="1" t="str">
        <f>"河南工学院"</f>
        <v>河南工学院</v>
      </c>
      <c r="F3129" s="1" t="str">
        <f>"酒店管理"</f>
        <v>酒店管理</v>
      </c>
      <c r="G3129" s="1" t="str">
        <f>"河南省南阳市内乡县湍东镇龙源村"</f>
        <v>河南省南阳市内乡县湍东镇龙源村</v>
      </c>
      <c r="H3129" s="1" t="str">
        <f t="shared" si="1541"/>
        <v>无</v>
      </c>
      <c r="I3129" s="1" t="str">
        <f>"201909-202206河南工学院就读，全日制酒店管理专业
202209-202507内乡县菊潭学校就业"</f>
        <v>201909-202206河南工学院就读，全日制酒店管理专业
202209-202507内乡县菊潭学校就业</v>
      </c>
    </row>
    <row r="3130" spans="1:9">
      <c r="A3130" s="1" t="str">
        <f>"411327200109271534"</f>
        <v>411327200109271534</v>
      </c>
      <c r="B3130" s="1" t="str">
        <f t="shared" si="1542"/>
        <v>共青团员</v>
      </c>
      <c r="C3130" s="1" t="str">
        <f t="shared" ref="C3130:C3134" si="1544">"本科"</f>
        <v>本科</v>
      </c>
      <c r="D3130" s="1" t="str">
        <f>"20250617"</f>
        <v>20250617</v>
      </c>
      <c r="E3130" s="1" t="str">
        <f>"中国矿业大学"</f>
        <v>中国矿业大学</v>
      </c>
      <c r="F3130" s="1" t="str">
        <f>"材料科学与工程"</f>
        <v>材料科学与工程</v>
      </c>
      <c r="G3130" s="1" t="str">
        <f>"河南省南阳市内乡县湍东镇龙头村范营组"</f>
        <v>河南省南阳市内乡县湍东镇龙头村范营组</v>
      </c>
      <c r="H3130" s="1" t="str">
        <f t="shared" si="1541"/>
        <v>无</v>
      </c>
      <c r="I3130" s="1" t="str">
        <f>"201908-202506于中国矿业大学 材料与物理学院 材料与科学工程专业就读，是全日制学历。"</f>
        <v>201908-202506于中国矿业大学 材料与物理学院 材料与科学工程专业就读，是全日制学历。</v>
      </c>
    </row>
    <row r="3131" spans="1:9">
      <c r="A3131" s="1" t="str">
        <f>"411327200407160031"</f>
        <v>411327200407160031</v>
      </c>
      <c r="B3131" s="1" t="str">
        <f t="shared" si="1543"/>
        <v>群众</v>
      </c>
      <c r="C3131" s="1" t="str">
        <f t="shared" si="1544"/>
        <v>本科</v>
      </c>
      <c r="D3131" s="1" t="str">
        <f>"20260607"</f>
        <v>20260607</v>
      </c>
      <c r="E3131" s="1" t="str">
        <f>"黄河科技学院应用技术学院"</f>
        <v>黄河科技学院应用技术学院</v>
      </c>
      <c r="F3131" s="1" t="str">
        <f>"工程管理学"</f>
        <v>工程管理学</v>
      </c>
      <c r="G3131" s="1" t="str">
        <f>"2253586955@qq.com"</f>
        <v>2253586955@qq.com</v>
      </c>
      <c r="H3131" s="1" t="str">
        <f t="shared" si="1541"/>
        <v>无</v>
      </c>
      <c r="I3131" s="1" t="str">
        <f>"202209-202606 黄河科技学院应用技术学院 就读"</f>
        <v>202209-202606 黄河科技学院应用技术学院 就读</v>
      </c>
    </row>
    <row r="3132" spans="1:9">
      <c r="A3132" s="1" t="str">
        <f>"411327199502151541"</f>
        <v>411327199502151541</v>
      </c>
      <c r="B3132" s="1" t="str">
        <f t="shared" si="1543"/>
        <v>群众</v>
      </c>
      <c r="C3132" s="1" t="str">
        <f t="shared" si="1544"/>
        <v>本科</v>
      </c>
      <c r="D3132" s="1" t="str">
        <f>"2018-07-01"</f>
        <v>2018-07-01</v>
      </c>
      <c r="E3132" s="1" t="str">
        <f>"黄河交通学院"</f>
        <v>黄河交通学院</v>
      </c>
      <c r="F3132" s="1" t="str">
        <f>"物流管理"</f>
        <v>物流管理</v>
      </c>
      <c r="G3132" s="1" t="str">
        <f>"河南省内乡县湍东镇周洼村陈家组"</f>
        <v>河南省内乡县湍东镇周洼村陈家组</v>
      </c>
      <c r="H3132" s="1" t="str">
        <f t="shared" si="1541"/>
        <v>无</v>
      </c>
      <c r="I3132" s="1" t="str">
        <f>"201409-201806 黄河交通学院 就读。
19年到21年在郑州圆通转运中心运营管理
21-23年在河南恒辉任职物流发货联系专员
23-现在在精艺橡胶任职成品加工管理岗位"</f>
        <v>201409-201806 黄河交通学院 就读。
19年到21年在郑州圆通转运中心运营管理
21-23年在河南恒辉任职物流发货联系专员
23-现在在精艺橡胶任职成品加工管理岗位</v>
      </c>
    </row>
    <row r="3133" spans="1:9">
      <c r="A3133" s="1" t="str">
        <f>"410324200204150319"</f>
        <v>410324200204150319</v>
      </c>
      <c r="B3133" s="1" t="str">
        <f t="shared" ref="B3133:B3137" si="1545">"共青团员"</f>
        <v>共青团员</v>
      </c>
      <c r="C3133" s="1" t="str">
        <f t="shared" si="1544"/>
        <v>本科</v>
      </c>
      <c r="D3133" s="1" t="str">
        <f>"20240620"</f>
        <v>20240620</v>
      </c>
      <c r="E3133" s="1" t="str">
        <f>"长安大学"</f>
        <v>长安大学</v>
      </c>
      <c r="F3133" s="1" t="str">
        <f>"国际经济与贸易"</f>
        <v>国际经济与贸易</v>
      </c>
      <c r="G3133" s="1" t="str">
        <f>"河南省洛阳市栾川县君山国际小区"</f>
        <v>河南省洛阳市栾川县君山国际小区</v>
      </c>
      <c r="H3133" s="1" t="str">
        <f t="shared" si="1541"/>
        <v>无</v>
      </c>
      <c r="I3133" s="1" t="str">
        <f>"20200901-20240620 长安大学经济与管理学院国际经济与贸易专业就读 全日制学历"</f>
        <v>20200901-20240620 长安大学经济与管理学院国际经济与贸易专业就读 全日制学历</v>
      </c>
    </row>
    <row r="3134" spans="1:9">
      <c r="A3134" s="1" t="str">
        <f>"41072820020119601X"</f>
        <v>41072820020119601X</v>
      </c>
      <c r="B3134" s="1" t="str">
        <f>"中共预备党员"</f>
        <v>中共预备党员</v>
      </c>
      <c r="C3134" s="1" t="str">
        <f t="shared" si="1544"/>
        <v>本科</v>
      </c>
      <c r="D3134" s="1" t="str">
        <f>"2025-07-01"</f>
        <v>2025-07-01</v>
      </c>
      <c r="E3134" s="1" t="str">
        <f>"河南师范大学"</f>
        <v>河南师范大学</v>
      </c>
      <c r="F3134" s="1" t="str">
        <f>"电子信息工程"</f>
        <v>电子信息工程</v>
      </c>
      <c r="G3134" s="1" t="str">
        <f>"河南省新乡市长垣市蒲西街道杏坛路食博园"</f>
        <v>河南省新乡市长垣市蒲西街道杏坛路食博园</v>
      </c>
      <c r="H3134" s="1" t="str">
        <f t="shared" si="1541"/>
        <v>无</v>
      </c>
      <c r="I3134" s="1" t="str">
        <f>"202110-202507 河南师范大学电子与电气工程学院电子信息工程专业 全日制本科就读 "</f>
        <v>202110-202507 河南师范大学电子与电气工程学院电子信息工程专业 全日制本科就读 </v>
      </c>
    </row>
    <row r="3135" spans="1:9">
      <c r="A3135" s="1" t="str">
        <f>"411327200212212014"</f>
        <v>411327200212212014</v>
      </c>
      <c r="B3135" s="1" t="str">
        <f t="shared" ref="B3135:B3139" si="1546">"群众"</f>
        <v>群众</v>
      </c>
      <c r="C3135" s="1" t="str">
        <f t="shared" ref="C3135:C3139" si="1547">"专科"</f>
        <v>专科</v>
      </c>
      <c r="D3135" s="1" t="str">
        <f>"20220630"</f>
        <v>20220630</v>
      </c>
      <c r="E3135" s="1" t="str">
        <f>"西安理工大学"</f>
        <v>西安理工大学</v>
      </c>
      <c r="F3135" s="1" t="str">
        <f>"铁道交通运营管理"</f>
        <v>铁道交通运营管理</v>
      </c>
      <c r="G3135" s="1" t="str">
        <f>"河南省南阳市宛城区明山路烟厂三库小区"</f>
        <v>河南省南阳市宛城区明山路烟厂三库小区</v>
      </c>
      <c r="H3135" s="1" t="str">
        <f t="shared" si="1541"/>
        <v>无</v>
      </c>
      <c r="I3135" s="1" t="str">
        <f>"202003-202109西安理工大学     非全日制
20209-202309武警甘肃总队参谋部
202309-202310在家待业
202311-202405 深圳跨越速运有限公司
202406-202410河南永联大件运输服务有限公司
202410-至今南阳市公安局特警支队"</f>
        <v>202003-202109西安理工大学     非全日制
20209-202309武警甘肃总队参谋部
202309-202310在家待业
202311-202405 深圳跨越速运有限公司
202406-202410河南永联大件运输服务有限公司
202410-至今南阳市公安局特警支队</v>
      </c>
    </row>
    <row r="3136" spans="1:9">
      <c r="A3136" s="1" t="str">
        <f>"411327199812224590"</f>
        <v>411327199812224590</v>
      </c>
      <c r="B3136" s="1" t="str">
        <f t="shared" si="1545"/>
        <v>共青团员</v>
      </c>
      <c r="C3136" s="1" t="str">
        <f t="shared" si="1547"/>
        <v>专科</v>
      </c>
      <c r="D3136" s="1" t="str">
        <f>"20210701"</f>
        <v>20210701</v>
      </c>
      <c r="E3136" s="1" t="str">
        <f>"河南林业职业学院"</f>
        <v>河南林业职业学院</v>
      </c>
      <c r="F3136" s="1" t="str">
        <f>"计算机网络技术"</f>
        <v>计算机网络技术</v>
      </c>
      <c r="G3136" s="1" t="str">
        <f>"河南省南阳市"</f>
        <v>河南省南阳市</v>
      </c>
      <c r="H3136" s="1" t="str">
        <f t="shared" si="1541"/>
        <v>无</v>
      </c>
      <c r="I3136" s="1" t="str">
        <f>"2018年9月1日至2021年7月1日在河南林业职业学院就读于信息艺术与设计系，为全日制学历"</f>
        <v>2018年9月1日至2021年7月1日在河南林业职业学院就读于信息艺术与设计系，为全日制学历</v>
      </c>
    </row>
    <row r="3137" spans="1:9">
      <c r="A3137" s="1" t="str">
        <f>"411327200211053920"</f>
        <v>411327200211053920</v>
      </c>
      <c r="B3137" s="1" t="str">
        <f t="shared" si="1545"/>
        <v>共青团员</v>
      </c>
      <c r="C3137" s="1" t="str">
        <f t="shared" ref="C3137:C3141" si="1548">"本科"</f>
        <v>本科</v>
      </c>
      <c r="D3137" s="1" t="str">
        <f>"20240606"</f>
        <v>20240606</v>
      </c>
      <c r="E3137" s="1" t="str">
        <f>"河南大学"</f>
        <v>河南大学</v>
      </c>
      <c r="F3137" s="1" t="str">
        <f>"思想政治教育"</f>
        <v>思想政治教育</v>
      </c>
      <c r="G3137" s="1" t="str">
        <f>"河南省南阳市内乡县"</f>
        <v>河南省南阳市内乡县</v>
      </c>
      <c r="H3137" s="1" t="str">
        <f>"高中教师资格证"</f>
        <v>高中教师资格证</v>
      </c>
      <c r="I3137" s="1" t="str">
        <f>"202009-202406河南大学马克思主义学院思想政治教育专业就读
202409-202502南阳博雅未来高中教学
202502-至今，在内乡县待业"</f>
        <v>202009-202406河南大学马克思主义学院思想政治教育专业就读
202409-202502南阳博雅未来高中教学
202502-至今，在内乡县待业</v>
      </c>
    </row>
    <row r="3138" spans="1:9">
      <c r="A3138" s="1" t="str">
        <f>"411323200301012617"</f>
        <v>411323200301012617</v>
      </c>
      <c r="B3138" s="1" t="str">
        <f t="shared" si="1546"/>
        <v>群众</v>
      </c>
      <c r="C3138" s="1" t="str">
        <f t="shared" si="1547"/>
        <v>专科</v>
      </c>
      <c r="D3138" s="1" t="str">
        <f>"20250701"</f>
        <v>20250701</v>
      </c>
      <c r="E3138" s="1" t="str">
        <f>"河南地矿职业学院"</f>
        <v>河南地矿职业学院</v>
      </c>
      <c r="F3138" s="1" t="str">
        <f>"婴幼儿托育服务与管理"</f>
        <v>婴幼儿托育服务与管理</v>
      </c>
      <c r="G3138" s="1" t="str">
        <f>"河南省南阳市淅川县龙城街道东环路篷布打黄油"</f>
        <v>河南省南阳市淅川县龙城街道东环路篷布打黄油</v>
      </c>
      <c r="H3138" s="1" t="str">
        <f t="shared" ref="H3138:H3142" si="1549">"无"</f>
        <v>无</v>
      </c>
      <c r="I3138" s="1" t="str">
        <f>"202209-202506河南地矿职业学院建筑与艺术设计学院婴幼儿托育服务与管理专业就读是全日制学历"</f>
        <v>202209-202506河南地矿职业学院建筑与艺术设计学院婴幼儿托育服务与管理专业就读是全日制学历</v>
      </c>
    </row>
    <row r="3139" spans="1:9">
      <c r="A3139" s="1" t="str">
        <f>"411302199309065425"</f>
        <v>411302199309065425</v>
      </c>
      <c r="B3139" s="1" t="str">
        <f t="shared" si="1546"/>
        <v>群众</v>
      </c>
      <c r="C3139" s="1" t="str">
        <f t="shared" si="1547"/>
        <v>专科</v>
      </c>
      <c r="D3139" s="1" t="str">
        <f>"20140701"</f>
        <v>20140701</v>
      </c>
      <c r="E3139" s="1" t="str">
        <f>"黄河科技学院"</f>
        <v>黄河科技学院</v>
      </c>
      <c r="F3139" s="1" t="str">
        <f>"护理"</f>
        <v>护理</v>
      </c>
      <c r="G3139" s="1" t="str">
        <f>"河南省南阳市宛城区独山大道中级法院小区"</f>
        <v>河南省南阳市宛城区独山大道中级法院小区</v>
      </c>
      <c r="H3139" s="1" t="str">
        <f>"护士执业资格证"</f>
        <v>护士执业资格证</v>
      </c>
      <c r="I3139" s="1" t="str">
        <f>"201109-201407黄河科技学院护理专业就读全日制。201408-201602 南阳待业。201603-201803首都医科大学三博脑科医院就职。201804-202507南阳市济仁堂大药房就职。"</f>
        <v>201109-201407黄河科技学院护理专业就读全日制。201408-201602 南阳待业。201603-201803首都医科大学三博脑科医院就职。201804-202507南阳市济仁堂大药房就职。</v>
      </c>
    </row>
    <row r="3140" spans="1:9">
      <c r="A3140" s="1" t="str">
        <f>"411327200304054981"</f>
        <v>411327200304054981</v>
      </c>
      <c r="B3140" s="1" t="str">
        <f t="shared" ref="B3140:B3142" si="1550">"共青团员"</f>
        <v>共青团员</v>
      </c>
      <c r="C3140" s="1" t="str">
        <f t="shared" si="1548"/>
        <v>本科</v>
      </c>
      <c r="D3140" s="1" t="str">
        <f>"20250620"</f>
        <v>20250620</v>
      </c>
      <c r="E3140" s="1" t="str">
        <f>"河南工学院"</f>
        <v>河南工学院</v>
      </c>
      <c r="F3140" s="1" t="str">
        <f>"数字媒体技术"</f>
        <v>数字媒体技术</v>
      </c>
      <c r="G3140" s="1" t="str">
        <f>"河南省南阳市内乡县林场小区"</f>
        <v>河南省南阳市内乡县林场小区</v>
      </c>
      <c r="H3140" s="1" t="str">
        <f t="shared" si="1549"/>
        <v>无</v>
      </c>
      <c r="I3140" s="1" t="str">
        <f>"202109-202506河南工学院计算机科学与技术院系数字媒体技术专业就读，全日制学历。"</f>
        <v>202109-202506河南工学院计算机科学与技术院系数字媒体技术专业就读，全日制学历。</v>
      </c>
    </row>
    <row r="3141" spans="1:9">
      <c r="A3141" s="1" t="str">
        <f>"411303200303190307"</f>
        <v>411303200303190307</v>
      </c>
      <c r="B3141" s="1" t="str">
        <f t="shared" si="1550"/>
        <v>共青团员</v>
      </c>
      <c r="C3141" s="1" t="str">
        <f t="shared" si="1548"/>
        <v>本科</v>
      </c>
      <c r="D3141" s="1" t="str">
        <f>"20240701"</f>
        <v>20240701</v>
      </c>
      <c r="E3141" s="1" t="str">
        <f>"河南科技大学"</f>
        <v>河南科技大学</v>
      </c>
      <c r="F3141" s="1" t="str">
        <f>"医学影像技术"</f>
        <v>医学影像技术</v>
      </c>
      <c r="G3141" s="1" t="str">
        <f>"南阳市卧龙区"</f>
        <v>南阳市卧龙区</v>
      </c>
      <c r="H3141" s="1" t="str">
        <f t="shared" si="1549"/>
        <v>无</v>
      </c>
      <c r="I3141" s="1" t="str">
        <f>"201809-202107郑州澍青医学高等专科学校就读医学影像技术 全日制
202203-202407河南科技大学就读医学影像技术 "</f>
        <v>201809-202107郑州澍青医学高等专科学校就读医学影像技术 全日制
202203-202407河南科技大学就读医学影像技术 </v>
      </c>
    </row>
    <row r="3142" spans="1:9">
      <c r="A3142" s="1" t="str">
        <f>"410325199811237513"</f>
        <v>410325199811237513</v>
      </c>
      <c r="B3142" s="1" t="str">
        <f t="shared" si="1550"/>
        <v>共青团员</v>
      </c>
      <c r="C3142" s="1" t="str">
        <f t="shared" ref="C3142:C3147" si="1551">"专科"</f>
        <v>专科</v>
      </c>
      <c r="D3142" s="1" t="str">
        <f>"20200701"</f>
        <v>20200701</v>
      </c>
      <c r="E3142" s="1" t="str">
        <f>"河南建筑职业技术学院"</f>
        <v>河南建筑职业技术学院</v>
      </c>
      <c r="F3142" s="1" t="str">
        <f>"物业管理"</f>
        <v>物业管理</v>
      </c>
      <c r="G3142" s="1" t="str">
        <f>"河南省嵩县永安街生产公司家属楼"</f>
        <v>河南省嵩县永安街生产公司家属楼</v>
      </c>
      <c r="H3142" s="1" t="str">
        <f t="shared" si="1549"/>
        <v>无</v>
      </c>
      <c r="I3142" s="1" t="str">
        <f>"201709-202007河南建筑职业技术学院就读
202007-202306洛阳碧桂园就职
202306至今待业"</f>
        <v>201709-202007河南建筑职业技术学院就读
202007-202306洛阳碧桂园就职
202306至今待业</v>
      </c>
    </row>
    <row r="3143" spans="1:9">
      <c r="A3143" s="1" t="str">
        <f>"411327199112132011"</f>
        <v>411327199112132011</v>
      </c>
      <c r="B3143" s="1" t="str">
        <f t="shared" ref="B3143:B3148" si="1552">"群众"</f>
        <v>群众</v>
      </c>
      <c r="C3143" s="1" t="str">
        <f t="shared" ref="C3143:C3145" si="1553">"本科"</f>
        <v>本科</v>
      </c>
      <c r="D3143" s="1" t="str">
        <f>"20230701"</f>
        <v>20230701</v>
      </c>
      <c r="E3143" s="1" t="str">
        <f>"南阳理工学院"</f>
        <v>南阳理工学院</v>
      </c>
      <c r="F3143" s="1" t="str">
        <f>"道路桥梁与渡河工程"</f>
        <v>道路桥梁与渡河工程</v>
      </c>
      <c r="G3143" s="1" t="str">
        <f>"河南省南阳市内乡县天春苑4号楼1101"</f>
        <v>河南省南阳市内乡县天春苑4号楼1101</v>
      </c>
      <c r="H3143" s="1" t="str">
        <f>"D20230900132500538"</f>
        <v>D20230900132500538</v>
      </c>
      <c r="I3143" s="1" t="str">
        <f>"200912-2017-12 中国人民解放军91718部队服役
201801-2018-09 待业
201810-至今 内乡县农村公路管理所上班
202103-202307 南阳理工学院 道路桥梁与渡河工程专业函授（非全日制）学习 "</f>
        <v>200912-2017-12 中国人民解放军91718部队服役
201801-2018-09 待业
201810-至今 内乡县农村公路管理所上班
202103-202307 南阳理工学院 道路桥梁与渡河工程专业函授（非全日制）学习 </v>
      </c>
    </row>
    <row r="3144" spans="1:9">
      <c r="A3144" s="1" t="str">
        <f>"411302199111041321"</f>
        <v>411302199111041321</v>
      </c>
      <c r="B3144" s="1" t="str">
        <f t="shared" si="1552"/>
        <v>群众</v>
      </c>
      <c r="C3144" s="1" t="str">
        <f t="shared" si="1553"/>
        <v>本科</v>
      </c>
      <c r="D3144" s="1" t="str">
        <f>"20140701"</f>
        <v>20140701</v>
      </c>
      <c r="E3144" s="1" t="str">
        <f>"南阳师范学院"</f>
        <v>南阳师范学院</v>
      </c>
      <c r="F3144" s="1" t="str">
        <f>"软件工程"</f>
        <v>软件工程</v>
      </c>
      <c r="G3144" s="1" t="str">
        <f>"河南省南阳市宛城区范蠡东路丽康花园"</f>
        <v>河南省南阳市宛城区范蠡东路丽康花园</v>
      </c>
      <c r="H3144" s="1" t="str">
        <f t="shared" ref="H3144:H3146" si="1554">"无"</f>
        <v>无</v>
      </c>
      <c r="I3144" s="1" t="str">
        <f>"201009-201407 南阳师范学院 就读 全日制"</f>
        <v>201009-201407 南阳师范学院 就读 全日制</v>
      </c>
    </row>
    <row r="3145" spans="1:9">
      <c r="A3145" s="1" t="str">
        <f>"522727200306010016"</f>
        <v>522727200306010016</v>
      </c>
      <c r="B3145" s="1" t="str">
        <f>"共青团员"</f>
        <v>共青团员</v>
      </c>
      <c r="C3145" s="1" t="str">
        <f t="shared" si="1553"/>
        <v>本科</v>
      </c>
      <c r="D3145" s="1" t="str">
        <f>"20250701"</f>
        <v>20250701</v>
      </c>
      <c r="E3145" s="1" t="str">
        <f>"贵阳人文科技学院"</f>
        <v>贵阳人文科技学院</v>
      </c>
      <c r="F3145" s="1" t="str">
        <f>"市场营销"</f>
        <v>市场营销</v>
      </c>
      <c r="G3145" s="1" t="str">
        <f>"贵州省贵阳市"</f>
        <v>贵州省贵阳市</v>
      </c>
      <c r="H3145" s="1" t="str">
        <f t="shared" si="1554"/>
        <v>无</v>
      </c>
      <c r="I3145" s="1" t="str">
        <f>"202109—202507于贵阳人文科技学院市场营销专业就读 是全日制学历"</f>
        <v>202109—202507于贵阳人文科技学院市场营销专业就读 是全日制学历</v>
      </c>
    </row>
    <row r="3146" spans="1:9">
      <c r="A3146" s="1" t="str">
        <f>"413026199701191211"</f>
        <v>413026199701191211</v>
      </c>
      <c r="B3146" s="1" t="str">
        <f t="shared" si="1552"/>
        <v>群众</v>
      </c>
      <c r="C3146" s="1" t="str">
        <f t="shared" si="1551"/>
        <v>专科</v>
      </c>
      <c r="D3146" s="1" t="str">
        <f>"20190630"</f>
        <v>20190630</v>
      </c>
      <c r="E3146" s="1" t="str">
        <f>"河南交通职业技术学院"</f>
        <v>河南交通职业技术学院</v>
      </c>
      <c r="F3146" s="1" t="str">
        <f>"汽车运用与维修技术"</f>
        <v>汽车运用与维修技术</v>
      </c>
      <c r="G3146" s="1" t="str">
        <f>"河南省信阳市固始县杨集乡老庄组"</f>
        <v>河南省信阳市固始县杨集乡老庄组</v>
      </c>
      <c r="H3146" s="1" t="str">
        <f t="shared" si="1554"/>
        <v>无</v>
      </c>
      <c r="I3146" s="1" t="str">
        <f>"201609-201906 河南交通职业技术学院汽车运用与维修技术专业就读。"</f>
        <v>201609-201906 河南交通职业技术学院汽车运用与维修技术专业就读。</v>
      </c>
    </row>
    <row r="3147" spans="1:9">
      <c r="A3147" s="1" t="str">
        <f>"371325200310222317"</f>
        <v>371325200310222317</v>
      </c>
      <c r="B3147" s="1" t="str">
        <f t="shared" si="1552"/>
        <v>群众</v>
      </c>
      <c r="C3147" s="1" t="str">
        <f t="shared" si="1551"/>
        <v>专科</v>
      </c>
      <c r="D3147" s="1" t="str">
        <f>"20250705"</f>
        <v>20250705</v>
      </c>
      <c r="E3147" s="1" t="str">
        <f>"聊城职业技术学院"</f>
        <v>聊城职业技术学院</v>
      </c>
      <c r="F3147" s="1" t="str">
        <f>"软件技术"</f>
        <v>软件技术</v>
      </c>
      <c r="G3147" s="1" t="str">
        <f>"山东省临沂市费县"</f>
        <v>山东省临沂市费县</v>
      </c>
      <c r="H3147" s="1" t="str">
        <f>"计算机程序员三级证书"</f>
        <v>计算机程序员三级证书</v>
      </c>
      <c r="I3147" s="1" t="str">
        <f>" 202209-202507 聊城职业技术学院人工智能与网络安全学院软件技术专业就读，全日制学历。"</f>
        <v> 202209-202507 聊城职业技术学院人工智能与网络安全学院软件技术专业就读，全日制学历。</v>
      </c>
    </row>
    <row r="3148" spans="1:9">
      <c r="A3148" s="1" t="str">
        <f>"411327200001182038"</f>
        <v>411327200001182038</v>
      </c>
      <c r="B3148" s="1" t="str">
        <f t="shared" si="1552"/>
        <v>群众</v>
      </c>
      <c r="C3148" s="1" t="str">
        <f t="shared" ref="C3148:C3150" si="1555">"本科"</f>
        <v>本科</v>
      </c>
      <c r="D3148" s="1" t="str">
        <f>"20210701"</f>
        <v>20210701</v>
      </c>
      <c r="E3148" s="1" t="str">
        <f>"河南理工大学"</f>
        <v>河南理工大学</v>
      </c>
      <c r="F3148" s="1" t="str">
        <f>"财务管理专业"</f>
        <v>财务管理专业</v>
      </c>
      <c r="G3148" s="1" t="str">
        <f>"河南省南阳市内乡县师岗镇吕家沟村杨家"</f>
        <v>河南省南阳市内乡县师岗镇吕家沟村杨家</v>
      </c>
      <c r="H3148" s="1" t="str">
        <f>"初级会计专业技术资格证书"</f>
        <v>初级会计专业技术资格证书</v>
      </c>
      <c r="I3148" s="1" t="str">
        <f>"2017.09-2021.07 河南理工大学财经学院财务管理专业就读，全日制
2021.07-2024.11 中铁十一局集团城市轨道工程有限公司，财务部
2024.11-2025.03 河南省南阳市内乡县师岗镇吕家沟村待业
2025.03-至今 北京华政税务师事务所有限公司 税务助理"</f>
        <v>2017.09-2021.07 河南理工大学财经学院财务管理专业就读，全日制
2021.07-2024.11 中铁十一局集团城市轨道工程有限公司，财务部
2024.11-2025.03 河南省南阳市内乡县师岗镇吕家沟村待业
2025.03-至今 北京华政税务师事务所有限公司 税务助理</v>
      </c>
    </row>
    <row r="3149" spans="1:9">
      <c r="A3149" s="1" t="str">
        <f>"411327200108170029"</f>
        <v>411327200108170029</v>
      </c>
      <c r="B3149" s="1" t="str">
        <f>"共青团员"</f>
        <v>共青团员</v>
      </c>
      <c r="C3149" s="1" t="str">
        <f t="shared" si="1555"/>
        <v>本科</v>
      </c>
      <c r="D3149" s="1" t="str">
        <f>"2024-06-25"</f>
        <v>2024-06-25</v>
      </c>
      <c r="E3149" s="1" t="str">
        <f>"郑州西亚斯学院"</f>
        <v>郑州西亚斯学院</v>
      </c>
      <c r="F3149" s="1" t="str">
        <f>"计算机科学与技术"</f>
        <v>计算机科学与技术</v>
      </c>
      <c r="G3149" s="1" t="str">
        <f>"河南省南阳市内乡县马山口镇"</f>
        <v>河南省南阳市内乡县马山口镇</v>
      </c>
      <c r="H3149" s="1" t="str">
        <f t="shared" ref="H3149:H3160" si="1556">"无"</f>
        <v>无</v>
      </c>
      <c r="I3149" s="1" t="str">
        <f>"202009-202406 
郑州西亚斯学院的计算机与软件工程学院以计算机科学与技术专业就读
是全日制学历
202406-202507在家待业"</f>
        <v>202009-202406 
郑州西亚斯学院的计算机与软件工程学院以计算机科学与技术专业就读
是全日制学历
202406-202507在家待业</v>
      </c>
    </row>
    <row r="3150" spans="1:9">
      <c r="A3150" s="1" t="str">
        <f>"412728199203051312"</f>
        <v>412728199203051312</v>
      </c>
      <c r="B3150" s="1" t="str">
        <f t="shared" ref="B3150:B3155" si="1557">"群众"</f>
        <v>群众</v>
      </c>
      <c r="C3150" s="1" t="str">
        <f t="shared" si="1555"/>
        <v>本科</v>
      </c>
      <c r="D3150" s="1" t="str">
        <f>"20190701"</f>
        <v>20190701</v>
      </c>
      <c r="E3150" s="1" t="str">
        <f>"河南工业大学"</f>
        <v>河南工业大学</v>
      </c>
      <c r="F3150" s="1" t="str">
        <f>"生物技术"</f>
        <v>生物技术</v>
      </c>
      <c r="G3150" s="1" t="str">
        <f>"河南省沈丘县卞路口乡"</f>
        <v>河南省沈丘县卞路口乡</v>
      </c>
      <c r="H3150" s="1" t="str">
        <f t="shared" si="1556"/>
        <v>无</v>
      </c>
      <c r="I3150" s="1" t="str">
        <f>"201509-201907在河南工业大学生物工程学院生物技术专业就读，为全日制学历"</f>
        <v>201509-201907在河南工业大学生物工程学院生物技术专业就读，为全日制学历</v>
      </c>
    </row>
    <row r="3151" spans="1:9">
      <c r="A3151" s="1" t="str">
        <f>"411327199103191554"</f>
        <v>411327199103191554</v>
      </c>
      <c r="B3151" s="1" t="str">
        <f>"中共党员"</f>
        <v>中共党员</v>
      </c>
      <c r="C3151" s="1" t="str">
        <f>"硕士研究生"</f>
        <v>硕士研究生</v>
      </c>
      <c r="D3151" s="1" t="str">
        <f>"2018-07-03"</f>
        <v>2018-07-03</v>
      </c>
      <c r="E3151" s="1" t="str">
        <f>"北方工业大学"</f>
        <v>北方工业大学</v>
      </c>
      <c r="F3151" s="1" t="str">
        <f>"统计学"</f>
        <v>统计学</v>
      </c>
      <c r="G3151" s="1" t="str">
        <f>"河南省南阳市内乡县湍东镇东王营村王南组33号"</f>
        <v>河南省南阳市内乡县湍东镇东王营村王南组33号</v>
      </c>
      <c r="H3151" s="1" t="str">
        <f t="shared" si="1556"/>
        <v>无</v>
      </c>
      <c r="I3151" s="1" t="str">
        <f>"2007.09-2011.07 河南省内乡县第一高级中学
2011.09-2015.07 北方工业大学理学院统计学本科专业
2015.09-2018.07 北方工业大学理学院统计学硕士专业
2018.07-2019.06 北京诚通人力资源有限公司 
2019.07-至今 自主创业
"</f>
        <v>2007.09-2011.07 河南省内乡县第一高级中学
2011.09-2015.07 北方工业大学理学院统计学本科专业
2015.09-2018.07 北方工业大学理学院统计学硕士专业
2018.07-2019.06 北京诚通人力资源有限公司 
2019.07-至今 自主创业
</v>
      </c>
    </row>
    <row r="3152" spans="1:9">
      <c r="A3152" s="1" t="str">
        <f>"410381199306053036"</f>
        <v>410381199306053036</v>
      </c>
      <c r="B3152" s="1" t="str">
        <f>"中共预备党员"</f>
        <v>中共预备党员</v>
      </c>
      <c r="C3152" s="1" t="str">
        <f t="shared" ref="C3152:C3158" si="1558">"本科"</f>
        <v>本科</v>
      </c>
      <c r="D3152" s="1" t="str">
        <f>"20180701"</f>
        <v>20180701</v>
      </c>
      <c r="E3152" s="1" t="str">
        <f>"河南财经政法大学"</f>
        <v>河南财经政法大学</v>
      </c>
      <c r="F3152" s="1" t="str">
        <f>"金融学"</f>
        <v>金融学</v>
      </c>
      <c r="G3152" s="1" t="str">
        <f>"河南省洛阳市珠江路升龙城"</f>
        <v>河南省洛阳市珠江路升龙城</v>
      </c>
      <c r="H3152" s="1" t="str">
        <f t="shared" si="1556"/>
        <v>无</v>
      </c>
      <c r="I3152" s="1" t="str">
        <f>"201409-201807 就读河南财经政法大学金融学院金融学
201807-202206 就职于南京银行北京分行 职员
202206-至今 自由职业"</f>
        <v>201409-201807 就读河南财经政法大学金融学院金融学
201807-202206 就职于南京银行北京分行 职员
202206-至今 自由职业</v>
      </c>
    </row>
    <row r="3153" spans="1:9">
      <c r="A3153" s="1" t="str">
        <f>"411323200001280062"</f>
        <v>411323200001280062</v>
      </c>
      <c r="B3153" s="1" t="str">
        <f t="shared" si="1557"/>
        <v>群众</v>
      </c>
      <c r="C3153" s="1" t="str">
        <f>"专科"</f>
        <v>专科</v>
      </c>
      <c r="D3153" s="1" t="str">
        <f>"20200701"</f>
        <v>20200701</v>
      </c>
      <c r="E3153" s="1" t="str">
        <f>"河南机电职业学院"</f>
        <v>河南机电职业学院</v>
      </c>
      <c r="F3153" s="1" t="str">
        <f>"环境艺术设计"</f>
        <v>环境艺术设计</v>
      </c>
      <c r="G3153" s="1" t="str">
        <f>"河南省南阳市淅川县一帆风顺小区"</f>
        <v>河南省南阳市淅川县一帆风顺小区</v>
      </c>
      <c r="H3153" s="1" t="str">
        <f t="shared" si="1556"/>
        <v>无</v>
      </c>
      <c r="I3153" s="1" t="str">
        <f>"2014.09-2017.06 淅川县第二高级中学
2017.09-2020.07 河南机电职业学院
2020.07-2023.09 待业
2023.09-2024.09 淅川县第三小学幼儿园
2024.09-至今    待业"</f>
        <v>2014.09-2017.06 淅川县第二高级中学
2017.09-2020.07 河南机电职业学院
2020.07-2023.09 待业
2023.09-2024.09 淅川县第三小学幼儿园
2024.09-至今    待业</v>
      </c>
    </row>
    <row r="3154" spans="1:9">
      <c r="A3154" s="1" t="str">
        <f>"411381200102245657"</f>
        <v>411381200102245657</v>
      </c>
      <c r="B3154" s="1" t="str">
        <f t="shared" ref="B3154:B3158" si="1559">"共青团员"</f>
        <v>共青团员</v>
      </c>
      <c r="C3154" s="1" t="str">
        <f t="shared" si="1558"/>
        <v>本科</v>
      </c>
      <c r="D3154" s="1" t="str">
        <f>"20240620"</f>
        <v>20240620</v>
      </c>
      <c r="E3154" s="1" t="str">
        <f>"郑州航空工业管理学院"</f>
        <v>郑州航空工业管理学院</v>
      </c>
      <c r="F3154" s="1" t="str">
        <f>"环境设计"</f>
        <v>环境设计</v>
      </c>
      <c r="G3154" s="1" t="str">
        <f>"河南省邓州市彭桥镇一品大酒店隔壁"</f>
        <v>河南省邓州市彭桥镇一品大酒店隔壁</v>
      </c>
      <c r="H3154" s="1" t="str">
        <f t="shared" si="1556"/>
        <v>无</v>
      </c>
      <c r="I3154" s="1" t="str">
        <f>"2020.09.01-2024.06.20 郑州航空工业管理学院 艺术设计学院 环境设计专业 本科 普通全日制学历;
2023-12-01至2024-04-01 中铁四局集团 材料员实习;
2024.06.20-2025-01-01 待业;
2025-01-01-2025-06-21 武汉佰钧成技术有限责任公司 python后端工程师 阿里云系统开发;
2025-06-21-至今 待业;"</f>
        <v>2020.09.01-2024.06.20 郑州航空工业管理学院 艺术设计学院 环境设计专业 本科 普通全日制学历;
2023-12-01至2024-04-01 中铁四局集团 材料员实习;
2024.06.20-2025-01-01 待业;
2025-01-01-2025-06-21 武汉佰钧成技术有限责任公司 python后端工程师 阿里云系统开发;
2025-06-21-至今 待业;</v>
      </c>
    </row>
    <row r="3155" spans="1:9">
      <c r="A3155" s="1" t="str">
        <f>"410326199909227520"</f>
        <v>410326199909227520</v>
      </c>
      <c r="B3155" s="1" t="str">
        <f t="shared" si="1557"/>
        <v>群众</v>
      </c>
      <c r="C3155" s="1" t="str">
        <f t="shared" si="1558"/>
        <v>本科</v>
      </c>
      <c r="D3155" s="1" t="str">
        <f>"20210621"</f>
        <v>20210621</v>
      </c>
      <c r="E3155" s="1" t="str">
        <f>"新乡医学院"</f>
        <v>新乡医学院</v>
      </c>
      <c r="F3155" s="1" t="str">
        <f>"公共事业管理"</f>
        <v>公共事业管理</v>
      </c>
      <c r="G3155" s="1" t="str">
        <f>"河南省洛阳市汝阳县内埠镇杜庄村四组"</f>
        <v>河南省洛阳市汝阳县内埠镇杜庄村四组</v>
      </c>
      <c r="H3155" s="1" t="str">
        <f t="shared" si="1556"/>
        <v>无</v>
      </c>
      <c r="I3155" s="1" t="str">
        <f>"201709-202106 新乡医学院管理学院公共事业管理专业就读
202112-今 河南省汝阳县发展和改革委员会办公室（劳务派遣）"</f>
        <v>201709-202106 新乡医学院管理学院公共事业管理专业就读
202112-今 河南省汝阳县发展和改革委员会办公室（劳务派遣）</v>
      </c>
    </row>
    <row r="3156" spans="1:9">
      <c r="A3156" s="1" t="str">
        <f>"410324200103043717"</f>
        <v>410324200103043717</v>
      </c>
      <c r="B3156" s="1" t="str">
        <f t="shared" si="1559"/>
        <v>共青团员</v>
      </c>
      <c r="C3156" s="1" t="str">
        <f t="shared" si="1558"/>
        <v>本科</v>
      </c>
      <c r="D3156" s="1" t="str">
        <f>"20230710"</f>
        <v>20230710</v>
      </c>
      <c r="E3156" s="1" t="str">
        <f>"新疆大学"</f>
        <v>新疆大学</v>
      </c>
      <c r="F3156" s="1" t="str">
        <f>"城乡规划"</f>
        <v>城乡规划</v>
      </c>
      <c r="G3156" s="1" t="str">
        <f>"河南省洛阳市栾川县石庙镇下元村一组"</f>
        <v>河南省洛阳市栾川县石庙镇下元村一组</v>
      </c>
      <c r="H3156" s="1" t="str">
        <f t="shared" si="1556"/>
        <v>无</v>
      </c>
      <c r="I3156" s="1" t="str">
        <f>"201909-202307新疆大学就读。202307-202407新疆城乡规划设计研究院有限公司工作。202407至今在家中（河南省洛阳市栾川县石庙镇下元村一组）待业。"</f>
        <v>201909-202307新疆大学就读。202307-202407新疆城乡规划设计研究院有限公司工作。202407至今在家中（河南省洛阳市栾川县石庙镇下元村一组）待业。</v>
      </c>
    </row>
    <row r="3157" spans="1:9">
      <c r="A3157" s="1" t="str">
        <f>"411327199811230032"</f>
        <v>411327199811230032</v>
      </c>
      <c r="B3157" s="1" t="str">
        <f t="shared" si="1559"/>
        <v>共青团员</v>
      </c>
      <c r="C3157" s="1" t="str">
        <f t="shared" si="1558"/>
        <v>本科</v>
      </c>
      <c r="D3157" s="1" t="str">
        <f>"2022年6月30"</f>
        <v>2022年6月30</v>
      </c>
      <c r="E3157" s="1" t="str">
        <f>"郑州科技学院"</f>
        <v>郑州科技学院</v>
      </c>
      <c r="F3157" s="1" t="str">
        <f>"环境设计"</f>
        <v>环境设计</v>
      </c>
      <c r="G3157" s="1" t="str">
        <f>"河南省南阳市内乡县"</f>
        <v>河南省南阳市内乡县</v>
      </c>
      <c r="H3157" s="1" t="str">
        <f t="shared" si="1556"/>
        <v>无</v>
      </c>
      <c r="I3157" s="1" t="str">
        <f>"201709-202006  河南工业职业技术学院建筑学院就读建筑室内设计专业  全日制学历
202009-202206  郑州科技学院艺术学院就读环境设计专业  全日制学历  学士学位"</f>
        <v>201709-202006  河南工业职业技术学院建筑学院就读建筑室内设计专业  全日制学历
202009-202206  郑州科技学院艺术学院就读环境设计专业  全日制学历  学士学位</v>
      </c>
    </row>
    <row r="3158" spans="1:9">
      <c r="A3158" s="1" t="str">
        <f>"411328199904080017"</f>
        <v>411328199904080017</v>
      </c>
      <c r="B3158" s="1" t="str">
        <f t="shared" si="1559"/>
        <v>共青团员</v>
      </c>
      <c r="C3158" s="1" t="str">
        <f t="shared" si="1558"/>
        <v>本科</v>
      </c>
      <c r="D3158" s="1" t="str">
        <f>"20250621"</f>
        <v>20250621</v>
      </c>
      <c r="E3158" s="1" t="str">
        <f>"重庆移通学院"</f>
        <v>重庆移通学院</v>
      </c>
      <c r="F3158" s="1" t="str">
        <f>"人工智能"</f>
        <v>人工智能</v>
      </c>
      <c r="G3158" s="1" t="str">
        <f>"河南省南阳市新野县朝阳路中段打鼓庄小区"</f>
        <v>河南省南阳市新野县朝阳路中段打鼓庄小区</v>
      </c>
      <c r="H3158" s="1" t="str">
        <f t="shared" si="1556"/>
        <v>无</v>
      </c>
      <c r="I3158" s="1" t="str">
        <f>"202309-202506于重庆移通学院通信与信息工程学院人工智能专业就读，为全日制本科"</f>
        <v>202309-202506于重庆移通学院通信与信息工程学院人工智能专业就读，为全日制本科</v>
      </c>
    </row>
    <row r="3159" spans="1:9">
      <c r="A3159" s="1" t="str">
        <f>"411330200205083128"</f>
        <v>411330200205083128</v>
      </c>
      <c r="B3159" s="1" t="str">
        <f t="shared" ref="B3159:B3163" si="1560">"群众"</f>
        <v>群众</v>
      </c>
      <c r="C3159" s="1" t="str">
        <f t="shared" ref="C3159:C3162" si="1561">"专科"</f>
        <v>专科</v>
      </c>
      <c r="D3159" s="1" t="str">
        <f>"20230701"</f>
        <v>20230701</v>
      </c>
      <c r="E3159" s="1" t="str">
        <f>"河南水利与环境职业学院"</f>
        <v>河南水利与环境职业学院</v>
      </c>
      <c r="F3159" s="1" t="str">
        <f>"污染修复与生态工程技术"</f>
        <v>污染修复与生态工程技术</v>
      </c>
      <c r="G3159" s="1" t="str">
        <f>"河南省南阳市西峡县重阳镇云台村"</f>
        <v>河南省南阳市西峡县重阳镇云台村</v>
      </c>
      <c r="H3159" s="1" t="str">
        <f t="shared" si="1556"/>
        <v>无</v>
      </c>
      <c r="I3159" s="1" t="str">
        <f>"202010-202307河南水利与环境职业学院，污染修复与生态工程技术专业就读，是全日制学历 202307-至今待业"</f>
        <v>202010-202307河南水利与环境职业学院，污染修复与生态工程技术专业就读，是全日制学历 202307-至今待业</v>
      </c>
    </row>
    <row r="3160" spans="1:9">
      <c r="A3160" s="1" t="str">
        <f>"411381199609034220"</f>
        <v>411381199609034220</v>
      </c>
      <c r="B3160" s="1" t="str">
        <f t="shared" si="1560"/>
        <v>群众</v>
      </c>
      <c r="C3160" s="1" t="str">
        <f t="shared" si="1561"/>
        <v>专科</v>
      </c>
      <c r="D3160" s="1" t="str">
        <f>"20210701"</f>
        <v>20210701</v>
      </c>
      <c r="E3160" s="1" t="str">
        <f>"郑州理工职业学院"</f>
        <v>郑州理工职业学院</v>
      </c>
      <c r="F3160" s="1" t="str">
        <f>"数字媒体艺术设计"</f>
        <v>数字媒体艺术设计</v>
      </c>
      <c r="G3160" s="1" t="str">
        <f>"河南省邓州市罗庄镇"</f>
        <v>河南省邓州市罗庄镇</v>
      </c>
      <c r="H3160" s="1" t="str">
        <f t="shared" si="1556"/>
        <v>无</v>
      </c>
      <c r="I3160" s="1" t="str">
        <f>"201809—202107  郑州理工职业学院   数字媒体艺术设计专业 （全日制）
202203—202407  河南师范大学          小学教育（函数）
202407—202507  在家待业"</f>
        <v>201809—202107  郑州理工职业学院   数字媒体艺术设计专业 （全日制）
202203—202407  河南师范大学          小学教育（函数）
202407—202507  在家待业</v>
      </c>
    </row>
    <row r="3161" spans="1:9">
      <c r="A3161" s="1" t="str">
        <f>"411327200310200324"</f>
        <v>411327200310200324</v>
      </c>
      <c r="B3161" s="1" t="str">
        <f t="shared" si="1560"/>
        <v>群众</v>
      </c>
      <c r="C3161" s="1" t="str">
        <f t="shared" si="1561"/>
        <v>专科</v>
      </c>
      <c r="D3161" s="1" t="str">
        <f>"20240628"</f>
        <v>20240628</v>
      </c>
      <c r="E3161" s="1" t="str">
        <f>"河南农业职业学院"</f>
        <v>河南农业职业学院</v>
      </c>
      <c r="F3161" s="1" t="str">
        <f>"园艺技术"</f>
        <v>园艺技术</v>
      </c>
      <c r="G3161" s="1" t="str">
        <f>"河南省南阳市内乡县陡沟村封坡跟"</f>
        <v>河南省南阳市内乡县陡沟村封坡跟</v>
      </c>
      <c r="H3161" s="1" t="str">
        <f>"三级园艺师"</f>
        <v>三级园艺师</v>
      </c>
      <c r="I3161" s="1" t="str">
        <f>"202110-202406 河南农业职业学院就读 全日制"</f>
        <v>202110-202406 河南农业职业学院就读 全日制</v>
      </c>
    </row>
    <row r="3162" spans="1:9">
      <c r="A3162" s="1" t="str">
        <f>"411327199911110046"</f>
        <v>411327199911110046</v>
      </c>
      <c r="B3162" s="1" t="str">
        <f t="shared" si="1560"/>
        <v>群众</v>
      </c>
      <c r="C3162" s="1" t="str">
        <f t="shared" si="1561"/>
        <v>专科</v>
      </c>
      <c r="D3162" s="1" t="str">
        <f>"20200701"</f>
        <v>20200701</v>
      </c>
      <c r="E3162" s="1" t="str">
        <f>"信阳职业技术学院"</f>
        <v>信阳职业技术学院</v>
      </c>
      <c r="F3162" s="1" t="str">
        <f>"护理"</f>
        <v>护理</v>
      </c>
      <c r="G3162" s="1" t="str">
        <f>"河南省南阳市内乡县菊城小区"</f>
        <v>河南省南阳市内乡县菊城小区</v>
      </c>
      <c r="H3162" s="1" t="str">
        <f>"护师资格证 护师职业资格证"</f>
        <v>护师资格证 护师职业资格证</v>
      </c>
      <c r="I3162" s="1" t="str">
        <f>"201709—202007，在信阳职业技术学院就读，全日制学历。
202008一202012，在内乡菊谭医院外科工作。
202012一至今，在内乡县人民医院重症医学科工作。"</f>
        <v>201709—202007，在信阳职业技术学院就读，全日制学历。
202008一202012，在内乡菊谭医院外科工作。
202012一至今，在内乡县人民医院重症医学科工作。</v>
      </c>
    </row>
    <row r="3163" spans="1:9">
      <c r="A3163" s="1" t="str">
        <f>"412826199504107511"</f>
        <v>412826199504107511</v>
      </c>
      <c r="B3163" s="1" t="str">
        <f t="shared" si="1560"/>
        <v>群众</v>
      </c>
      <c r="C3163" s="1" t="str">
        <f t="shared" ref="C3163:C3167" si="1562">"本科"</f>
        <v>本科</v>
      </c>
      <c r="D3163" s="1" t="str">
        <f>"20190701"</f>
        <v>20190701</v>
      </c>
      <c r="E3163" s="1" t="str">
        <f>"郑州商学院"</f>
        <v>郑州商学院</v>
      </c>
      <c r="F3163" s="1" t="str">
        <f>"汉语言文学"</f>
        <v>汉语言文学</v>
      </c>
      <c r="G3163" s="1" t="str">
        <f>"河南省驻马店市汝南县聚豪华廷小区"</f>
        <v>河南省驻马店市汝南县聚豪华廷小区</v>
      </c>
      <c r="H3163" s="1" t="str">
        <f t="shared" ref="H3163:H3181" si="1563">"无"</f>
        <v>无</v>
      </c>
      <c r="I3163" s="1" t="str">
        <f>"201109-201406：汝南二高学校就读；
201409-201707：三门峡职业技术学院就读，师范学院语文教育专业就读，全日制专科；
201709-201907：郑州商学院就读，汉语言文学专业就读，全日制本科；
201907-202106：待业；
202106-202411：中共汝南县纪委监委工作，政府购岗人员；
202411月至今：待业。"</f>
        <v>201109-201406：汝南二高学校就读；
201409-201707：三门峡职业技术学院就读，师范学院语文教育专业就读，全日制专科；
201709-201907：郑州商学院就读，汉语言文学专业就读，全日制本科；
201907-202106：待业；
202106-202411：中共汝南县纪委监委工作，政府购岗人员；
202411月至今：待业。</v>
      </c>
    </row>
    <row r="3164" spans="1:9">
      <c r="A3164" s="1" t="str">
        <f>"411327200303014224"</f>
        <v>411327200303014224</v>
      </c>
      <c r="B3164" s="1" t="str">
        <f t="shared" ref="B3164:B3169" si="1564">"共青团员"</f>
        <v>共青团员</v>
      </c>
      <c r="C3164" s="1" t="str">
        <f t="shared" si="1562"/>
        <v>本科</v>
      </c>
      <c r="D3164" s="1" t="str">
        <f>"20250630"</f>
        <v>20250630</v>
      </c>
      <c r="E3164" s="1" t="str">
        <f>"许昌学院"</f>
        <v>许昌学院</v>
      </c>
      <c r="F3164" s="1" t="str">
        <f>"英语"</f>
        <v>英语</v>
      </c>
      <c r="G3164" s="1" t="str">
        <f>"河南省内乡县余关镇"</f>
        <v>河南省内乡县余关镇</v>
      </c>
      <c r="H3164" s="1" t="str">
        <f>"初中英语教师资格证书"</f>
        <v>初中英语教师资格证书</v>
      </c>
      <c r="I3164" s="1" t="str">
        <f>"202109-202506  许昌学院  外国语学院英语专业  全日制学历"</f>
        <v>202109-202506  许昌学院  外国语学院英语专业  全日制学历</v>
      </c>
    </row>
    <row r="3165" spans="1:9">
      <c r="A3165" s="1" t="str">
        <f>"411325200410060020"</f>
        <v>411325200410060020</v>
      </c>
      <c r="B3165" s="1" t="str">
        <f t="shared" ref="B3165:B3170" si="1565">"群众"</f>
        <v>群众</v>
      </c>
      <c r="C3165" s="1" t="str">
        <f t="shared" si="1562"/>
        <v>本科</v>
      </c>
      <c r="D3165" s="1" t="str">
        <f>"20250606"</f>
        <v>20250606</v>
      </c>
      <c r="E3165" s="1" t="str">
        <f>"河南开封科技传媒学院"</f>
        <v>河南开封科技传媒学院</v>
      </c>
      <c r="F3165" s="1" t="str">
        <f>"旅游管理"</f>
        <v>旅游管理</v>
      </c>
      <c r="G3165" s="1" t="str">
        <f>"河南省南阳市内乡县城关镇"</f>
        <v>河南省南阳市内乡县城关镇</v>
      </c>
      <c r="H3165" s="1" t="str">
        <f t="shared" si="1563"/>
        <v>无</v>
      </c>
      <c r="I3165" s="1" t="str">
        <f>"202109-202506 河南开封科技传媒学院就读商学院旅游管理就读，是全日制"</f>
        <v>202109-202506 河南开封科技传媒学院就读商学院旅游管理就读，是全日制</v>
      </c>
    </row>
    <row r="3166" spans="1:9">
      <c r="A3166" s="1" t="str">
        <f>"411326200305103347"</f>
        <v>411326200305103347</v>
      </c>
      <c r="B3166" s="1" t="str">
        <f t="shared" si="1564"/>
        <v>共青团员</v>
      </c>
      <c r="C3166" s="1" t="str">
        <f t="shared" si="1562"/>
        <v>本科</v>
      </c>
      <c r="D3166" s="1" t="str">
        <f>"20240603"</f>
        <v>20240603</v>
      </c>
      <c r="E3166" s="1" t="str">
        <f>"昌吉学院"</f>
        <v>昌吉学院</v>
      </c>
      <c r="F3166" s="1" t="str">
        <f>"应用统计学"</f>
        <v>应用统计学</v>
      </c>
      <c r="G3166" s="1" t="str">
        <f>"河南省南阳市南召县皇路店镇张井村"</f>
        <v>河南省南阳市南召县皇路店镇张井村</v>
      </c>
      <c r="H3166" s="1" t="str">
        <f t="shared" si="1563"/>
        <v>无</v>
      </c>
      <c r="I3166" s="1" t="str">
        <f>"202009-202406就读于昌吉学院数学与数据科学学院应用统计学，是全日制学历，学业未间断。"</f>
        <v>202009-202406就读于昌吉学院数学与数据科学学院应用统计学，是全日制学历，学业未间断。</v>
      </c>
    </row>
    <row r="3167" spans="1:9">
      <c r="A3167" s="1" t="str">
        <f>"411381200403283542"</f>
        <v>411381200403283542</v>
      </c>
      <c r="B3167" s="1" t="str">
        <f t="shared" si="1565"/>
        <v>群众</v>
      </c>
      <c r="C3167" s="1" t="str">
        <f t="shared" si="1562"/>
        <v>本科</v>
      </c>
      <c r="D3167" s="1" t="str">
        <f>"2025-07-01"</f>
        <v>2025-07-01</v>
      </c>
      <c r="E3167" s="1" t="str">
        <f>"郑州师范学院"</f>
        <v>郑州师范学院</v>
      </c>
      <c r="F3167" s="1" t="str">
        <f>"学前教育"</f>
        <v>学前教育</v>
      </c>
      <c r="G3167" s="1" t="str">
        <f>"河南省南阳邓州市蓝湾嘉园5号楼"</f>
        <v>河南省南阳邓州市蓝湾嘉园5号楼</v>
      </c>
      <c r="H3167" s="1" t="str">
        <f t="shared" si="1563"/>
        <v>无</v>
      </c>
      <c r="I3167" s="1" t="str">
        <f>"20210901-20250701 郑州师范学院教育科学学院学前教育就读"</f>
        <v>20210901-20250701 郑州师范学院教育科学学院学前教育就读</v>
      </c>
    </row>
    <row r="3168" spans="1:9">
      <c r="A3168" s="1" t="str">
        <f>"411326200408014822"</f>
        <v>411326200408014822</v>
      </c>
      <c r="B3168" s="1" t="str">
        <f t="shared" si="1564"/>
        <v>共青团员</v>
      </c>
      <c r="C3168" s="1" t="str">
        <f t="shared" ref="C3168:C3172" si="1566">"专科"</f>
        <v>专科</v>
      </c>
      <c r="D3168" s="1" t="str">
        <f>"20250701"</f>
        <v>20250701</v>
      </c>
      <c r="E3168" s="1" t="str">
        <f>"驻马店幼儿师范高等学校"</f>
        <v>驻马店幼儿师范高等学校</v>
      </c>
      <c r="F3168" s="1" t="str">
        <f>"学前教育"</f>
        <v>学前教育</v>
      </c>
      <c r="G3168" s="1" t="str">
        <f>"河南省南阳市南召县"</f>
        <v>河南省南阳市南召县</v>
      </c>
      <c r="H3168" s="1" t="str">
        <f t="shared" si="1563"/>
        <v>无</v>
      </c>
      <c r="I3168" s="1" t="str">
        <f>"2020年9-2023年6就读南阳幼儿师范学校
2023年9-2025年7就读于驻马店幼儿师范高等学校"</f>
        <v>2020年9-2023年6就读南阳幼儿师范学校
2023年9-2025年7就读于驻马店幼儿师范高等学校</v>
      </c>
    </row>
    <row r="3169" spans="1:9">
      <c r="A3169" s="1" t="str">
        <f>"411302200212160069"</f>
        <v>411302200212160069</v>
      </c>
      <c r="B3169" s="1" t="str">
        <f t="shared" si="1564"/>
        <v>共青团员</v>
      </c>
      <c r="C3169" s="1" t="str">
        <f t="shared" ref="C3169:C3174" si="1567">"本科"</f>
        <v>本科</v>
      </c>
      <c r="D3169" s="1" t="str">
        <f>"20240625"</f>
        <v>20240625</v>
      </c>
      <c r="E3169" s="1" t="str">
        <f>"河南财政金融学院"</f>
        <v>河南财政金融学院</v>
      </c>
      <c r="F3169" s="1" t="str">
        <f>"工程造价"</f>
        <v>工程造价</v>
      </c>
      <c r="G3169" s="1" t="str">
        <f>"河南省南阳市宛城区白河镇姚庄村七组068号"</f>
        <v>河南省南阳市宛城区白河镇姚庄村七组068号</v>
      </c>
      <c r="H3169" s="1" t="str">
        <f t="shared" si="1563"/>
        <v>无</v>
      </c>
      <c r="I3169" s="1" t="str">
        <f>"202009-202405河南财政金融学院就读"</f>
        <v>202009-202405河南财政金融学院就读</v>
      </c>
    </row>
    <row r="3170" spans="1:9">
      <c r="A3170" s="1" t="str">
        <f>"412822199403180511"</f>
        <v>412822199403180511</v>
      </c>
      <c r="B3170" s="1" t="str">
        <f t="shared" si="1565"/>
        <v>群众</v>
      </c>
      <c r="C3170" s="1" t="str">
        <f t="shared" si="1566"/>
        <v>专科</v>
      </c>
      <c r="D3170" s="1" t="str">
        <f>"20160701"</f>
        <v>20160701</v>
      </c>
      <c r="E3170" s="1" t="str">
        <f>"郑州职业技术学院"</f>
        <v>郑州职业技术学院</v>
      </c>
      <c r="F3170" s="1" t="str">
        <f>"汽车检测与维修技术"</f>
        <v>汽车检测与维修技术</v>
      </c>
      <c r="G3170" s="1" t="str">
        <f>"河南省驻马店市泌阳县花园街道花园村"</f>
        <v>河南省驻马店市泌阳县花园街道花园村</v>
      </c>
      <c r="H3170" s="1" t="str">
        <f t="shared" si="1563"/>
        <v>无</v>
      </c>
      <c r="I3170" s="1" t="s">
        <v>260</v>
      </c>
    </row>
    <row r="3171" spans="1:9">
      <c r="A3171" s="1" t="str">
        <f>"411303200012255123"</f>
        <v>411303200012255123</v>
      </c>
      <c r="B3171" s="1" t="str">
        <f>"中共党员"</f>
        <v>中共党员</v>
      </c>
      <c r="C3171" s="1" t="str">
        <f t="shared" si="1567"/>
        <v>本科</v>
      </c>
      <c r="D3171" s="1" t="str">
        <f>"20220701"</f>
        <v>20220701</v>
      </c>
      <c r="E3171" s="1" t="str">
        <f>"信阳学院"</f>
        <v>信阳学院</v>
      </c>
      <c r="F3171" s="1" t="str">
        <f>"法学"</f>
        <v>法学</v>
      </c>
      <c r="G3171" s="1" t="str">
        <f>"河南省南阳市卧龙区"</f>
        <v>河南省南阳市卧龙区</v>
      </c>
      <c r="H3171" s="1" t="str">
        <f t="shared" si="1563"/>
        <v>无</v>
      </c>
      <c r="I3171" s="1" t="str">
        <f>"20180901-20220701 信阳学院社会科学学院法学专业就读，全日制学历"</f>
        <v>20180901-20220701 信阳学院社会科学学院法学专业就读，全日制学历</v>
      </c>
    </row>
    <row r="3172" spans="1:9">
      <c r="A3172" s="1" t="str">
        <f>"411326200003253331"</f>
        <v>411326200003253331</v>
      </c>
      <c r="B3172" s="1" t="str">
        <f t="shared" ref="B3172:B3178" si="1568">"群众"</f>
        <v>群众</v>
      </c>
      <c r="C3172" s="1" t="str">
        <f t="shared" si="1566"/>
        <v>专科</v>
      </c>
      <c r="D3172" s="1" t="str">
        <f>"2020.7"</f>
        <v>2020.7</v>
      </c>
      <c r="E3172" s="1" t="str">
        <f>"河南科技职业大学"</f>
        <v>河南科技职业大学</v>
      </c>
      <c r="F3172" s="1" t="str">
        <f>"计算机网络技术"</f>
        <v>计算机网络技术</v>
      </c>
      <c r="G3172" s="1" t="str">
        <f>"南阳市南召县石门乡寺山村"</f>
        <v>南阳市南召县石门乡寺山村</v>
      </c>
      <c r="H3172" s="1" t="str">
        <f t="shared" si="1563"/>
        <v>无</v>
      </c>
      <c r="I3172" s="1" t="str">
        <f>"2017年9月-2020年7月  河南科技职业大学 就读 全日制  计算机网络技术
2020年8月-2021年4月  河南众诚科技 操作员
2021年5月-2023年1月  内乡牧原综合体 子公司网络负责人
2023年2月-2024年9月  南召县家中待业
2024年10月-至今          南召县公安局通信科辅警"</f>
        <v>2017年9月-2020年7月  河南科技职业大学 就读 全日制  计算机网络技术
2020年8月-2021年4月  河南众诚科技 操作员
2021年5月-2023年1月  内乡牧原综合体 子公司网络负责人
2023年2月-2024年9月  南召县家中待业
2024年10月-至今          南召县公安局通信科辅警</v>
      </c>
    </row>
    <row r="3173" spans="1:9">
      <c r="A3173" s="1" t="str">
        <f>"410324200203167506"</f>
        <v>410324200203167506</v>
      </c>
      <c r="B3173" s="1" t="str">
        <f>"共青团员"</f>
        <v>共青团员</v>
      </c>
      <c r="C3173" s="1" t="str">
        <f t="shared" si="1567"/>
        <v>本科</v>
      </c>
      <c r="D3173" s="1" t="str">
        <f>"2024.7.1"</f>
        <v>2024.7.1</v>
      </c>
      <c r="E3173" s="1" t="str">
        <f>"洛阳师范学院"</f>
        <v>洛阳师范学院</v>
      </c>
      <c r="F3173" s="1" t="str">
        <f>"应用统计学"</f>
        <v>应用统计学</v>
      </c>
      <c r="G3173" s="1" t="str">
        <f>"河南省洛阳市栾川县城关镇上河南社区"</f>
        <v>河南省洛阳市栾川县城关镇上河南社区</v>
      </c>
      <c r="H3173" s="1" t="str">
        <f t="shared" si="1563"/>
        <v>无</v>
      </c>
      <c r="I3173" s="1" t="str">
        <f>"202009-202407  洛阳师范学院数学科学学院应用统计学就读，全日制学历"</f>
        <v>202009-202407  洛阳师范学院数学科学学院应用统计学就读，全日制学历</v>
      </c>
    </row>
    <row r="3174" spans="1:9">
      <c r="A3174" s="1" t="str">
        <f>"411327200107201604"</f>
        <v>411327200107201604</v>
      </c>
      <c r="B3174" s="1" t="str">
        <f>"共青团员"</f>
        <v>共青团员</v>
      </c>
      <c r="C3174" s="1" t="str">
        <f t="shared" si="1567"/>
        <v>本科</v>
      </c>
      <c r="D3174" s="1" t="str">
        <f>"20240701"</f>
        <v>20240701</v>
      </c>
      <c r="E3174" s="1" t="str">
        <f>"郑州师范学院"</f>
        <v>郑州师范学院</v>
      </c>
      <c r="F3174" s="1" t="str">
        <f>"英语"</f>
        <v>英语</v>
      </c>
      <c r="G3174" s="1" t="str">
        <f>"河南省南阳市内乡县城关镇西关一加一西隔墙梦美家纺向南五十米"</f>
        <v>河南省南阳市内乡县城关镇西关一加一西隔墙梦美家纺向南五十米</v>
      </c>
      <c r="H3174" s="1" t="str">
        <f t="shared" si="1563"/>
        <v>无</v>
      </c>
      <c r="I3174" s="1" t="str">
        <f>"202009-202407 郑州师范学院外国语学院英语专业就读 全日制本科
202407-至今 待业"</f>
        <v>202009-202407 郑州师范学院外国语学院英语专业就读 全日制本科
202407-至今 待业</v>
      </c>
    </row>
    <row r="3175" spans="1:9">
      <c r="A3175" s="1" t="str">
        <f>"411327199511120616"</f>
        <v>411327199511120616</v>
      </c>
      <c r="B3175" s="1" t="str">
        <f t="shared" si="1568"/>
        <v>群众</v>
      </c>
      <c r="C3175" s="1" t="str">
        <f>"专科"</f>
        <v>专科</v>
      </c>
      <c r="D3175" s="1" t="str">
        <f>"20170701"</f>
        <v>20170701</v>
      </c>
      <c r="E3175" s="1" t="str">
        <f>"郑州电力高等专科学校"</f>
        <v>郑州电力高等专科学校</v>
      </c>
      <c r="F3175" s="1" t="str">
        <f>"物流管理"</f>
        <v>物流管理</v>
      </c>
      <c r="G3175" s="1" t="str">
        <f>"河南省南阳市内乡县马山口镇"</f>
        <v>河南省南阳市内乡县马山口镇</v>
      </c>
      <c r="H3175" s="1" t="str">
        <f t="shared" si="1563"/>
        <v>无</v>
      </c>
      <c r="I3175" s="1" t="str">
        <f>"201309-201707 郑州电力高等专科学校 就读
201707-202507 牧原食品股份有限公司 工作"</f>
        <v>201309-201707 郑州电力高等专科学校 就读
201707-202507 牧原食品股份有限公司 工作</v>
      </c>
    </row>
    <row r="3176" spans="1:9">
      <c r="A3176" s="1" t="str">
        <f>"411330199001011522"</f>
        <v>411330199001011522</v>
      </c>
      <c r="B3176" s="1" t="str">
        <f t="shared" si="1568"/>
        <v>群众</v>
      </c>
      <c r="C3176" s="1" t="str">
        <f t="shared" ref="C3176:C3180" si="1569">"本科"</f>
        <v>本科</v>
      </c>
      <c r="D3176" s="1" t="str">
        <f>"20120701"</f>
        <v>20120701</v>
      </c>
      <c r="E3176" s="1" t="str">
        <f>"河南财经政法大学成功学院"</f>
        <v>河南财经政法大学成功学院</v>
      </c>
      <c r="F3176" s="1" t="str">
        <f>"财务管理"</f>
        <v>财务管理</v>
      </c>
      <c r="G3176" s="1" t="str">
        <f>"河南省西峡县东城一品15号楼"</f>
        <v>河南省西峡县东城一品15号楼</v>
      </c>
      <c r="H3176" s="1" t="str">
        <f t="shared" si="1563"/>
        <v>无</v>
      </c>
      <c r="I3176" s="1" t="str">
        <f>"200709-201006黄河科技学院商学院管理系会计与审计专业就读，是全日制学历；
201009-201206河南财经政法大学成功学院商学院管理系财务管理专业就读，是全日制学历；
201207至今在西峡县融媒体中心工作。"</f>
        <v>200709-201006黄河科技学院商学院管理系会计与审计专业就读，是全日制学历；
201009-201206河南财经政法大学成功学院商学院管理系财务管理专业就读，是全日制学历；
201207至今在西峡县融媒体中心工作。</v>
      </c>
    </row>
    <row r="3177" spans="1:9">
      <c r="A3177" s="1" t="str">
        <f>"411302199801025716"</f>
        <v>411302199801025716</v>
      </c>
      <c r="B3177" s="1" t="str">
        <f t="shared" si="1568"/>
        <v>群众</v>
      </c>
      <c r="C3177" s="1" t="str">
        <f t="shared" si="1569"/>
        <v>本科</v>
      </c>
      <c r="D3177" s="1" t="str">
        <f>"20210701"</f>
        <v>20210701</v>
      </c>
      <c r="E3177" s="1" t="str">
        <f>"郑州航空工业管理学院"</f>
        <v>郑州航空工业管理学院</v>
      </c>
      <c r="F3177" s="1" t="str">
        <f>"土木工程（专科起点）"</f>
        <v>土木工程（专科起点）</v>
      </c>
      <c r="G3177" s="1" t="str">
        <f>"河南省南阳市宛城区新店乡"</f>
        <v>河南省南阳市宛城区新店乡</v>
      </c>
      <c r="H3177" s="1" t="str">
        <f t="shared" si="1563"/>
        <v>无</v>
      </c>
      <c r="I3177" s="1" t="str">
        <f>"201609-201906 河南工业职业技术学院 建筑工程学院 全日制就读 
201909-202106 郑州航空工业管理学院 土木建筑学院 全日制就读
202107-202203 在河南省南阳市宛城区考研学习
202203-202501 中铁十五局集团第二工程有限公司 从事技术工作
202501-今 河南省南阳市宛城区考事业单位学习"</f>
        <v>201609-201906 河南工业职业技术学院 建筑工程学院 全日制就读 
201909-202106 郑州航空工业管理学院 土木建筑学院 全日制就读
202107-202203 在河南省南阳市宛城区考研学习
202203-202501 中铁十五局集团第二工程有限公司 从事技术工作
202501-今 河南省南阳市宛城区考事业单位学习</v>
      </c>
    </row>
    <row r="3178" spans="1:9">
      <c r="A3178" s="1" t="str">
        <f>"411327200210070622"</f>
        <v>411327200210070622</v>
      </c>
      <c r="B3178" s="1" t="str">
        <f t="shared" si="1568"/>
        <v>群众</v>
      </c>
      <c r="C3178" s="1" t="str">
        <f t="shared" ref="C3178:C3184" si="1570">"专科"</f>
        <v>专科</v>
      </c>
      <c r="D3178" s="1" t="str">
        <f>"20250728"</f>
        <v>20250728</v>
      </c>
      <c r="E3178" s="1" t="str">
        <f>"河南开放大学"</f>
        <v>河南开放大学</v>
      </c>
      <c r="F3178" s="1" t="str">
        <f>"大数据与会计"</f>
        <v>大数据与会计</v>
      </c>
      <c r="G3178" s="1" t="str">
        <f>"河南省南阳市内乡县新都花苑"</f>
        <v>河南省南阳市内乡县新都花苑</v>
      </c>
      <c r="H3178" s="1" t="str">
        <f t="shared" si="1563"/>
        <v>无</v>
      </c>
      <c r="I3178" s="1" t="str">
        <f>"202305-202507 河南开放大学就读成人高等教育
202410至今赤眉镇政府购岗"</f>
        <v>202305-202507 河南开放大学就读成人高等教育
202410至今赤眉镇政府购岗</v>
      </c>
    </row>
    <row r="3179" spans="1:9">
      <c r="A3179" s="1" t="str">
        <f>"41132620021008442X"</f>
        <v>41132620021008442X</v>
      </c>
      <c r="B3179" s="1" t="str">
        <f t="shared" ref="B3179:B3185" si="1571">"共青团员"</f>
        <v>共青团员</v>
      </c>
      <c r="C3179" s="1" t="str">
        <f t="shared" si="1569"/>
        <v>本科</v>
      </c>
      <c r="D3179" s="1" t="str">
        <f>"20240701"</f>
        <v>20240701</v>
      </c>
      <c r="E3179" s="1" t="str">
        <f>"郑州升达经贸管理学院"</f>
        <v>郑州升达经贸管理学院</v>
      </c>
      <c r="F3179" s="1" t="str">
        <f>"电子信息工程"</f>
        <v>电子信息工程</v>
      </c>
      <c r="G3179" s="1" t="str">
        <f>"河南省南阳市南召县南河店镇"</f>
        <v>河南省南阳市南召县南河店镇</v>
      </c>
      <c r="H3179" s="1" t="str">
        <f t="shared" si="1563"/>
        <v>无</v>
      </c>
      <c r="I3179" s="1" t="str">
        <f>"202009-202407 就读于郑州升达经贸管理学院电子信息工程专业 全日制本科学历
202407-202507 在家待业
202507-至今 就业于南召县人力资源与社会保障局公益岗"</f>
        <v>202009-202407 就读于郑州升达经贸管理学院电子信息工程专业 全日制本科学历
202407-202507 在家待业
202507-至今 就业于南召县人力资源与社会保障局公益岗</v>
      </c>
    </row>
    <row r="3180" spans="1:9">
      <c r="A3180" s="1" t="str">
        <f>"411323200301062622"</f>
        <v>411323200301062622</v>
      </c>
      <c r="B3180" s="1" t="str">
        <f>"中共党员"</f>
        <v>中共党员</v>
      </c>
      <c r="C3180" s="1" t="str">
        <f t="shared" si="1569"/>
        <v>本科</v>
      </c>
      <c r="D3180" s="1" t="str">
        <f>"20250708"</f>
        <v>20250708</v>
      </c>
      <c r="E3180" s="1" t="str">
        <f>"西安财经大学行知学院"</f>
        <v>西安财经大学行知学院</v>
      </c>
      <c r="F3180" s="1" t="str">
        <f>"会计学"</f>
        <v>会计学</v>
      </c>
      <c r="G3180" s="1" t="str">
        <f>"河南省南阳市宛城区善水居二号楼1单元"</f>
        <v>河南省南阳市宛城区善水居二号楼1单元</v>
      </c>
      <c r="H3180" s="1" t="str">
        <f t="shared" si="1563"/>
        <v>无</v>
      </c>
      <c r="I3180" s="1" t="str">
        <f>"202009-202307 西安培华学院 会计与金融学院会计专业 就读 全日制普通高等教育专科
202309-202507 西安财经大学行知学院 会计学院会计学专业 就读 全日制普通高等教育专升本"</f>
        <v>202009-202307 西安培华学院 会计与金融学院会计专业 就读 全日制普通高等教育专科
202309-202507 西安财经大学行知学院 会计学院会计学专业 就读 全日制普通高等教育专升本</v>
      </c>
    </row>
    <row r="3181" spans="1:9">
      <c r="A3181" s="1" t="str">
        <f>"411330200201225117"</f>
        <v>411330200201225117</v>
      </c>
      <c r="B3181" s="1" t="str">
        <f t="shared" si="1571"/>
        <v>共青团员</v>
      </c>
      <c r="C3181" s="1" t="str">
        <f t="shared" si="1570"/>
        <v>专科</v>
      </c>
      <c r="D3181" s="1" t="str">
        <f>"20240701"</f>
        <v>20240701</v>
      </c>
      <c r="E3181" s="1" t="str">
        <f>"南阳职业学院"</f>
        <v>南阳职业学院</v>
      </c>
      <c r="F3181" s="1" t="str">
        <f>"中药学"</f>
        <v>中药学</v>
      </c>
      <c r="G3181" s="1" t="str">
        <f>"河南省南阳市西峡县"</f>
        <v>河南省南阳市西峡县</v>
      </c>
      <c r="H3181" s="1" t="str">
        <f t="shared" si="1563"/>
        <v>无</v>
      </c>
      <c r="I3181" s="1" t="str">
        <f>"202109-202407南阳职业学院，中医中药学专业就读，是全日制学历
202407-至今于西峡县消防救援局工作"</f>
        <v>202109-202407南阳职业学院，中医中药学专业就读，是全日制学历
202407-至今于西峡县消防救援局工作</v>
      </c>
    </row>
    <row r="3182" spans="1:9">
      <c r="A3182" s="1" t="str">
        <f>"411327200004270025"</f>
        <v>411327200004270025</v>
      </c>
      <c r="B3182" s="1" t="str">
        <f>"中共党员"</f>
        <v>中共党员</v>
      </c>
      <c r="C3182" s="1" t="str">
        <f t="shared" ref="C3182:C3186" si="1572">"本科"</f>
        <v>本科</v>
      </c>
      <c r="D3182" s="1" t="str">
        <f>"202307"</f>
        <v>202307</v>
      </c>
      <c r="E3182" s="1" t="str">
        <f>"郑州商学院"</f>
        <v>郑州商学院</v>
      </c>
      <c r="F3182" s="1" t="str">
        <f>"财务管理"</f>
        <v>财务管理</v>
      </c>
      <c r="G3182" s="1" t="str">
        <f>"河南省南阳市内乡县屈庄村"</f>
        <v>河南省南阳市内乡县屈庄村</v>
      </c>
      <c r="H3182" s="1" t="str">
        <f>"初级会计证"</f>
        <v>初级会计证</v>
      </c>
      <c r="I3182" s="1" t="str">
        <f>"201809-202106 河南牧业经济学院-资产评估与管理专业-全日制
202109-202306 郑州商学院-财务管理专业-全日制
202304-202405 郑州飞机装备有限责任公司酒店管理分公司
202405-至今 内乡郦都学校小学部"</f>
        <v>201809-202106 河南牧业经济学院-资产评估与管理专业-全日制
202109-202306 郑州商学院-财务管理专业-全日制
202304-202405 郑州飞机装备有限责任公司酒店管理分公司
202405-至今 内乡郦都学校小学部</v>
      </c>
    </row>
    <row r="3183" spans="1:9">
      <c r="A3183" s="1" t="str">
        <f>"411327199303234520"</f>
        <v>411327199303234520</v>
      </c>
      <c r="B3183" s="1" t="str">
        <f t="shared" ref="B3183:B3189" si="1573">"群众"</f>
        <v>群众</v>
      </c>
      <c r="C3183" s="1" t="str">
        <f t="shared" si="1570"/>
        <v>专科</v>
      </c>
      <c r="D3183" s="1" t="str">
        <f>"20150701"</f>
        <v>20150701</v>
      </c>
      <c r="E3183" s="1" t="str">
        <f>"河南农业职业学院"</f>
        <v>河南农业职业学院</v>
      </c>
      <c r="F3183" s="1" t="str">
        <f>"连锁经营管理（国际连锁）"</f>
        <v>连锁经营管理（国际连锁）</v>
      </c>
      <c r="G3183" s="1" t="str">
        <f>"河南省南阳市内乡县赵店乡"</f>
        <v>河南省南阳市内乡县赵店乡</v>
      </c>
      <c r="H3183" s="1" t="str">
        <f t="shared" ref="H3183:H3193" si="1574">"无"</f>
        <v>无</v>
      </c>
      <c r="I3183" s="1" t="str">
        <f>"201209-201506  河南农业职业学院就读经济贸易系连锁经营管理专业
全日制学历"</f>
        <v>201209-201506  河南农业职业学院就读经济贸易系连锁经营管理专业
全日制学历</v>
      </c>
    </row>
    <row r="3184" spans="1:9">
      <c r="A3184" s="1" t="str">
        <f>"410423200107060011"</f>
        <v>410423200107060011</v>
      </c>
      <c r="B3184" s="1" t="str">
        <f t="shared" si="1571"/>
        <v>共青团员</v>
      </c>
      <c r="C3184" s="1" t="str">
        <f t="shared" si="1570"/>
        <v>专科</v>
      </c>
      <c r="D3184" s="1" t="str">
        <f>"20230701"</f>
        <v>20230701</v>
      </c>
      <c r="E3184" s="1" t="str">
        <f>"河南工业大学"</f>
        <v>河南工业大学</v>
      </c>
      <c r="F3184" s="1" t="str">
        <f>"大数据技术与应用"</f>
        <v>大数据技术与应用</v>
      </c>
      <c r="G3184" s="1" t="str">
        <f>"河南省平顶山市鲁山县国储259处家属院"</f>
        <v>河南省平顶山市鲁山县国储259处家属院</v>
      </c>
      <c r="H3184" s="1" t="str">
        <f t="shared" si="1574"/>
        <v>无</v>
      </c>
      <c r="I3184" s="1" t="str">
        <f>"202009-202307河南工业大学软件学院计算机系大数据技术与应用专业就读，是全日制学历
202307-202409在平顶山市鲁山县待业
202410-202505在河南省平顶山市鲁山县四棵树乡专职消防救援队担任战斗员
202506-至今在平顶山市鲁山县待业"</f>
        <v>202009-202307河南工业大学软件学院计算机系大数据技术与应用专业就读，是全日制学历
202307-202409在平顶山市鲁山县待业
202410-202505在河南省平顶山市鲁山县四棵树乡专职消防救援队担任战斗员
202506-至今在平顶山市鲁山县待业</v>
      </c>
    </row>
    <row r="3185" spans="1:9">
      <c r="A3185" s="1" t="str">
        <f>"41132720010215452X"</f>
        <v>41132720010215452X</v>
      </c>
      <c r="B3185" s="1" t="str">
        <f t="shared" si="1571"/>
        <v>共青团员</v>
      </c>
      <c r="C3185" s="1" t="str">
        <f t="shared" si="1572"/>
        <v>本科</v>
      </c>
      <c r="D3185" s="1" t="str">
        <f>"20220701"</f>
        <v>20220701</v>
      </c>
      <c r="E3185" s="1" t="str">
        <f>"河南财经政法大学"</f>
        <v>河南财经政法大学</v>
      </c>
      <c r="F3185" s="1" t="str">
        <f>"旅游管理"</f>
        <v>旅游管理</v>
      </c>
      <c r="G3185" s="1" t="str">
        <f>"河南省南阳市内乡县赵店乡袁寨村"</f>
        <v>河南省南阳市内乡县赵店乡袁寨村</v>
      </c>
      <c r="H3185" s="1" t="str">
        <f t="shared" si="1574"/>
        <v>无</v>
      </c>
      <c r="I3185" s="1" t="str">
        <f>"201809-202206 河南财经政法大学 就读于旅游与会展学院、旅游管理专业 全日制本科学历 学士学位毕业。
202207-202305就职于诚伯科技有限公司。
202306-至今 河南省南阳市内乡县待业。"</f>
        <v>201809-202206 河南财经政法大学 就读于旅游与会展学院、旅游管理专业 全日制本科学历 学士学位毕业。
202207-202305就职于诚伯科技有限公司。
202306-至今 河南省南阳市内乡县待业。</v>
      </c>
    </row>
    <row r="3186" ht="175.5" spans="1:9">
      <c r="A3186" s="1" t="str">
        <f>"411322199412294221"</f>
        <v>411322199412294221</v>
      </c>
      <c r="B3186" s="1" t="str">
        <f t="shared" si="1573"/>
        <v>群众</v>
      </c>
      <c r="C3186" s="1" t="str">
        <f t="shared" si="1572"/>
        <v>本科</v>
      </c>
      <c r="D3186" s="1" t="str">
        <f>"20180701"</f>
        <v>20180701</v>
      </c>
      <c r="E3186" s="1" t="str">
        <f>"郑州升达经贸管理学院"</f>
        <v>郑州升达经贸管理学院</v>
      </c>
      <c r="F3186" s="1" t="str">
        <f>"视觉传达设计"</f>
        <v>视觉传达设计</v>
      </c>
      <c r="G3186" s="1" t="str">
        <f>"南阳市方城县中达裕州花园"</f>
        <v>南阳市方城县中达裕州花园</v>
      </c>
      <c r="H3186" s="1" t="str">
        <f t="shared" si="1574"/>
        <v>无</v>
      </c>
      <c r="I3186" s="3" t="s">
        <v>261</v>
      </c>
    </row>
    <row r="3187" spans="1:9">
      <c r="A3187" s="1" t="str">
        <f>"411326200210274418"</f>
        <v>411326200210274418</v>
      </c>
      <c r="B3187" s="1" t="str">
        <f t="shared" si="1573"/>
        <v>群众</v>
      </c>
      <c r="C3187" s="1" t="str">
        <f>"专科"</f>
        <v>专科</v>
      </c>
      <c r="D3187" s="1" t="str">
        <f>"2024年06月20日"</f>
        <v>2024年06月20日</v>
      </c>
      <c r="E3187" s="1" t="str">
        <f>"商丘医学高等专科学校"</f>
        <v>商丘医学高等专科学校</v>
      </c>
      <c r="F3187" s="1" t="str">
        <f>"康复治疗技术"</f>
        <v>康复治疗技术</v>
      </c>
      <c r="G3187" s="1" t="str">
        <f>"河南省南召县乔端镇"</f>
        <v>河南省南召县乔端镇</v>
      </c>
      <c r="H3187" s="1" t="str">
        <f t="shared" si="1574"/>
        <v>无</v>
      </c>
      <c r="I3187" s="1" t="str">
        <f>"2021年09月至2024年06月在商丘医学高等专科学校临床医学院康复治疗技术专业就读，全日制学历
2024年06月至2025年07月在家待业"</f>
        <v>2021年09月至2024年06月在商丘医学高等专科学校临床医学院康复治疗技术专业就读，全日制学历
2024年06月至2025年07月在家待业</v>
      </c>
    </row>
    <row r="3188" spans="1:9">
      <c r="A3188" s="1" t="str">
        <f>"410422199908012210"</f>
        <v>410422199908012210</v>
      </c>
      <c r="B3188" s="1" t="str">
        <f t="shared" si="1573"/>
        <v>群众</v>
      </c>
      <c r="C3188" s="1" t="str">
        <f t="shared" ref="C3188:C3198" si="1575">"本科"</f>
        <v>本科</v>
      </c>
      <c r="D3188" s="1" t="str">
        <f>"20210603"</f>
        <v>20210603</v>
      </c>
      <c r="E3188" s="1" t="str">
        <f>"喀什大学"</f>
        <v>喀什大学</v>
      </c>
      <c r="F3188" s="1" t="str">
        <f>"国际经济与贸易"</f>
        <v>国际经济与贸易</v>
      </c>
      <c r="G3188" s="1" t="str">
        <f>"河南省平顶山市叶县任店镇任一村"</f>
        <v>河南省平顶山市叶县任店镇任一村</v>
      </c>
      <c r="H3188" s="1" t="str">
        <f t="shared" si="1574"/>
        <v>无</v>
      </c>
      <c r="I3188" s="1" t="str">
        <f>"201709-202106喀什大学学习国际经济与贸易专业
202107-202204河南平顶山叶县任店镇待业
202205-202505河南省平顶山市叶县夏李乡服务大学生公益岗
202505至今在平顶山叶县任店镇待业"</f>
        <v>201709-202106喀什大学学习国际经济与贸易专业
202107-202204河南平顶山叶县任店镇待业
202205-202505河南省平顶山市叶县夏李乡服务大学生公益岗
202505至今在平顶山叶县任店镇待业</v>
      </c>
    </row>
    <row r="3189" spans="1:9">
      <c r="A3189" s="1" t="str">
        <f>"410323199504230036"</f>
        <v>410323199504230036</v>
      </c>
      <c r="B3189" s="1" t="str">
        <f t="shared" si="1573"/>
        <v>群众</v>
      </c>
      <c r="C3189" s="1" t="str">
        <f t="shared" si="1575"/>
        <v>本科</v>
      </c>
      <c r="D3189" s="1" t="str">
        <f>"20180630"</f>
        <v>20180630</v>
      </c>
      <c r="E3189" s="1" t="str">
        <f>"海南大学"</f>
        <v>海南大学</v>
      </c>
      <c r="F3189" s="1" t="str">
        <f>"会计学专业"</f>
        <v>会计学专业</v>
      </c>
      <c r="G3189" s="1" t="str">
        <f>"河南省洛阳市洛龙区宝龙广场B区9-1-501"</f>
        <v>河南省洛阳市洛龙区宝龙广场B区9-1-501</v>
      </c>
      <c r="H3189" s="1" t="str">
        <f t="shared" si="1574"/>
        <v>无</v>
      </c>
      <c r="I3189" s="1" t="str">
        <f>"201409-201806于海南大学会计学专业全日制本科就读
201807-201910于洛阳市新安县待业
201911-202212于郑州中粮科研设计院有限公司任职
202301-202401于洛阳市新安县待业
202402-202505于洛阳强芯新材料研究院有限公司任职"</f>
        <v>201409-201806于海南大学会计学专业全日制本科就读
201807-201910于洛阳市新安县待业
201911-202212于郑州中粮科研设计院有限公司任职
202301-202401于洛阳市新安县待业
202402-202505于洛阳强芯新材料研究院有限公司任职</v>
      </c>
    </row>
    <row r="3190" spans="1:9">
      <c r="A3190" s="1" t="str">
        <f>"410926200308150829"</f>
        <v>410926200308150829</v>
      </c>
      <c r="B3190" s="1" t="str">
        <f t="shared" ref="B3190:B3194" si="1576">"共青团员"</f>
        <v>共青团员</v>
      </c>
      <c r="C3190" s="1" t="str">
        <f t="shared" si="1575"/>
        <v>本科</v>
      </c>
      <c r="D3190" s="1" t="str">
        <f>"2024年07月01日"</f>
        <v>2024年07月01日</v>
      </c>
      <c r="E3190" s="1" t="str">
        <f>"华北水利水电大学"</f>
        <v>华北水利水电大学</v>
      </c>
      <c r="F3190" s="1" t="str">
        <f>"应用化学"</f>
        <v>应用化学</v>
      </c>
      <c r="G3190" s="1" t="str">
        <f>"河南省濮阳市范县新区清华园小区"</f>
        <v>河南省濮阳市范县新区清华园小区</v>
      </c>
      <c r="H3190" s="1" t="str">
        <f t="shared" si="1574"/>
        <v>无</v>
      </c>
      <c r="I3190" s="1" t="str">
        <f>"202009-202407 华北水利水电大学环境与市政工程学院应用化学专业就读，全日制学历"</f>
        <v>202009-202407 华北水利水电大学环境与市政工程学院应用化学专业就读，全日制学历</v>
      </c>
    </row>
    <row r="3191" spans="1:9">
      <c r="A3191" s="1" t="str">
        <f>"411327199002141566"</f>
        <v>411327199002141566</v>
      </c>
      <c r="B3191" s="1" t="str">
        <f t="shared" ref="B3191:B3197" si="1577">"群众"</f>
        <v>群众</v>
      </c>
      <c r="C3191" s="1" t="str">
        <f t="shared" si="1575"/>
        <v>本科</v>
      </c>
      <c r="D3191" s="1" t="str">
        <f>"20140625"</f>
        <v>20140625</v>
      </c>
      <c r="E3191" s="1" t="str">
        <f>"武汉轻工大学"</f>
        <v>武汉轻工大学</v>
      </c>
      <c r="F3191" s="1" t="str">
        <f>"化学工程与工艺"</f>
        <v>化学工程与工艺</v>
      </c>
      <c r="G3191" s="1" t="str">
        <f>"河南省内乡县大桥乡程岗村"</f>
        <v>河南省内乡县大桥乡程岗村</v>
      </c>
      <c r="H3191" s="1" t="str">
        <f t="shared" si="1574"/>
        <v>无</v>
      </c>
      <c r="I3191" s="1" t="str">
        <f>"201009-201406 武汉轻工大学就读化学工程与工艺专业，是全日制本科学历；201407-201603广东万星光科技有限公司研发部门就职；201604-201708在内乡家里待业；201709-201907内乡菊潭学校就职；201908-202102在内乡家里待业；202103-202506内乡复兴学校就职"</f>
        <v>201009-201406 武汉轻工大学就读化学工程与工艺专业，是全日制本科学历；201407-201603广东万星光科技有限公司研发部门就职；201604-201708在内乡家里待业；201709-201907内乡菊潭学校就职；201908-202102在内乡家里待业；202103-202506内乡复兴学校就职</v>
      </c>
    </row>
    <row r="3192" spans="1:9">
      <c r="A3192" s="1" t="str">
        <f>"411327200301024920"</f>
        <v>411327200301024920</v>
      </c>
      <c r="B3192" s="1" t="str">
        <f t="shared" si="1576"/>
        <v>共青团员</v>
      </c>
      <c r="C3192" s="1" t="str">
        <f t="shared" si="1575"/>
        <v>本科</v>
      </c>
      <c r="D3192" s="1" t="str">
        <f>"20250607"</f>
        <v>20250607</v>
      </c>
      <c r="E3192" s="1" t="str">
        <f>"中原科技学院"</f>
        <v>中原科技学院</v>
      </c>
      <c r="F3192" s="1" t="str">
        <f>"工业设计"</f>
        <v>工业设计</v>
      </c>
      <c r="G3192" s="1" t="str">
        <f>"河南省南阳市内乡县东湖家园"</f>
        <v>河南省南阳市内乡县东湖家园</v>
      </c>
      <c r="H3192" s="1" t="str">
        <f t="shared" si="1574"/>
        <v>无</v>
      </c>
      <c r="I3192" s="1" t="str">
        <f>"202309在中原科技学院机电工程学院工业设计专业就读"</f>
        <v>202309在中原科技学院机电工程学院工业设计专业就读</v>
      </c>
    </row>
    <row r="3193" spans="1:9">
      <c r="A3193" s="1" t="str">
        <f>"411322200106253427"</f>
        <v>411322200106253427</v>
      </c>
      <c r="B3193" s="1" t="str">
        <f t="shared" si="1576"/>
        <v>共青团员</v>
      </c>
      <c r="C3193" s="1" t="str">
        <f t="shared" si="1575"/>
        <v>本科</v>
      </c>
      <c r="D3193" s="1" t="str">
        <f>"20240701"</f>
        <v>20240701</v>
      </c>
      <c r="E3193" s="1" t="str">
        <f>"河南科技学院"</f>
        <v>河南科技学院</v>
      </c>
      <c r="F3193" s="1" t="str">
        <f>"人力资源管理"</f>
        <v>人力资源管理</v>
      </c>
      <c r="G3193" s="1" t="str">
        <f>"河南省南阳市方城县清河镇王营村"</f>
        <v>河南省南阳市方城县清河镇王营村</v>
      </c>
      <c r="H3193" s="1" t="str">
        <f t="shared" si="1574"/>
        <v>无</v>
      </c>
      <c r="I3193" s="1" t="str">
        <f>"202009-202407河南科技学院经济与管理学院人力资源管理专业全日制本科就读
202707-202409在河南省南阳市方城县待业
202409-202507宁波宝立纺织品有限公司就职"</f>
        <v>202009-202407河南科技学院经济与管理学院人力资源管理专业全日制本科就读
202707-202409在河南省南阳市方城县待业
202409-202507宁波宝立纺织品有限公司就职</v>
      </c>
    </row>
    <row r="3194" spans="1:9">
      <c r="A3194" s="1" t="str">
        <f>"411327200112240018"</f>
        <v>411327200112240018</v>
      </c>
      <c r="B3194" s="1" t="str">
        <f t="shared" si="1576"/>
        <v>共青团员</v>
      </c>
      <c r="C3194" s="1" t="str">
        <f t="shared" si="1575"/>
        <v>本科</v>
      </c>
      <c r="D3194" s="1" t="str">
        <f>"20250701"</f>
        <v>20250701</v>
      </c>
      <c r="E3194" s="1" t="str">
        <f>"郑州升达经贸管理学院"</f>
        <v>郑州升达经贸管理学院</v>
      </c>
      <c r="F3194" s="1" t="str">
        <f>"软件工程"</f>
        <v>软件工程</v>
      </c>
      <c r="G3194" s="1" t="str">
        <f>"河南省南阳市内乡县城关镇县衙路159号"</f>
        <v>河南省南阳市内乡县城关镇县衙路159号</v>
      </c>
      <c r="H3194" s="1" t="str">
        <f>"计算机程序设计院三级"</f>
        <v>计算机程序设计院三级</v>
      </c>
      <c r="I3194" s="1" t="str">
        <f>"202309-202506郑州升达经贸管理学院 全日制学历"</f>
        <v>202309-202506郑州升达经贸管理学院 全日制学历</v>
      </c>
    </row>
    <row r="3195" spans="1:9">
      <c r="A3195" s="1" t="str">
        <f>"411302199303135410"</f>
        <v>411302199303135410</v>
      </c>
      <c r="B3195" s="1" t="str">
        <f t="shared" si="1577"/>
        <v>群众</v>
      </c>
      <c r="C3195" s="1" t="str">
        <f t="shared" si="1575"/>
        <v>本科</v>
      </c>
      <c r="D3195" s="1" t="str">
        <f>"201507"</f>
        <v>201507</v>
      </c>
      <c r="E3195" s="1" t="str">
        <f>"南阳理工学院"</f>
        <v>南阳理工学院</v>
      </c>
      <c r="F3195" s="1" t="str">
        <f>"工商管理"</f>
        <v>工商管理</v>
      </c>
      <c r="G3195" s="1" t="str">
        <f>"河南省南阳市儒林玉竹园"</f>
        <v>河南省南阳市儒林玉竹园</v>
      </c>
      <c r="H3195" s="1" t="str">
        <f t="shared" ref="H3195:H3204" si="1578">"无"</f>
        <v>无</v>
      </c>
      <c r="I3195" s="1" t="str">
        <f>"201109-201507   南阳理工学院   经管系 工商管理专业 就读  全日制
201507-201608   中国民生银行石家庄分行  工作
201608-202205   平顶山银行南阳分行 工作
202205-202305   中原银行南阳分行   工作
202305-至今    平安银行南阳分行    工作
"</f>
        <v>201109-201507   南阳理工学院   经管系 工商管理专业 就读  全日制
201507-201608   中国民生银行石家庄分行  工作
201608-202205   平顶山银行南阳分行 工作
202205-202305   中原银行南阳分行   工作
202305-至今    平安银行南阳分行    工作
</v>
      </c>
    </row>
    <row r="3196" spans="1:9">
      <c r="A3196" s="1" t="str">
        <f>"411302199401010857"</f>
        <v>411302199401010857</v>
      </c>
      <c r="B3196" s="1" t="str">
        <f t="shared" si="1577"/>
        <v>群众</v>
      </c>
      <c r="C3196" s="1" t="str">
        <f t="shared" si="1575"/>
        <v>本科</v>
      </c>
      <c r="D3196" s="1" t="str">
        <f>"20170607"</f>
        <v>20170607</v>
      </c>
      <c r="E3196" s="1" t="str">
        <f>"河南科技大学"</f>
        <v>河南科技大学</v>
      </c>
      <c r="F3196" s="1" t="str">
        <f>"软件工程"</f>
        <v>软件工程</v>
      </c>
      <c r="G3196" s="1" t="str">
        <f>"河南省南阳市宛城区东城一品"</f>
        <v>河南省南阳市宛城区东城一品</v>
      </c>
      <c r="H3196" s="1" t="str">
        <f t="shared" si="1578"/>
        <v>无</v>
      </c>
      <c r="I3196" s="1" t="str">
        <f>"201509-201706河南科技大学就读"</f>
        <v>201509-201706河南科技大学就读</v>
      </c>
    </row>
    <row r="3197" spans="1:9">
      <c r="A3197" s="1" t="str">
        <f>"411321199905083629"</f>
        <v>411321199905083629</v>
      </c>
      <c r="B3197" s="1" t="str">
        <f t="shared" si="1577"/>
        <v>群众</v>
      </c>
      <c r="C3197" s="1" t="str">
        <f t="shared" si="1575"/>
        <v>本科</v>
      </c>
      <c r="D3197" s="1" t="str">
        <f>"2024-07-01"</f>
        <v>2024-07-01</v>
      </c>
      <c r="E3197" s="1" t="str">
        <f>"许昌学院"</f>
        <v>许昌学院</v>
      </c>
      <c r="F3197" s="1" t="str">
        <f>"学前教育"</f>
        <v>学前教育</v>
      </c>
      <c r="G3197" s="1" t="str">
        <f>"南阳市桐柏县毛集镇"</f>
        <v>南阳市桐柏县毛集镇</v>
      </c>
      <c r="H3197" s="1" t="str">
        <f t="shared" si="1578"/>
        <v>无</v>
      </c>
      <c r="I3197" s="1" t="str">
        <f>"2018.9-2021.7就读于许昌职业技术学院全日制
2022.3-2024.7就读于许昌学院半日制
2023.5-至今 在毛集镇人民政府工作"</f>
        <v>2018.9-2021.7就读于许昌职业技术学院全日制
2022.3-2024.7就读于许昌学院半日制
2023.5-至今 在毛集镇人民政府工作</v>
      </c>
    </row>
    <row r="3198" spans="1:9">
      <c r="A3198" s="1" t="str">
        <f>"410324200205230628"</f>
        <v>410324200205230628</v>
      </c>
      <c r="B3198" s="1" t="str">
        <f>"中共预备党员"</f>
        <v>中共预备党员</v>
      </c>
      <c r="C3198" s="1" t="str">
        <f t="shared" si="1575"/>
        <v>本科</v>
      </c>
      <c r="D3198" s="1" t="str">
        <f>"20250610"</f>
        <v>20250610</v>
      </c>
      <c r="E3198" s="1" t="str">
        <f>"宁夏理工学院"</f>
        <v>宁夏理工学院</v>
      </c>
      <c r="F3198" s="1" t="str">
        <f>"英语专业"</f>
        <v>英语专业</v>
      </c>
      <c r="G3198" s="1" t="str">
        <f>"河南省洛阳市栾川县庙子镇龙潭村"</f>
        <v>河南省洛阳市栾川县庙子镇龙潭村</v>
      </c>
      <c r="H3198" s="1" t="str">
        <f t="shared" si="1578"/>
        <v>无</v>
      </c>
      <c r="I3198" s="1" t="str">
        <f>"202109-202506宁夏理工学院就读，英语专业，全日制学历"</f>
        <v>202109-202506宁夏理工学院就读，英语专业，全日制学历</v>
      </c>
    </row>
    <row r="3199" spans="1:9">
      <c r="A3199" s="1" t="str">
        <f>"411328199307085549"</f>
        <v>411328199307085549</v>
      </c>
      <c r="B3199" s="1" t="str">
        <f t="shared" ref="B3199:B3203" si="1579">"群众"</f>
        <v>群众</v>
      </c>
      <c r="C3199" s="1" t="str">
        <f>"专科"</f>
        <v>专科</v>
      </c>
      <c r="D3199" s="1" t="str">
        <f>"20150701"</f>
        <v>20150701</v>
      </c>
      <c r="E3199" s="1" t="str">
        <f>"焦作大学"</f>
        <v>焦作大学</v>
      </c>
      <c r="F3199" s="1" t="str">
        <f>"国际经济与贸易"</f>
        <v>国际经济与贸易</v>
      </c>
      <c r="G3199" s="1" t="str">
        <f>"河南省驻马店市汝南县综治中心"</f>
        <v>河南省驻马店市汝南县综治中心</v>
      </c>
      <c r="H3199" s="1" t="str">
        <f t="shared" si="1578"/>
        <v>无</v>
      </c>
      <c r="I3199" s="1" t="str">
        <f>"201209-201507 在焦作大学经济管理学院国际经济与贸易专业就读，全日制大专；201508-201710在郑州时空隧道信息技术有限公司工作；201711-201810在三平伟业（北京）投资管理有限公司工作；201811-202202在郑州时空隧道信息技术有限公司工作；202203-至今在汝南县委政法委（非在编在岗）工作。"</f>
        <v>201209-201507 在焦作大学经济管理学院国际经济与贸易专业就读，全日制大专；201508-201710在郑州时空隧道信息技术有限公司工作；201711-201810在三平伟业（北京）投资管理有限公司工作；201811-202202在郑州时空隧道信息技术有限公司工作；202203-至今在汝南县委政法委（非在编在岗）工作。</v>
      </c>
    </row>
    <row r="3200" spans="1:9">
      <c r="A3200" s="1" t="str">
        <f>"411303200009166840"</f>
        <v>411303200009166840</v>
      </c>
      <c r="B3200" s="1" t="str">
        <f t="shared" ref="B3200:B3207" si="1580">"共青团员"</f>
        <v>共青团员</v>
      </c>
      <c r="C3200" s="1" t="str">
        <f t="shared" ref="C3200:C3206" si="1581">"本科"</f>
        <v>本科</v>
      </c>
      <c r="D3200" s="1" t="str">
        <f>"2023-07-01"</f>
        <v>2023-07-01</v>
      </c>
      <c r="E3200" s="1" t="str">
        <f>"南阳理工学院"</f>
        <v>南阳理工学院</v>
      </c>
      <c r="F3200" s="1" t="str">
        <f>"视觉传达设计"</f>
        <v>视觉传达设计</v>
      </c>
      <c r="G3200" s="1" t="str">
        <f>"南阳市卧龙区梅溪路三杰公寓"</f>
        <v>南阳市卧龙区梅溪路三杰公寓</v>
      </c>
      <c r="H3200" s="1" t="str">
        <f t="shared" si="1578"/>
        <v>无</v>
      </c>
      <c r="I3200" s="1" t="str">
        <f>"201909-202307南阳理工学院数字媒体与艺术设计学院视觉传达设计专业就读，全日制本科
202307至今，待业"</f>
        <v>201909-202307南阳理工学院数字媒体与艺术设计学院视觉传达设计专业就读，全日制本科
202307至今，待业</v>
      </c>
    </row>
    <row r="3201" spans="1:9">
      <c r="A3201" s="1" t="str">
        <f>"411081199712154574"</f>
        <v>411081199712154574</v>
      </c>
      <c r="B3201" s="1" t="str">
        <f t="shared" si="1579"/>
        <v>群众</v>
      </c>
      <c r="C3201" s="1" t="str">
        <f>"专科"</f>
        <v>专科</v>
      </c>
      <c r="D3201" s="1" t="str">
        <f>"20200710"</f>
        <v>20200710</v>
      </c>
      <c r="E3201" s="1" t="str">
        <f>"江苏农牧科技职业学院"</f>
        <v>江苏农牧科技职业学院</v>
      </c>
      <c r="F3201" s="1" t="str">
        <f>"休闲农业"</f>
        <v>休闲农业</v>
      </c>
      <c r="G3201" s="1" t="str">
        <f>"河南省许昌市禹州市"</f>
        <v>河南省许昌市禹州市</v>
      </c>
      <c r="H3201" s="1" t="str">
        <f t="shared" si="1578"/>
        <v>无</v>
      </c>
      <c r="I3201" s="1" t="str">
        <f>"201709-202007 在江苏农牧科技职业学院 农商管理学院 休闲农业专业就读，是全日制"</f>
        <v>201709-202007 在江苏农牧科技职业学院 农商管理学院 休闲农业专业就读，是全日制</v>
      </c>
    </row>
    <row r="3202" spans="1:9">
      <c r="A3202" s="1" t="str">
        <f>"412724199405270913"</f>
        <v>412724199405270913</v>
      </c>
      <c r="B3202" s="1" t="str">
        <f>"中共党员"</f>
        <v>中共党员</v>
      </c>
      <c r="C3202" s="1" t="str">
        <f t="shared" si="1581"/>
        <v>本科</v>
      </c>
      <c r="D3202" s="1" t="str">
        <f>"20240630"</f>
        <v>20240630</v>
      </c>
      <c r="E3202" s="1" t="str">
        <f>"河南科技学院"</f>
        <v>河南科技学院</v>
      </c>
      <c r="F3202" s="1" t="str">
        <f>"电气工程及其自动化"</f>
        <v>电气工程及其自动化</v>
      </c>
      <c r="G3202" s="1" t="str">
        <f>"河南省太康县毛庄镇顾尧行政村顾尧村"</f>
        <v>河南省太康县毛庄镇顾尧行政村顾尧村</v>
      </c>
      <c r="H3202" s="1" t="str">
        <f t="shared" si="1578"/>
        <v>无</v>
      </c>
      <c r="I3202" s="1" t="str">
        <f>"201609-202007 河南科技学院机电学院电气工程及其自动化专业就读，全日制；
202007-202107 家里待业（考研二战）；
202109-202406 东华理工大学核科学与工程学院能源动力专业就读，全日制；
202406-202507 广东红海湾发电有限公司工作
"</f>
        <v>201609-202007 河南科技学院机电学院电气工程及其自动化专业就读，全日制；
202007-202107 家里待业（考研二战）；
202109-202406 东华理工大学核科学与工程学院能源动力专业就读，全日制；
202406-202507 广东红海湾发电有限公司工作
</v>
      </c>
    </row>
    <row r="3203" spans="1:9">
      <c r="A3203" s="1" t="str">
        <f>"411224199902205612"</f>
        <v>411224199902205612</v>
      </c>
      <c r="B3203" s="1" t="str">
        <f t="shared" si="1579"/>
        <v>群众</v>
      </c>
      <c r="C3203" s="1" t="str">
        <f t="shared" si="1581"/>
        <v>本科</v>
      </c>
      <c r="D3203" s="1" t="str">
        <f>"20250701"</f>
        <v>20250701</v>
      </c>
      <c r="E3203" s="1" t="str">
        <f>"河南城建学院"</f>
        <v>河南城建学院</v>
      </c>
      <c r="F3203" s="1" t="str">
        <f>"城乡规划"</f>
        <v>城乡规划</v>
      </c>
      <c r="G3203" s="1" t="str">
        <f>"卢氏县玉皇花园"</f>
        <v>卢氏县玉皇花园</v>
      </c>
      <c r="H3203" s="1" t="str">
        <f t="shared" si="1578"/>
        <v>无</v>
      </c>
      <c r="I3203" s="1" t="str">
        <f>"20170901-20200701 河南农业职业学院 食品学院 烹调工艺与营养专业就读 全日制学历
20230301-20250701 河南城建学院 建筑学院 城乡规划专业就读 非全日制学历 
卢氏县待业"</f>
        <v>20170901-20200701 河南农业职业学院 食品学院 烹调工艺与营养专业就读 全日制学历
20230301-20250701 河南城建学院 建筑学院 城乡规划专业就读 非全日制学历 
卢氏县待业</v>
      </c>
    </row>
    <row r="3204" spans="1:9">
      <c r="A3204" s="1" t="str">
        <f>"410504200108170040"</f>
        <v>410504200108170040</v>
      </c>
      <c r="B3204" s="1" t="str">
        <f t="shared" si="1580"/>
        <v>共青团员</v>
      </c>
      <c r="C3204" s="1" t="str">
        <f t="shared" si="1581"/>
        <v>本科</v>
      </c>
      <c r="D3204" s="1" t="str">
        <f>"2023年7月1日"</f>
        <v>2023年7月1日</v>
      </c>
      <c r="E3204" s="1" t="str">
        <f>"河南师范大学"</f>
        <v>河南师范大学</v>
      </c>
      <c r="F3204" s="1" t="str">
        <f>"汉语言文学"</f>
        <v>汉语言文学</v>
      </c>
      <c r="G3204" s="1" t="str">
        <f>"河南省郑州市经开区第十三大街拓丰祥和居二号院"</f>
        <v>河南省郑州市经开区第十三大街拓丰祥和居二号院</v>
      </c>
      <c r="H3204" s="1" t="str">
        <f t="shared" si="1578"/>
        <v>无</v>
      </c>
      <c r="I3204" s="1" t="str">
        <f>"2019.9-2023.7 河南师范大学文学院汉语言文学专业 全日制
2023.7-2025.7 河南省新乡市文达文化补习学校"</f>
        <v>2019.9-2023.7 河南师范大学文学院汉语言文学专业 全日制
2023.7-2025.7 河南省新乡市文达文化补习学校</v>
      </c>
    </row>
    <row r="3205" spans="1:9">
      <c r="A3205" s="1" t="str">
        <f>"410324200004070023"</f>
        <v>410324200004070023</v>
      </c>
      <c r="B3205" s="1" t="str">
        <f t="shared" si="1580"/>
        <v>共青团员</v>
      </c>
      <c r="C3205" s="1" t="str">
        <f t="shared" si="1581"/>
        <v>本科</v>
      </c>
      <c r="D3205" s="1" t="str">
        <f>"20220701"</f>
        <v>20220701</v>
      </c>
      <c r="E3205" s="1" t="str">
        <f>"平顶山学院"</f>
        <v>平顶山学院</v>
      </c>
      <c r="F3205" s="1" t="str">
        <f>"会计学"</f>
        <v>会计学</v>
      </c>
      <c r="G3205" s="1" t="str">
        <f>"河南省洛阳市栾川县伊滨东路23号"</f>
        <v>河南省洛阳市栾川县伊滨东路23号</v>
      </c>
      <c r="H3205" s="1" t="str">
        <f>"初级会计资格证书"</f>
        <v>初级会计资格证书</v>
      </c>
      <c r="I3205" s="1" t="str">
        <f>"2018年09月-2022年07月平顶山学院经济管理学院就读会计学，全日制学历。
2021年11月-2022年5月实习于栾川县人民医院财务科
2022年10月-2024年6月任职于中国人民财产保险栾川支公司
2024年6 月至今待业"</f>
        <v>2018年09月-2022年07月平顶山学院经济管理学院就读会计学，全日制学历。
2021年11月-2022年5月实习于栾川县人民医院财务科
2022年10月-2024年6月任职于中国人民财产保险栾川支公司
2024年6 月至今待业</v>
      </c>
    </row>
    <row r="3206" spans="1:9">
      <c r="A3206" s="1" t="str">
        <f>"431382200210260221"</f>
        <v>431382200210260221</v>
      </c>
      <c r="B3206" s="1" t="str">
        <f t="shared" si="1580"/>
        <v>共青团员</v>
      </c>
      <c r="C3206" s="1" t="str">
        <f t="shared" si="1581"/>
        <v>本科</v>
      </c>
      <c r="D3206" s="1" t="str">
        <f>"20230630"</f>
        <v>20230630</v>
      </c>
      <c r="E3206" s="1" t="str">
        <f>"四川旅游学院"</f>
        <v>四川旅游学院</v>
      </c>
      <c r="F3206" s="1" t="str">
        <f>"酒店管理"</f>
        <v>酒店管理</v>
      </c>
      <c r="G3206" s="1" t="str">
        <f>"河南省新乡市牧野区前进路金色城邦13号楼801"</f>
        <v>河南省新乡市牧野区前进路金色城邦13号楼801</v>
      </c>
      <c r="H3206" s="1" t="str">
        <f>"英语四六级；普通话二级甲等"</f>
        <v>英语四六级；普通话二级甲等</v>
      </c>
      <c r="I3206" s="1" t="str">
        <f>"201909-202306 在四川旅游学院希尔顿酒店管理学院酒店管理专业就读
202307-202410 在上海阿纳迪酒店电商经理岗位就职
202411-202507 在上海华民旅行社运营经理岗位就职"</f>
        <v>201909-202306 在四川旅游学院希尔顿酒店管理学院酒店管理专业就读
202307-202410 在上海阿纳迪酒店电商经理岗位就职
202411-202507 在上海华民旅行社运营经理岗位就职</v>
      </c>
    </row>
    <row r="3207" spans="1:9">
      <c r="A3207" s="1" t="str">
        <f>"431382200303180183"</f>
        <v>431382200303180183</v>
      </c>
      <c r="B3207" s="1" t="str">
        <f t="shared" si="1580"/>
        <v>共青团员</v>
      </c>
      <c r="C3207" s="1" t="str">
        <f>"专科"</f>
        <v>专科</v>
      </c>
      <c r="D3207" s="1" t="str">
        <f>"20240625"</f>
        <v>20240625</v>
      </c>
      <c r="E3207" s="1" t="str">
        <f>"湖南水利水电职业技术学院"</f>
        <v>湖南水利水电职业技术学院</v>
      </c>
      <c r="F3207" s="1" t="str">
        <f>"无人机测绘技术"</f>
        <v>无人机测绘技术</v>
      </c>
      <c r="G3207" s="1" t="str">
        <f>"湖南省涟源市渡头塘镇松元村"</f>
        <v>湖南省涟源市渡头塘镇松元村</v>
      </c>
      <c r="H3207" s="1" t="str">
        <f t="shared" ref="H3207:H3211" si="1582">"无"</f>
        <v>无</v>
      </c>
      <c r="I3207" s="1" t="str">
        <f>"202109-202406 湖南水利水电职业技术学院建筑工程学院无人机测绘技术专业就读，全日制学历
202406-至今，在家待业"</f>
        <v>202109-202406 湖南水利水电职业技术学院建筑工程学院无人机测绘技术专业就读，全日制学历
202406-至今，在家待业</v>
      </c>
    </row>
    <row r="3208" spans="1:9">
      <c r="A3208" s="1" t="str">
        <f>"360730199205246119"</f>
        <v>360730199205246119</v>
      </c>
      <c r="B3208" s="1" t="str">
        <f t="shared" ref="B3208:B3213" si="1583">"群众"</f>
        <v>群众</v>
      </c>
      <c r="C3208" s="1" t="str">
        <f t="shared" ref="C3208:C3210" si="1584">"本科"</f>
        <v>本科</v>
      </c>
      <c r="D3208" s="1" t="str">
        <f>"2015.07"</f>
        <v>2015.07</v>
      </c>
      <c r="E3208" s="1" t="str">
        <f>"江西理工大学应用科学学院"</f>
        <v>江西理工大学应用科学学院</v>
      </c>
      <c r="F3208" s="1" t="str">
        <f>"电子信息工程"</f>
        <v>电子信息工程</v>
      </c>
      <c r="G3208" s="1" t="str">
        <f>"江西省赣州市宁都县西厢村"</f>
        <v>江西省赣州市宁都县西厢村</v>
      </c>
      <c r="H3208" s="1" t="str">
        <f t="shared" si="1582"/>
        <v>无</v>
      </c>
      <c r="I3208" s="1" t="str">
        <f>"
2011年9月-2015年7月   江西理工大学应用科学学院  就读电子信息工程专业  全日制
2015年7月-2021年1月   巨昌科技有限公司   职员
2021年1月-至今   优象文化用品公司  职员"</f>
        <v>
2011年9月-2015年7月   江西理工大学应用科学学院  就读电子信息工程专业  全日制
2015年7月-2021年1月   巨昌科技有限公司   职员
2021年1月-至今   优象文化用品公司  职员</v>
      </c>
    </row>
    <row r="3209" spans="1:9">
      <c r="A3209" s="1" t="str">
        <f>"411327199912012018"</f>
        <v>411327199912012018</v>
      </c>
      <c r="B3209" s="1" t="str">
        <f>"中共党员"</f>
        <v>中共党员</v>
      </c>
      <c r="C3209" s="1" t="str">
        <f t="shared" si="1584"/>
        <v>本科</v>
      </c>
      <c r="D3209" s="1" t="str">
        <f>"20220701"</f>
        <v>20220701</v>
      </c>
      <c r="E3209" s="1" t="str">
        <f>"河南理工大学"</f>
        <v>河南理工大学</v>
      </c>
      <c r="F3209" s="1" t="str">
        <f>"法学"</f>
        <v>法学</v>
      </c>
      <c r="G3209" s="1" t="str">
        <f>"河南省南阳市内乡县湍东镇梨苑山庄龙湖区"</f>
        <v>河南省南阳市内乡县湍东镇梨苑山庄龙湖区</v>
      </c>
      <c r="H3209" s="1" t="str">
        <f t="shared" si="1582"/>
        <v>无</v>
      </c>
      <c r="I3209" s="1" t="str">
        <f>"201809-202207 河南理工大学工商管理学院工商管理（辅修法学双学位）专业就读，全日制本科学历；202207-202209 在内乡县待业；202210-202307 唐河县鸿唐高级中学工作；202308-202402 镇平县雪枫中学工作；202403-202507 西峡县国有资产产权服务中心工作"</f>
        <v>201809-202207 河南理工大学工商管理学院工商管理（辅修法学双学位）专业就读，全日制本科学历；202207-202209 在内乡县待业；202210-202307 唐河县鸿唐高级中学工作；202308-202402 镇平县雪枫中学工作；202403-202507 西峡县国有资产产权服务中心工作</v>
      </c>
    </row>
    <row r="3210" spans="1:9">
      <c r="A3210" s="1" t="str">
        <f>"412801199601241723"</f>
        <v>412801199601241723</v>
      </c>
      <c r="B3210" s="1" t="str">
        <f t="shared" si="1583"/>
        <v>群众</v>
      </c>
      <c r="C3210" s="1" t="str">
        <f t="shared" si="1584"/>
        <v>本科</v>
      </c>
      <c r="D3210" s="1" t="str">
        <f>"20170701"</f>
        <v>20170701</v>
      </c>
      <c r="E3210" s="1" t="str">
        <f>"新乡医学院三全学院"</f>
        <v>新乡医学院三全学院</v>
      </c>
      <c r="F3210" s="1" t="str">
        <f>"人力资源管理"</f>
        <v>人力资源管理</v>
      </c>
      <c r="G3210" s="1" t="str">
        <f>"河南省驻马店市建业十八层"</f>
        <v>河南省驻马店市建业十八层</v>
      </c>
      <c r="H3210" s="1" t="str">
        <f t="shared" si="1582"/>
        <v>无</v>
      </c>
      <c r="I3210" s="1" t="str">
        <f>"201309-201707 在新乡医学院三全学院人力资源管理专业就读 ，全日制本科，取得学士学位。2017年09-201912在画悦地产从事销售工作。202001-202507在比高电商从事售后工作。"</f>
        <v>201309-201707 在新乡医学院三全学院人力资源管理专业就读 ，全日制本科，取得学士学位。2017年09-201912在画悦地产从事销售工作。202001-202507在比高电商从事售后工作。</v>
      </c>
    </row>
    <row r="3211" spans="1:9">
      <c r="A3211" s="1" t="str">
        <f>"411325200110254560"</f>
        <v>411325200110254560</v>
      </c>
      <c r="B3211" s="1" t="str">
        <f t="shared" ref="B3211:B3217" si="1585">"共青团员"</f>
        <v>共青团员</v>
      </c>
      <c r="C3211" s="1" t="str">
        <f>"专科"</f>
        <v>专科</v>
      </c>
      <c r="D3211" s="1" t="str">
        <f>"20230701"</f>
        <v>20230701</v>
      </c>
      <c r="E3211" s="1" t="str">
        <f>"安阳工学院"</f>
        <v>安阳工学院</v>
      </c>
      <c r="F3211" s="1" t="str">
        <f>"电子商务"</f>
        <v>电子商务</v>
      </c>
      <c r="G3211" s="1" t="str">
        <f>"河南省南阳市内乡县城关镇广源路"</f>
        <v>河南省南阳市内乡县城关镇广源路</v>
      </c>
      <c r="H3211" s="1" t="str">
        <f t="shared" si="1582"/>
        <v>无</v>
      </c>
      <c r="I3211" s="1" t="str">
        <f>"202009-202307 安阳工学院 就读 电子商务专业"</f>
        <v>202009-202307 安阳工学院 就读 电子商务专业</v>
      </c>
    </row>
    <row r="3212" spans="1:9">
      <c r="A3212" s="1" t="str">
        <f>"420923199306101828"</f>
        <v>420923199306101828</v>
      </c>
      <c r="B3212" s="1" t="str">
        <f>"中共党员"</f>
        <v>中共党员</v>
      </c>
      <c r="C3212" s="1" t="str">
        <f t="shared" ref="C3212:C3215" si="1586">"本科"</f>
        <v>本科</v>
      </c>
      <c r="D3212" s="1" t="str">
        <f>"2016-06-30"</f>
        <v>2016-06-30</v>
      </c>
      <c r="E3212" s="1" t="str">
        <f>"武汉纺织大学"</f>
        <v>武汉纺织大学</v>
      </c>
      <c r="F3212" s="1" t="str">
        <f>"艺术设计"</f>
        <v>艺术设计</v>
      </c>
      <c r="G3212" s="1" t="str">
        <f>"湖北省武汉市洪山区卓刀泉街道华城新都"</f>
        <v>湖北省武汉市洪山区卓刀泉街道华城新都</v>
      </c>
      <c r="H3212" s="1" t="str">
        <f>"社会工作师"</f>
        <v>社会工作师</v>
      </c>
      <c r="I3212" s="1" t="str">
        <f>"学习经历：
2008.9-2012.6 云梦县梦泽高中（美术理科）
2012.9-2016.6 武汉纺织大学（艺术设计）
工作经历：
2016.7-2017.12 山东舒朗股份有限公司（设计助理）
2018.1-2019.7 武汉纵横合创有限公司（设计师）
2019.8-2020.12 武汉合建装饰工程有限公司（设计师）
2021.1-至今 武汉掌上人才"</f>
        <v>学习经历：
2008.9-2012.6 云梦县梦泽高中（美术理科）
2012.9-2016.6 武汉纺织大学（艺术设计）
工作经历：
2016.7-2017.12 山东舒朗股份有限公司（设计助理）
2018.1-2019.7 武汉纵横合创有限公司（设计师）
2019.8-2020.12 武汉合建装饰工程有限公司（设计师）
2021.1-至今 武汉掌上人才</v>
      </c>
    </row>
    <row r="3213" spans="1:9">
      <c r="A3213" s="1" t="str">
        <f>"422802200112285024"</f>
        <v>422802200112285024</v>
      </c>
      <c r="B3213" s="1" t="str">
        <f t="shared" si="1583"/>
        <v>群众</v>
      </c>
      <c r="C3213" s="1" t="str">
        <f t="shared" si="1586"/>
        <v>本科</v>
      </c>
      <c r="D3213" s="1" t="str">
        <f>"20250607"</f>
        <v>20250607</v>
      </c>
      <c r="E3213" s="1" t="str">
        <f>"湖北文理学院"</f>
        <v>湖北文理学院</v>
      </c>
      <c r="F3213" s="1" t="str">
        <f>"旅游管理"</f>
        <v>旅游管理</v>
      </c>
      <c r="G3213" s="1" t="str">
        <f>"湖北省襄阳市襄州区 雅居乐·玺悦悦云苑8栋"</f>
        <v>湖北省襄阳市襄州区 雅居乐·玺悦悦云苑8栋</v>
      </c>
      <c r="H3213" s="1" t="str">
        <f t="shared" ref="H3213:H3223" si="1587">"无"</f>
        <v>无</v>
      </c>
      <c r="I3213" s="1" t="str">
        <f>"202009-202306襄阳职业技术学院就读，旅游与艺术学院，旅游管理专业，全日制
202309-202506湖北文理学院就读，资源环境与旅游学院，旅游管理专业，全日制"</f>
        <v>202009-202306襄阳职业技术学院就读，旅游与艺术学院，旅游管理专业，全日制
202309-202506湖北文理学院就读，资源环境与旅游学院，旅游管理专业，全日制</v>
      </c>
    </row>
    <row r="3214" spans="1:9">
      <c r="A3214" s="1" t="str">
        <f>"411324200012155220"</f>
        <v>411324200012155220</v>
      </c>
      <c r="B3214" s="1" t="str">
        <f t="shared" si="1585"/>
        <v>共青团员</v>
      </c>
      <c r="C3214" s="1" t="str">
        <f t="shared" si="1586"/>
        <v>本科</v>
      </c>
      <c r="D3214" s="1" t="str">
        <f>"20230701"</f>
        <v>20230701</v>
      </c>
      <c r="E3214" s="1" t="str">
        <f>"南阳师范学院"</f>
        <v>南阳师范学院</v>
      </c>
      <c r="F3214" s="1" t="str">
        <f>"园林"</f>
        <v>园林</v>
      </c>
      <c r="G3214" s="1" t="str">
        <f>"河南省南阳市宛城区柴庄社区"</f>
        <v>河南省南阳市宛城区柴庄社区</v>
      </c>
      <c r="H3214" s="1" t="str">
        <f t="shared" si="1587"/>
        <v>无</v>
      </c>
      <c r="I3214" s="1" t="str">
        <f>"201909-202307 在南阳师范学院生命科学与农业工程学院园林专业就读
202307-今 待业"</f>
        <v>201909-202307 在南阳师范学院生命科学与农业工程学院园林专业就读
202307-今 待业</v>
      </c>
    </row>
    <row r="3215" spans="1:9">
      <c r="A3215" s="1" t="str">
        <f>"411327199302220012"</f>
        <v>411327199302220012</v>
      </c>
      <c r="B3215" s="1" t="str">
        <f>"群众"</f>
        <v>群众</v>
      </c>
      <c r="C3215" s="1" t="str">
        <f t="shared" si="1586"/>
        <v>本科</v>
      </c>
      <c r="D3215" s="1" t="str">
        <f>"20140607"</f>
        <v>20140607</v>
      </c>
      <c r="E3215" s="1" t="str">
        <f>"信阳农林学院"</f>
        <v>信阳农林学院</v>
      </c>
      <c r="F3215" s="1" t="str">
        <f>"园林技术"</f>
        <v>园林技术</v>
      </c>
      <c r="G3215" s="1" t="str">
        <f>"河南省内乡县城关镇北城居委会661号"</f>
        <v>河南省内乡县城关镇北城居委会661号</v>
      </c>
      <c r="H3215" s="1" t="str">
        <f t="shared" si="1587"/>
        <v>无</v>
      </c>
      <c r="I3215" s="1" t="str">
        <f>"201109-201406年在信阳农林学院园艺技术专业、全日制学历，中间在贝利得花卉公司实习上班。
函数自考201709-202006在河南农大园林技术专业"</f>
        <v>201109-201406年在信阳农林学院园艺技术专业、全日制学历，中间在贝利得花卉公司实习上班。
函数自考201709-202006在河南农大园林技术专业</v>
      </c>
    </row>
    <row r="3216" spans="1:9">
      <c r="A3216" s="1" t="str">
        <f>"411327200404130021"</f>
        <v>411327200404130021</v>
      </c>
      <c r="B3216" s="1" t="str">
        <f t="shared" si="1585"/>
        <v>共青团员</v>
      </c>
      <c r="C3216" s="1" t="str">
        <f>"专科"</f>
        <v>专科</v>
      </c>
      <c r="D3216" s="1" t="str">
        <f>"2025-07-01"</f>
        <v>2025-07-01</v>
      </c>
      <c r="E3216" s="1" t="str">
        <f>"郑州信息工程职业学院"</f>
        <v>郑州信息工程职业学院</v>
      </c>
      <c r="F3216" s="1" t="str">
        <f>"信息安全技术应用"</f>
        <v>信息安全技术应用</v>
      </c>
      <c r="G3216" s="1" t="str">
        <f>"河南省南阳市内乡县泊华官邸"</f>
        <v>河南省南阳市内乡县泊华官邸</v>
      </c>
      <c r="H3216" s="1" t="str">
        <f t="shared" si="1587"/>
        <v>无</v>
      </c>
      <c r="I3216" s="1" t="str">
        <f>"202209-202507郑州信息工程职业学院就读信息安全技术应用专业，全日制学历"</f>
        <v>202209-202507郑州信息工程职业学院就读信息安全技术应用专业，全日制学历</v>
      </c>
    </row>
    <row r="3217" spans="1:9">
      <c r="A3217" s="1" t="str">
        <f>"411327200207220044"</f>
        <v>411327200207220044</v>
      </c>
      <c r="B3217" s="1" t="str">
        <f t="shared" si="1585"/>
        <v>共青团员</v>
      </c>
      <c r="C3217" s="1" t="str">
        <f t="shared" ref="C3217:C3220" si="1588">"本科"</f>
        <v>本科</v>
      </c>
      <c r="D3217" s="1" t="str">
        <f>"20240605"</f>
        <v>20240605</v>
      </c>
      <c r="E3217" s="1" t="str">
        <f>"安阳学院"</f>
        <v>安阳学院</v>
      </c>
      <c r="F3217" s="1" t="str">
        <f>"法学"</f>
        <v>法学</v>
      </c>
      <c r="G3217" s="1" t="str">
        <f>"河南省南阳市内乡县皮袄巷老明家膏药馆"</f>
        <v>河南省南阳市内乡县皮袄巷老明家膏药馆</v>
      </c>
      <c r="H3217" s="1" t="str">
        <f t="shared" si="1587"/>
        <v>无</v>
      </c>
      <c r="I3217" s="1" t="str">
        <f>"202009-202406 安阳学院文法学院法学就读，是全日制学历。
202406-202507 待业
202507-至今  内乡县法院书记员"</f>
        <v>202009-202406 安阳学院文法学院法学就读，是全日制学历。
202406-202507 待业
202507-至今  内乡县法院书记员</v>
      </c>
    </row>
    <row r="3218" spans="1:9">
      <c r="A3218" s="1" t="str">
        <f>"411327200302050645"</f>
        <v>411327200302050645</v>
      </c>
      <c r="B3218" s="1" t="str">
        <f>"中共党员"</f>
        <v>中共党员</v>
      </c>
      <c r="C3218" s="1" t="str">
        <f t="shared" si="1588"/>
        <v>本科</v>
      </c>
      <c r="D3218" s="1" t="str">
        <f>"20250614"</f>
        <v>20250614</v>
      </c>
      <c r="E3218" s="1" t="str">
        <f>"信阳农林学院"</f>
        <v>信阳农林学院</v>
      </c>
      <c r="F3218" s="1" t="str">
        <f>"电子商务"</f>
        <v>电子商务</v>
      </c>
      <c r="G3218" s="1" t="str">
        <f>"河南省内乡县马山口镇外河街99号"</f>
        <v>河南省内乡县马山口镇外河街99号</v>
      </c>
      <c r="H3218" s="1" t="str">
        <f t="shared" si="1587"/>
        <v>无</v>
      </c>
      <c r="I3218" s="1" t="str">
        <f>"202109-202506 信阳农林学院电子商务专业就读，是全日制学历
202506至今 在内乡县待业。"</f>
        <v>202109-202506 信阳农林学院电子商务专业就读，是全日制学历
202506至今 在内乡县待业。</v>
      </c>
    </row>
    <row r="3219" spans="1:9">
      <c r="A3219" s="1" t="str">
        <f>"411327199905020343"</f>
        <v>411327199905020343</v>
      </c>
      <c r="B3219" s="1" t="str">
        <f>"共青团员"</f>
        <v>共青团员</v>
      </c>
      <c r="C3219" s="1" t="str">
        <f t="shared" si="1588"/>
        <v>本科</v>
      </c>
      <c r="D3219" s="1" t="str">
        <f>"20210630"</f>
        <v>20210630</v>
      </c>
      <c r="E3219" s="1" t="str">
        <f>"郑州轻工业大学"</f>
        <v>郑州轻工业大学</v>
      </c>
      <c r="F3219" s="1" t="str">
        <f>"视觉传达设计"</f>
        <v>视觉传达设计</v>
      </c>
      <c r="G3219" s="1" t="str">
        <f>"河南省南阳市内乡县大桥乡程岗村185号"</f>
        <v>河南省南阳市内乡县大桥乡程岗村185号</v>
      </c>
      <c r="H3219" s="1" t="str">
        <f t="shared" si="1587"/>
        <v>无</v>
      </c>
      <c r="I3219" s="1" t="str">
        <f>"201709—202106郑州轻工业大学就读，全日制学历
202106—至今待业"</f>
        <v>201709—202106郑州轻工业大学就读，全日制学历
202106—至今待业</v>
      </c>
    </row>
    <row r="3220" spans="1:9">
      <c r="A3220" s="1" t="str">
        <f>"411324200012252442"</f>
        <v>411324200012252442</v>
      </c>
      <c r="B3220" s="1" t="str">
        <f>"共青团员"</f>
        <v>共青团员</v>
      </c>
      <c r="C3220" s="1" t="str">
        <f t="shared" si="1588"/>
        <v>本科</v>
      </c>
      <c r="D3220" s="1" t="str">
        <f>"20220701"</f>
        <v>20220701</v>
      </c>
      <c r="E3220" s="1" t="str">
        <f>"河南理工大学"</f>
        <v>河南理工大学</v>
      </c>
      <c r="F3220" s="1" t="str">
        <f>"应用化学"</f>
        <v>应用化学</v>
      </c>
      <c r="G3220" s="1" t="str">
        <f>"河南省南阳市镇平县幸福路"</f>
        <v>河南省南阳市镇平县幸福路</v>
      </c>
      <c r="H3220" s="1" t="str">
        <f t="shared" si="1587"/>
        <v>无</v>
      </c>
      <c r="I3220" s="1" t="str">
        <f>"201809-202207  河南理工大学化学化工学院应用化学就读，是全日制
202207-202408  在家待业
202408-至今 在镇平县金陵外国语学校，就职高中化学老师"</f>
        <v>201809-202207  河南理工大学化学化工学院应用化学就读，是全日制
202207-202408  在家待业
202408-至今 在镇平县金陵外国语学校，就职高中化学老师</v>
      </c>
    </row>
    <row r="3221" spans="1:9">
      <c r="A3221" s="1" t="str">
        <f>"370830200309180030"</f>
        <v>370830200309180030</v>
      </c>
      <c r="B3221" s="1" t="str">
        <f>"中共党员"</f>
        <v>中共党员</v>
      </c>
      <c r="C3221" s="1" t="str">
        <f t="shared" ref="C3221:C3226" si="1589">"专科"</f>
        <v>专科</v>
      </c>
      <c r="D3221" s="1" t="str">
        <f>"2024-06-30"</f>
        <v>2024-06-30</v>
      </c>
      <c r="E3221" s="1" t="str">
        <f>"枣庄职业学院"</f>
        <v>枣庄职业学院</v>
      </c>
      <c r="F3221" s="1" t="str">
        <f>"药品质量与安全"</f>
        <v>药品质量与安全</v>
      </c>
      <c r="G3221" s="1" t="str">
        <f>"山东省济宁市汶上县晓楼一期将军楼12号"</f>
        <v>山东省济宁市汶上县晓楼一期将军楼12号</v>
      </c>
      <c r="H3221" s="1" t="str">
        <f t="shared" si="1587"/>
        <v>无</v>
      </c>
      <c r="I3221" s="1" t="str">
        <f>"2021.09-2024.06在枣庄职业学院化工与制药系药品质量与安全专业就读，全日制
2024.06-至今在家待业"</f>
        <v>2021.09-2024.06在枣庄职业学院化工与制药系药品质量与安全专业就读，全日制
2024.06-至今在家待业</v>
      </c>
    </row>
    <row r="3222" spans="1:9">
      <c r="A3222" s="1" t="str">
        <f>"41132719990328007X"</f>
        <v>41132719990328007X</v>
      </c>
      <c r="B3222" s="1" t="str">
        <f t="shared" ref="B3222:B3224" si="1590">"群众"</f>
        <v>群众</v>
      </c>
      <c r="C3222" s="1" t="str">
        <f t="shared" si="1589"/>
        <v>专科</v>
      </c>
      <c r="D3222" s="1" t="str">
        <f>"2020-07-15"</f>
        <v>2020-07-15</v>
      </c>
      <c r="E3222" s="1" t="str">
        <f>"沈阳北软信息职业技术学院"</f>
        <v>沈阳北软信息职业技术学院</v>
      </c>
      <c r="F3222" s="1" t="str">
        <f>"软件技术"</f>
        <v>软件技术</v>
      </c>
      <c r="G3222" s="1" t="str">
        <f>"河南省南阳市内乡县城关镇朗朗钢琴对面"</f>
        <v>河南省南阳市内乡县城关镇朗朗钢琴对面</v>
      </c>
      <c r="H3222" s="1" t="str">
        <f t="shared" si="1587"/>
        <v>无</v>
      </c>
      <c r="I3222" s="1" t="str">
        <f>"2017.08-2020.07沈阳北软信息职业技术学院学生
2020.09-2023.05仲景宛西制药股份有限公司贵州分公司铜仁区域经理
2023.5-2023.12待业
2023.12-至今内乡县人民检察院外聘人员"</f>
        <v>2017.08-2020.07沈阳北软信息职业技术学院学生
2020.09-2023.05仲景宛西制药股份有限公司贵州分公司铜仁区域经理
2023.5-2023.12待业
2023.12-至今内乡县人民检察院外聘人员</v>
      </c>
    </row>
    <row r="3223" spans="1:9">
      <c r="A3223" s="1" t="str">
        <f>"411327199708130076"</f>
        <v>411327199708130076</v>
      </c>
      <c r="B3223" s="1" t="str">
        <f t="shared" si="1590"/>
        <v>群众</v>
      </c>
      <c r="C3223" s="1" t="str">
        <f t="shared" ref="C3223:C3225" si="1591">"本科"</f>
        <v>本科</v>
      </c>
      <c r="D3223" s="1" t="str">
        <f>"20200701"</f>
        <v>20200701</v>
      </c>
      <c r="E3223" s="1" t="str">
        <f>"黄河交通学院"</f>
        <v>黄河交通学院</v>
      </c>
      <c r="F3223" s="1" t="str">
        <f>"工程管理"</f>
        <v>工程管理</v>
      </c>
      <c r="G3223" s="1" t="str">
        <f>"河南省南阳市内乡县城关镇书院村"</f>
        <v>河南省南阳市内乡县城关镇书院村</v>
      </c>
      <c r="H3223" s="1" t="str">
        <f t="shared" si="1587"/>
        <v>无</v>
      </c>
      <c r="I3223" s="1" t="str">
        <f>"20160901-20200701黄河交通学院 就读
20200720-20220801上海建科工程咨询有限公司 职工
20221220-至今 中国邮政内乡县分公司 职工"</f>
        <v>20160901-20200701黄河交通学院 就读
20200720-20220801上海建科工程咨询有限公司 职工
20221220-至今 中国邮政内乡县分公司 职工</v>
      </c>
    </row>
    <row r="3224" spans="1:9">
      <c r="A3224" s="1" t="str">
        <f>"411327199408300010"</f>
        <v>411327199408300010</v>
      </c>
      <c r="B3224" s="1" t="str">
        <f t="shared" si="1590"/>
        <v>群众</v>
      </c>
      <c r="C3224" s="1" t="str">
        <f t="shared" si="1591"/>
        <v>本科</v>
      </c>
      <c r="D3224" s="1" t="str">
        <f>"20170630"</f>
        <v>20170630</v>
      </c>
      <c r="E3224" s="1" t="str">
        <f>"桂林航天工业学院"</f>
        <v>桂林航天工业学院</v>
      </c>
      <c r="F3224" s="1" t="str">
        <f>"自动化"</f>
        <v>自动化</v>
      </c>
      <c r="G3224" s="1" t="str">
        <f>"河南省内乡县城关镇皮袄巷红中种子门市"</f>
        <v>河南省内乡县城关镇皮袄巷红中种子门市</v>
      </c>
      <c r="H3224" s="1" t="str">
        <f>""</f>
        <v/>
      </c>
      <c r="I3224" s="1" t="str">
        <f>"201309-201706 桂林航天工业学院自动化专业全日制就读
201706-201906 深圳兆驰股份公司自动化工程师
201907-202503 北京观止创想科技有限公司研发部开发工程师"</f>
        <v>201309-201706 桂林航天工业学院自动化专业全日制就读
201706-201906 深圳兆驰股份公司自动化工程师
201907-202503 北京观止创想科技有限公司研发部开发工程师</v>
      </c>
    </row>
    <row r="3225" spans="1:9">
      <c r="A3225" s="1" t="str">
        <f>"411324200110131927"</f>
        <v>411324200110131927</v>
      </c>
      <c r="B3225" s="1" t="str">
        <f>"共青团员"</f>
        <v>共青团员</v>
      </c>
      <c r="C3225" s="1" t="str">
        <f t="shared" si="1591"/>
        <v>本科</v>
      </c>
      <c r="D3225" s="1" t="str">
        <f>"20240606"</f>
        <v>20240606</v>
      </c>
      <c r="E3225" s="1" t="str">
        <f>"河南牧业经济学院"</f>
        <v>河南牧业经济学院</v>
      </c>
      <c r="F3225" s="1" t="str">
        <f>"会展经济与管理"</f>
        <v>会展经济与管理</v>
      </c>
      <c r="G3225" s="1" t="str">
        <f>"河南省南阳市淅川县大石桥乡人民政府"</f>
        <v>河南省南阳市淅川县大石桥乡人民政府</v>
      </c>
      <c r="H3225" s="1" t="str">
        <f t="shared" ref="H3225:H3230" si="1592">"无"</f>
        <v>无</v>
      </c>
      <c r="I3225" s="1" t="str">
        <f>"20200901-20240606 河南牧业经济学院 旅游学院 会展经济与管理专业就读，全日制学历；
"</f>
        <v>20200901-20240606 河南牧业经济学院 旅游学院 会展经济与管理专业就读，全日制学历；
</v>
      </c>
    </row>
    <row r="3226" spans="1:9">
      <c r="A3226" s="1" t="str">
        <f>"411324199809100029"</f>
        <v>411324199809100029</v>
      </c>
      <c r="B3226" s="1" t="str">
        <f>"中共党员"</f>
        <v>中共党员</v>
      </c>
      <c r="C3226" s="1" t="str">
        <f t="shared" si="1589"/>
        <v>专科</v>
      </c>
      <c r="D3226" s="1" t="str">
        <f>"20190701"</f>
        <v>20190701</v>
      </c>
      <c r="E3226" s="1" t="str">
        <f>"河南检察职业学院"</f>
        <v>河南检察职业学院</v>
      </c>
      <c r="F3226" s="1" t="str">
        <f>"法律事务"</f>
        <v>法律事务</v>
      </c>
      <c r="G3226" s="1" t="str">
        <f>"河南省镇平县城关镇西关村"</f>
        <v>河南省镇平县城关镇西关村</v>
      </c>
      <c r="H3226" s="1" t="str">
        <f t="shared" si="1592"/>
        <v>无</v>
      </c>
      <c r="I3226" s="1" t="str">
        <f>"201609-201906河南检察职业学院就读法律事务"</f>
        <v>201609-201906河南检察职业学院就读法律事务</v>
      </c>
    </row>
    <row r="3227" spans="1:9">
      <c r="A3227" s="1" t="str">
        <f>"411327199510233328"</f>
        <v>411327199510233328</v>
      </c>
      <c r="B3227" s="1" t="str">
        <f>"中共党员"</f>
        <v>中共党员</v>
      </c>
      <c r="C3227" s="1" t="str">
        <f t="shared" ref="C3227:C3230" si="1593">"本科"</f>
        <v>本科</v>
      </c>
      <c r="D3227" s="1" t="str">
        <f>"20180610"</f>
        <v>20180610</v>
      </c>
      <c r="E3227" s="1" t="str">
        <f>"河南大学"</f>
        <v>河南大学</v>
      </c>
      <c r="F3227" s="1" t="str">
        <f>"法学"</f>
        <v>法学</v>
      </c>
      <c r="G3227" s="1" t="str">
        <f>"河南省南阳市人民北路288巷38号经济贸易学校小区"</f>
        <v>河南省南阳市人民北路288巷38号经济贸易学校小区</v>
      </c>
      <c r="H3227" s="1" t="str">
        <f>"法律职业资格（A）"</f>
        <v>法律职业资格（A）</v>
      </c>
      <c r="I3227" s="1" t="str">
        <f>"201409-201806河南大学法学院就读，全日制学历
201806-201812在家待业
201812-202201南阳高新技术产业开发区人民法院担任书记员
202201-至今南阳高新发展投资集团有限公司担任法务"</f>
        <v>201409-201806河南大学法学院就读，全日制学历
201806-201812在家待业
201812-202201南阳高新技术产业开发区人民法院担任书记员
202201-至今南阳高新发展投资集团有限公司担任法务</v>
      </c>
    </row>
    <row r="3228" spans="1:9">
      <c r="A3228" s="1" t="str">
        <f>"411327200106270034"</f>
        <v>411327200106270034</v>
      </c>
      <c r="B3228" s="1" t="str">
        <f t="shared" ref="B3228:B3234" si="1594">"群众"</f>
        <v>群众</v>
      </c>
      <c r="C3228" s="1" t="str">
        <f t="shared" si="1593"/>
        <v>本科</v>
      </c>
      <c r="D3228" s="1" t="str">
        <f>"20250615"</f>
        <v>20250615</v>
      </c>
      <c r="E3228" s="1" t="str">
        <f>"许昌学院"</f>
        <v>许昌学院</v>
      </c>
      <c r="F3228" s="1" t="str">
        <f>"音乐学"</f>
        <v>音乐学</v>
      </c>
      <c r="G3228" s="1" t="str">
        <f>"1057214873@qq.com"</f>
        <v>1057214873@qq.com</v>
      </c>
      <c r="H3228" s="1" t="str">
        <f t="shared" si="1592"/>
        <v>无</v>
      </c>
      <c r="I3228" s="1" t="str">
        <f>"202109-202506许昌学院就读音乐学，全日制学历"</f>
        <v>202109-202506许昌学院就读音乐学，全日制学历</v>
      </c>
    </row>
    <row r="3229" spans="1:9">
      <c r="A3229" s="1" t="str">
        <f>"411327200003180028"</f>
        <v>411327200003180028</v>
      </c>
      <c r="B3229" s="1" t="str">
        <f t="shared" si="1594"/>
        <v>群众</v>
      </c>
      <c r="C3229" s="1" t="str">
        <f t="shared" si="1593"/>
        <v>本科</v>
      </c>
      <c r="D3229" s="1" t="str">
        <f>"20220601"</f>
        <v>20220601</v>
      </c>
      <c r="E3229" s="1" t="str">
        <f>"郑州工业应用技术学院"</f>
        <v>郑州工业应用技术学院</v>
      </c>
      <c r="F3229" s="1" t="str">
        <f>"学前教育"</f>
        <v>学前教育</v>
      </c>
      <c r="G3229" s="1" t="str">
        <f>"河南省南阳市内乡县"</f>
        <v>河南省南阳市内乡县</v>
      </c>
      <c r="H3229" s="1" t="str">
        <f t="shared" si="1592"/>
        <v>无</v>
      </c>
      <c r="I3229" s="1" t="str">
        <f>"201509-202006 南阳师范学院五年制大专班学前教育专业就读
202009-202206 郑州工业应用技术学院本科学前教育专业就读
202206-至今 待业"</f>
        <v>201509-202006 南阳师范学院五年制大专班学前教育专业就读
202009-202206 郑州工业应用技术学院本科学前教育专业就读
202206-至今 待业</v>
      </c>
    </row>
    <row r="3230" spans="1:9">
      <c r="A3230" s="1" t="str">
        <f>"411327200009252547"</f>
        <v>411327200009252547</v>
      </c>
      <c r="B3230" s="1" t="str">
        <f>"共青团员"</f>
        <v>共青团员</v>
      </c>
      <c r="C3230" s="1" t="str">
        <f t="shared" si="1593"/>
        <v>本科</v>
      </c>
      <c r="D3230" s="1" t="str">
        <f>"2024-06-01"</f>
        <v>2024-06-01</v>
      </c>
      <c r="E3230" s="1" t="str">
        <f>"长江师范学院"</f>
        <v>长江师范学院</v>
      </c>
      <c r="F3230" s="1" t="str">
        <f>"财务管理"</f>
        <v>财务管理</v>
      </c>
      <c r="G3230" s="1" t="str">
        <f>"河南省内乡县王店镇四张村薛营南50号"</f>
        <v>河南省内乡县王店镇四张村薛营南50号</v>
      </c>
      <c r="H3230" s="1" t="str">
        <f t="shared" si="1592"/>
        <v>无</v>
      </c>
      <c r="I3230" s="1" t="str">
        <f>"2020年9月-2024年6月长江师范学院财经学院财务管理专业就读，全日制学历"</f>
        <v>2020年9月-2024年6月长江师范学院财经学院财务管理专业就读，全日制学历</v>
      </c>
    </row>
    <row r="3231" spans="1:9">
      <c r="A3231" s="1" t="str">
        <f>"411327199901123716"</f>
        <v>411327199901123716</v>
      </c>
      <c r="B3231" s="1" t="str">
        <f>"共青团员"</f>
        <v>共青团员</v>
      </c>
      <c r="C3231" s="1" t="str">
        <f>"硕士研究生"</f>
        <v>硕士研究生</v>
      </c>
      <c r="D3231" s="1" t="str">
        <f>"20230701"</f>
        <v>20230701</v>
      </c>
      <c r="E3231" s="1" t="str">
        <f>"郑州大学"</f>
        <v>郑州大学</v>
      </c>
      <c r="F3231" s="1" t="str">
        <f>"体育教学"</f>
        <v>体育教学</v>
      </c>
      <c r="G3231" s="1" t="str">
        <f>"河南省南阳市内乡县桃溪镇"</f>
        <v>河南省南阳市内乡县桃溪镇</v>
      </c>
      <c r="H3231" s="1" t="str">
        <f>"救生员证"</f>
        <v>救生员证</v>
      </c>
      <c r="I3231" s="1" t="str">
        <f>"2013/09-2016/07 内乡县实验高中就读
2016/09-2020/07 江苏海洋大学就读 休闲体育专业/本科-学士学位
2020/09-2023/07 郑州大学就读 体育教学/研究生-硕士学位
2023/07-2024/12 牧原食品股份有限公司任职"</f>
        <v>2013/09-2016/07 内乡县实验高中就读
2016/09-2020/07 江苏海洋大学就读 休闲体育专业/本科-学士学位
2020/09-2023/07 郑州大学就读 体育教学/研究生-硕士学位
2023/07-2024/12 牧原食品股份有限公司任职</v>
      </c>
    </row>
    <row r="3232" spans="1:9">
      <c r="A3232" s="1" t="str">
        <f>"41132719980214153X"</f>
        <v>41132719980214153X</v>
      </c>
      <c r="B3232" s="1" t="str">
        <f t="shared" si="1594"/>
        <v>群众</v>
      </c>
      <c r="C3232" s="1" t="str">
        <f t="shared" ref="C3232:C3236" si="1595">"本科"</f>
        <v>本科</v>
      </c>
      <c r="D3232" s="1" t="str">
        <f>"20210701"</f>
        <v>20210701</v>
      </c>
      <c r="E3232" s="1" t="str">
        <f>"南阳师范学院"</f>
        <v>南阳师范学院</v>
      </c>
      <c r="F3232" s="1" t="str">
        <f>"财务管理"</f>
        <v>财务管理</v>
      </c>
      <c r="G3232" s="1" t="str">
        <f>"河南省南阳市内乡县湍东镇北符营村刘竹园"</f>
        <v>河南省南阳市内乡县湍东镇北符营村刘竹园</v>
      </c>
      <c r="H3232" s="1" t="str">
        <f t="shared" ref="H3232:H3236" si="1596">"无"</f>
        <v>无</v>
      </c>
      <c r="I3232" s="1" t="str">
        <f>"201709-202107在南阳师范学院经济与管理学院财务管理专业就读，为全日制本科学历，202107-202503就职于想念食品股份有限公司，任公司投融资部融资经理一职，202504-今在家中待业。"</f>
        <v>201709-202107在南阳师范学院经济与管理学院财务管理专业就读，为全日制本科学历，202107-202503就职于想念食品股份有限公司，任公司投融资部融资经理一职，202504-今在家中待业。</v>
      </c>
    </row>
    <row r="3233" spans="1:9">
      <c r="A3233" s="1" t="str">
        <f>"411326200302011762"</f>
        <v>411326200302011762</v>
      </c>
      <c r="B3233" s="1" t="str">
        <f t="shared" si="1594"/>
        <v>群众</v>
      </c>
      <c r="C3233" s="1" t="str">
        <f t="shared" ref="C3233:C3239" si="1597">"专科"</f>
        <v>专科</v>
      </c>
      <c r="D3233" s="1" t="str">
        <f>"20240618"</f>
        <v>20240618</v>
      </c>
      <c r="E3233" s="1" t="str">
        <f>"安阳幼儿师范高等专科学校"</f>
        <v>安阳幼儿师范高等专科学校</v>
      </c>
      <c r="F3233" s="1" t="str">
        <f>"小学教育"</f>
        <v>小学教育</v>
      </c>
      <c r="G3233" s="1" t="str">
        <f>"河南省南阳市淅川县寺湾镇3组11号"</f>
        <v>河南省南阳市淅川县寺湾镇3组11号</v>
      </c>
      <c r="H3233" s="1" t="str">
        <f>"讲解员三级"</f>
        <v>讲解员三级</v>
      </c>
      <c r="I3233" s="1" t="str">
        <f>"202109-202406 安阳幼儿师范高等专科学校语言文化学院小学教育专业 就读。是全日制学历"</f>
        <v>202109-202406 安阳幼儿师范高等专科学校语言文化学院小学教育专业 就读。是全日制学历</v>
      </c>
    </row>
    <row r="3234" spans="1:9">
      <c r="A3234" s="1" t="str">
        <f>"411327200111173116"</f>
        <v>411327200111173116</v>
      </c>
      <c r="B3234" s="1" t="str">
        <f t="shared" si="1594"/>
        <v>群众</v>
      </c>
      <c r="C3234" s="1" t="str">
        <f t="shared" si="1595"/>
        <v>本科</v>
      </c>
      <c r="D3234" s="1" t="str">
        <f>"20250616"</f>
        <v>20250616</v>
      </c>
      <c r="E3234" s="1" t="str">
        <f>"河南城建学院"</f>
        <v>河南城建学院</v>
      </c>
      <c r="F3234" s="1" t="str">
        <f>"土木工程"</f>
        <v>土木工程</v>
      </c>
      <c r="G3234" s="1" t="str">
        <f>"河南省南阳市内乡县夏馆镇栗园村吴营组225号"</f>
        <v>河南省南阳市内乡县夏馆镇栗园村吴营组225号</v>
      </c>
      <c r="H3234" s="1" t="str">
        <f>"地质调查员（高级工）"</f>
        <v>地质调查员（高级工）</v>
      </c>
      <c r="I3234" s="1" t="str">
        <f>"201909-202109 武警湖北总队执勤支队
202109-202506 河南城建学院土木工程全日制本科就读
"</f>
        <v>201909-202109 武警湖北总队执勤支队
202109-202506 河南城建学院土木工程全日制本科就读
</v>
      </c>
    </row>
    <row r="3235" spans="1:9">
      <c r="A3235" s="1" t="str">
        <f>"411327200205170012"</f>
        <v>411327200205170012</v>
      </c>
      <c r="B3235" s="1" t="str">
        <f t="shared" ref="B3235:B3238" si="1598">"中共党员"</f>
        <v>中共党员</v>
      </c>
      <c r="C3235" s="1" t="str">
        <f t="shared" si="1595"/>
        <v>本科</v>
      </c>
      <c r="D3235" s="1" t="str">
        <f>"20250611"</f>
        <v>20250611</v>
      </c>
      <c r="E3235" s="1" t="str">
        <f>"北京联合大学"</f>
        <v>北京联合大学</v>
      </c>
      <c r="F3235" s="1" t="str">
        <f>"金融学"</f>
        <v>金融学</v>
      </c>
      <c r="G3235" s="1" t="str">
        <f>"3212152302@qq.com"</f>
        <v>3212152302@qq.com</v>
      </c>
      <c r="H3235" s="1" t="str">
        <f t="shared" si="1596"/>
        <v>无</v>
      </c>
      <c r="I3235" s="1" t="str">
        <f>"202109-202506 北京联合大学就读  属于全日制"</f>
        <v>202109-202506 北京联合大学就读  属于全日制</v>
      </c>
    </row>
    <row r="3236" spans="1:9">
      <c r="A3236" s="1" t="str">
        <f>"410727199904027616"</f>
        <v>410727199904027616</v>
      </c>
      <c r="B3236" s="1" t="str">
        <f t="shared" si="1598"/>
        <v>中共党员</v>
      </c>
      <c r="C3236" s="1" t="str">
        <f t="shared" si="1595"/>
        <v>本科</v>
      </c>
      <c r="D3236" s="1" t="str">
        <f>"2021-07-01"</f>
        <v>2021-07-01</v>
      </c>
      <c r="E3236" s="1" t="str">
        <f>"洛阳理工学院"</f>
        <v>洛阳理工学院</v>
      </c>
      <c r="F3236" s="1" t="str">
        <f>"酒店管理"</f>
        <v>酒店管理</v>
      </c>
      <c r="G3236" s="1" t="str">
        <f>"河南省新乡市封丘县赵岗镇闫店村019号"</f>
        <v>河南省新乡市封丘县赵岗镇闫店村019号</v>
      </c>
      <c r="H3236" s="1" t="str">
        <f t="shared" si="1596"/>
        <v>无</v>
      </c>
      <c r="I3236" s="1" t="str">
        <f>"201709-202107洛阳理工学院 经济与管理学院 酒店管理专业就读，全日制学历。
202107-至今在河南省新乡市封丘县待业。"</f>
        <v>201709-202107洛阳理工学院 经济与管理学院 酒店管理专业就读，全日制学历。
202107-至今在河南省新乡市封丘县待业。</v>
      </c>
    </row>
    <row r="3237" spans="1:9">
      <c r="A3237" s="1" t="str">
        <f>"411324200402254590"</f>
        <v>411324200402254590</v>
      </c>
      <c r="B3237" s="1" t="str">
        <f>"群众"</f>
        <v>群众</v>
      </c>
      <c r="C3237" s="1" t="str">
        <f t="shared" si="1597"/>
        <v>专科</v>
      </c>
      <c r="D3237" s="1" t="str">
        <f>"20250630"</f>
        <v>20250630</v>
      </c>
      <c r="E3237" s="1" t="str">
        <f>"大庆医学高等专科学校"</f>
        <v>大庆医学高等专科学校</v>
      </c>
      <c r="F3237" s="1" t="str">
        <f>"健康管理"</f>
        <v>健康管理</v>
      </c>
      <c r="G3237" s="1" t="str">
        <f>"河南省南阳市镇平县平安大道冠元名邸"</f>
        <v>河南省南阳市镇平县平安大道冠元名邸</v>
      </c>
      <c r="H3237" s="1" t="str">
        <f>"健康管理师（高级）"</f>
        <v>健康管理师（高级）</v>
      </c>
      <c r="I3237" s="1" t="str">
        <f>"202209-202506大庆医学高等专科学校临床医学系健康管理专业就读       全日制专科学历"</f>
        <v>202209-202506大庆医学高等专科学校临床医学系健康管理专业就读       全日制专科学历</v>
      </c>
    </row>
    <row r="3238" spans="1:9">
      <c r="A3238" s="1" t="str">
        <f>"411330200210292039"</f>
        <v>411330200210292039</v>
      </c>
      <c r="B3238" s="1" t="str">
        <f t="shared" si="1598"/>
        <v>中共党员</v>
      </c>
      <c r="C3238" s="1" t="str">
        <f t="shared" si="1597"/>
        <v>专科</v>
      </c>
      <c r="D3238" s="1" t="str">
        <f>"20240701"</f>
        <v>20240701</v>
      </c>
      <c r="E3238" s="1" t="str">
        <f>"济源职业技术学院"</f>
        <v>济源职业技术学院</v>
      </c>
      <c r="F3238" s="1" t="str">
        <f>"音乐表演"</f>
        <v>音乐表演</v>
      </c>
      <c r="G3238" s="1" t="str">
        <f>"南阳市西峡县五里桥镇世纪大道东段社会化汽车站对面羊肉汤店"</f>
        <v>南阳市西峡县五里桥镇世纪大道东段社会化汽车站对面羊肉汤店</v>
      </c>
      <c r="H3238" s="1" t="str">
        <f t="shared" ref="H3238:H3241" si="1599">"无"</f>
        <v>无</v>
      </c>
      <c r="I3238" s="1" t="str">
        <f>"202109-202407于济源职业技术学院教育艺术学院音乐表演专业就读，普通全日制学历；
202407-至今待业"</f>
        <v>202109-202407于济源职业技术学院教育艺术学院音乐表演专业就读，普通全日制学历；
202407-至今待业</v>
      </c>
    </row>
    <row r="3239" spans="1:9">
      <c r="A3239" s="1" t="str">
        <f>"412824199807212252"</f>
        <v>412824199807212252</v>
      </c>
      <c r="B3239" s="1" t="str">
        <f>"群众"</f>
        <v>群众</v>
      </c>
      <c r="C3239" s="1" t="str">
        <f t="shared" si="1597"/>
        <v>专科</v>
      </c>
      <c r="D3239" s="1" t="str">
        <f>"20230701"</f>
        <v>20230701</v>
      </c>
      <c r="E3239" s="1" t="str">
        <f>"陕西机电职业技术学院"</f>
        <v>陕西机电职业技术学院</v>
      </c>
      <c r="F3239" s="1" t="str">
        <f>"计算机网络技术"</f>
        <v>计算机网络技术</v>
      </c>
      <c r="G3239" s="1" t="str">
        <f>"河南省驻马店市西平县家和名苑"</f>
        <v>河南省驻马店市西平县家和名苑</v>
      </c>
      <c r="H3239" s="1" t="str">
        <f t="shared" si="1599"/>
        <v>无</v>
      </c>
      <c r="I3239" s="1" t="str">
        <f>"201809-202307在陕西机电职业技术学院计算机网络技术专业就读
201909-202109在陕西宝鸡入伍
202308-至今待业"</f>
        <v>201809-202307在陕西机电职业技术学院计算机网络技术专业就读
201909-202109在陕西宝鸡入伍
202308-至今待业</v>
      </c>
    </row>
    <row r="3240" spans="1:9">
      <c r="A3240" s="1" t="str">
        <f>"420621200105108034"</f>
        <v>420621200105108034</v>
      </c>
      <c r="B3240" s="1" t="str">
        <f t="shared" ref="B3240:B3246" si="1600">"共青团员"</f>
        <v>共青团员</v>
      </c>
      <c r="C3240" s="1" t="str">
        <f t="shared" ref="C3240:C3250" si="1601">"本科"</f>
        <v>本科</v>
      </c>
      <c r="D3240" s="1" t="str">
        <f>"20240630"</f>
        <v>20240630</v>
      </c>
      <c r="E3240" s="1" t="str">
        <f>"湖北师范大学"</f>
        <v>湖北师范大学</v>
      </c>
      <c r="F3240" s="1" t="str">
        <f>"计算机科学与技术"</f>
        <v>计算机科学与技术</v>
      </c>
      <c r="G3240" s="1" t="str">
        <f>"湖北省襄阳市樊城区王寨街道施营社区邮电小区"</f>
        <v>湖北省襄阳市樊城区王寨街道施营社区邮电小区</v>
      </c>
      <c r="H3240" s="1" t="str">
        <f t="shared" si="1599"/>
        <v>无</v>
      </c>
      <c r="I3240" s="1" t="str">
        <f>"201909-202206 湖北工业职业技术学院 智能工程学院 计算机应技术专业就读 全日制。
202209-202406 湖北师范大学 计算机与信息工程学院 计算机科学与技术专业就读 全日制。"</f>
        <v>201909-202206 湖北工业职业技术学院 智能工程学院 计算机应技术专业就读 全日制。
202209-202406 湖北师范大学 计算机与信息工程学院 计算机科学与技术专业就读 全日制。</v>
      </c>
    </row>
    <row r="3241" spans="1:9">
      <c r="A3241" s="1" t="str">
        <f>"411324199609121167"</f>
        <v>411324199609121167</v>
      </c>
      <c r="B3241" s="1" t="str">
        <f>"中共党员"</f>
        <v>中共党员</v>
      </c>
      <c r="C3241" s="1" t="str">
        <f t="shared" si="1601"/>
        <v>本科</v>
      </c>
      <c r="D3241" s="1" t="str">
        <f>"20180622"</f>
        <v>20180622</v>
      </c>
      <c r="E3241" s="1" t="str">
        <f>"河南理工大学"</f>
        <v>河南理工大学</v>
      </c>
      <c r="F3241" s="1" t="str">
        <f>"环境工程"</f>
        <v>环境工程</v>
      </c>
      <c r="G3241" s="1" t="str">
        <f>"河南省内乡县赤眉镇"</f>
        <v>河南省内乡县赤眉镇</v>
      </c>
      <c r="H3241" s="1" t="str">
        <f t="shared" si="1599"/>
        <v>无</v>
      </c>
      <c r="I3241" s="1" t="str">
        <f>"201409-201806 河南理工学校
201807-至今牧原食品股份有限公司工作"</f>
        <v>201409-201806 河南理工学校
201807-至今牧原食品股份有限公司工作</v>
      </c>
    </row>
    <row r="3242" spans="1:9">
      <c r="A3242" s="1" t="str">
        <f>"341222199005026541"</f>
        <v>341222199005026541</v>
      </c>
      <c r="B3242" s="1" t="str">
        <f>"中共党员"</f>
        <v>中共党员</v>
      </c>
      <c r="C3242" s="1" t="str">
        <f>"硕士研究生"</f>
        <v>硕士研究生</v>
      </c>
      <c r="D3242" s="1" t="str">
        <f>"2017.06"</f>
        <v>2017.06</v>
      </c>
      <c r="E3242" s="1" t="str">
        <f>"长春工业大学"</f>
        <v>长春工业大学</v>
      </c>
      <c r="F3242" s="1" t="str">
        <f>"行政管理"</f>
        <v>行政管理</v>
      </c>
      <c r="G3242" s="1" t="str">
        <f>"福建省晋江市象峰小区9栋"</f>
        <v>福建省晋江市象峰小区9栋</v>
      </c>
      <c r="H3242" s="1" t="str">
        <f>"计算机二级、英语六级、普通话二甲"</f>
        <v>计算机二级、英语六级、普通话二甲</v>
      </c>
      <c r="I3242" s="1" t="str">
        <f>"201009-201406甘肃政法学院就读 管理学院行政管理专业 全日制本科学历
201407-201408安徽省太和县待业
201409-201706长春工业大学就读 管理学院行政管理专业 全日制研究生学历
201707-201708福建省晋江市待业
201709-202106就职于晋江市博思企业管理咨询有限公司
202107-至今福建省晋江市待业"</f>
        <v>201009-201406甘肃政法学院就读 管理学院行政管理专业 全日制本科学历
201407-201408安徽省太和县待业
201409-201706长春工业大学就读 管理学院行政管理专业 全日制研究生学历
201707-201708福建省晋江市待业
201709-202106就职于晋江市博思企业管理咨询有限公司
202107-至今福建省晋江市待业</v>
      </c>
    </row>
    <row r="3243" spans="1:9">
      <c r="A3243" s="1" t="str">
        <f>"411327199909144941"</f>
        <v>411327199909144941</v>
      </c>
      <c r="B3243" s="1" t="str">
        <f>"群众"</f>
        <v>群众</v>
      </c>
      <c r="C3243" s="1" t="str">
        <f>"专科"</f>
        <v>专科</v>
      </c>
      <c r="D3243" s="1" t="str">
        <f>"20220720"</f>
        <v>20220720</v>
      </c>
      <c r="E3243" s="1" t="str">
        <f>"国家开放大学"</f>
        <v>国家开放大学</v>
      </c>
      <c r="F3243" s="1" t="str">
        <f>"金融管理"</f>
        <v>金融管理</v>
      </c>
      <c r="G3243" s="1" t="str">
        <f>"河南省南阳市宛城区天泽苑"</f>
        <v>河南省南阳市宛城区天泽苑</v>
      </c>
      <c r="H3243" s="1" t="str">
        <f>" 临床医学检验技术（士）"</f>
        <v> 临床医学检验技术（士）</v>
      </c>
      <c r="I3243" s="1" t="str">
        <f>"201409-201706 南阳高等医学专科学校 临床医学检验技术专业就读，全日制；202003-202207国家开放大学金融管理专业就读，非全日制。
201805-202005在南阳市伟鸣物资有限公司就业。202006-202112在民生银行南阳分行就业。202201-至今在南阳卧龙瑞和医院就业。"</f>
        <v>201409-201706 南阳高等医学专科学校 临床医学检验技术专业就读，全日制；202003-202207国家开放大学金融管理专业就读，非全日制。
201805-202005在南阳市伟鸣物资有限公司就业。202006-202112在民生银行南阳分行就业。202201-至今在南阳卧龙瑞和医院就业。</v>
      </c>
    </row>
    <row r="3244" spans="1:9">
      <c r="A3244" s="1" t="str">
        <f>"411327199607054924"</f>
        <v>411327199607054924</v>
      </c>
      <c r="B3244" s="1" t="str">
        <f t="shared" si="1600"/>
        <v>共青团员</v>
      </c>
      <c r="C3244" s="1" t="str">
        <f t="shared" si="1601"/>
        <v>本科</v>
      </c>
      <c r="D3244" s="1" t="str">
        <f>"20190701"</f>
        <v>20190701</v>
      </c>
      <c r="E3244" s="1" t="str">
        <f>"福建工程学院"</f>
        <v>福建工程学院</v>
      </c>
      <c r="F3244" s="1" t="str">
        <f>"审计学"</f>
        <v>审计学</v>
      </c>
      <c r="G3244" s="1" t="str">
        <f>"河南省南阳市内乡县"</f>
        <v>河南省南阳市内乡县</v>
      </c>
      <c r="H3244" s="1" t="str">
        <f>"初级会计"</f>
        <v>初级会计</v>
      </c>
      <c r="I3244" s="1" t="str">
        <f>"201509—201907  福建工程学院就读
201907—202506  牧原股份就职"</f>
        <v>201509—201907  福建工程学院就读
201907—202506  牧原股份就职</v>
      </c>
    </row>
    <row r="3245" spans="1:9">
      <c r="A3245" s="1" t="str">
        <f>"41138120000914822X"</f>
        <v>41138120000914822X</v>
      </c>
      <c r="B3245" s="1" t="str">
        <f t="shared" si="1600"/>
        <v>共青团员</v>
      </c>
      <c r="C3245" s="1" t="str">
        <f t="shared" si="1601"/>
        <v>本科</v>
      </c>
      <c r="D3245" s="1" t="str">
        <f t="shared" ref="D3245:D3249" si="1602">"20250701"</f>
        <v>20250701</v>
      </c>
      <c r="E3245" s="1" t="str">
        <f>"内蒙古科技大学包头师范学院"</f>
        <v>内蒙古科技大学包头师范学院</v>
      </c>
      <c r="F3245" s="1" t="str">
        <f>"音乐表演"</f>
        <v>音乐表演</v>
      </c>
      <c r="G3245" s="1" t="str">
        <f>"19589036356"</f>
        <v>19589036356</v>
      </c>
      <c r="H3245" s="1" t="str">
        <f>"无 "</f>
        <v>无 </v>
      </c>
      <c r="I3245" s="1" t="str">
        <f>"202109-202507 内蒙古科技大学 音乐表演专业就读 全日制学历"</f>
        <v>202109-202507 内蒙古科技大学 音乐表演专业就读 全日制学历</v>
      </c>
    </row>
    <row r="3246" spans="1:9">
      <c r="A3246" s="1" t="str">
        <f>"411302200011040546"</f>
        <v>411302200011040546</v>
      </c>
      <c r="B3246" s="1" t="str">
        <f t="shared" si="1600"/>
        <v>共青团员</v>
      </c>
      <c r="C3246" s="1" t="str">
        <f t="shared" si="1601"/>
        <v>本科</v>
      </c>
      <c r="D3246" s="1" t="str">
        <f>"202207"</f>
        <v>202207</v>
      </c>
      <c r="E3246" s="1" t="str">
        <f>"河南牧业经济学院"</f>
        <v>河南牧业经济学院</v>
      </c>
      <c r="F3246" s="1" t="str">
        <f>"农业机械化及其自动化"</f>
        <v>农业机械化及其自动化</v>
      </c>
      <c r="G3246" s="1" t="str">
        <f>"河南省南阳市卧龙区中州西路裕冠小区1号楼2单元西"</f>
        <v>河南省南阳市卧龙区中州西路裕冠小区1号楼2单元西</v>
      </c>
      <c r="H3246" s="1" t="str">
        <f t="shared" ref="H3246:H3249" si="1603">"无"</f>
        <v>无</v>
      </c>
      <c r="I3246" s="1" t="str">
        <f>"201809-202207 河南牧业经济学院  农业机械化及其自动化专业就读 全日制学历"</f>
        <v>201809-202207 河南牧业经济学院  农业机械化及其自动化专业就读 全日制学历</v>
      </c>
    </row>
    <row r="3247" spans="1:9">
      <c r="A3247" s="1" t="str">
        <f>"41130319930422151X"</f>
        <v>41130319930422151X</v>
      </c>
      <c r="B3247" s="1" t="str">
        <f>"中共党员"</f>
        <v>中共党员</v>
      </c>
      <c r="C3247" s="1" t="str">
        <f t="shared" si="1601"/>
        <v>本科</v>
      </c>
      <c r="D3247" s="1" t="str">
        <f>"20160630"</f>
        <v>20160630</v>
      </c>
      <c r="E3247" s="1" t="str">
        <f>"广东技术师范学院"</f>
        <v>广东技术师范学院</v>
      </c>
      <c r="F3247" s="1" t="str">
        <f>"电气工程及其自动化"</f>
        <v>电气工程及其自动化</v>
      </c>
      <c r="G3247" s="1" t="str">
        <f>"河南省南阳市卧龙区车站南路1788号"</f>
        <v>河南省南阳市卧龙区车站南路1788号</v>
      </c>
      <c r="H3247" s="1" t="str">
        <f t="shared" si="1603"/>
        <v>无</v>
      </c>
      <c r="I3247" s="1" t="str">
        <f>"201209-201606  广东技术师范学院 自动化学院 电气工程及其自动化专业就读  全日制本科"</f>
        <v>201209-201606  广东技术师范学院 自动化学院 电气工程及其自动化专业就读  全日制本科</v>
      </c>
    </row>
    <row r="3248" spans="1:9">
      <c r="A3248" s="1" t="str">
        <f>"411327200409281566"</f>
        <v>411327200409281566</v>
      </c>
      <c r="B3248" s="1" t="str">
        <f t="shared" ref="B3248:B3250" si="1604">"共青团员"</f>
        <v>共青团员</v>
      </c>
      <c r="C3248" s="1" t="str">
        <f t="shared" si="1601"/>
        <v>本科</v>
      </c>
      <c r="D3248" s="1" t="str">
        <f t="shared" si="1602"/>
        <v>20250701</v>
      </c>
      <c r="E3248" s="1" t="str">
        <f>"伊犁师范大学"</f>
        <v>伊犁师范大学</v>
      </c>
      <c r="F3248" s="1" t="str">
        <f>"学前教育"</f>
        <v>学前教育</v>
      </c>
      <c r="G3248" s="1" t="str">
        <f>"河南省南阳市内乡县湍东镇东王营村"</f>
        <v>河南省南阳市内乡县湍东镇东王营村</v>
      </c>
      <c r="H3248" s="1" t="str">
        <f t="shared" si="1603"/>
        <v>无</v>
      </c>
      <c r="I3248" s="1" t="str">
        <f>"202109-202507 伊犁师范大学教育科学学院学前教育专业 就读 全日制学历"</f>
        <v>202109-202507 伊犁师范大学教育科学学院学前教育专业 就读 全日制学历</v>
      </c>
    </row>
    <row r="3249" spans="1:9">
      <c r="A3249" s="1" t="str">
        <f>"411330200210122064"</f>
        <v>411330200210122064</v>
      </c>
      <c r="B3249" s="1" t="str">
        <f t="shared" si="1604"/>
        <v>共青团员</v>
      </c>
      <c r="C3249" s="1" t="str">
        <f t="shared" si="1601"/>
        <v>本科</v>
      </c>
      <c r="D3249" s="1" t="str">
        <f t="shared" si="1602"/>
        <v>20250701</v>
      </c>
      <c r="E3249" s="1" t="str">
        <f>"河南开封科技传媒学院"</f>
        <v>河南开封科技传媒学院</v>
      </c>
      <c r="F3249" s="1" t="str">
        <f>"数学与应用数学"</f>
        <v>数学与应用数学</v>
      </c>
      <c r="G3249" s="1" t="str">
        <f>"河南省南阳市西峡县五里桥镇葛营村学东"</f>
        <v>河南省南阳市西峡县五里桥镇葛营村学东</v>
      </c>
      <c r="H3249" s="1" t="str">
        <f t="shared" si="1603"/>
        <v>无</v>
      </c>
      <c r="I3249" s="1" t="str">
        <f>"202109-202507 河南开封科技传媒学院 就读，是全日制学历。"</f>
        <v>202109-202507 河南开封科技传媒学院 就读，是全日制学历。</v>
      </c>
    </row>
    <row r="3250" spans="1:9">
      <c r="A3250" s="1" t="str">
        <f>"411327200401200020"</f>
        <v>411327200401200020</v>
      </c>
      <c r="B3250" s="1" t="str">
        <f t="shared" si="1604"/>
        <v>共青团员</v>
      </c>
      <c r="C3250" s="1" t="str">
        <f t="shared" si="1601"/>
        <v>本科</v>
      </c>
      <c r="D3250" s="1" t="str">
        <f>"20250705"</f>
        <v>20250705</v>
      </c>
      <c r="E3250" s="1" t="str">
        <f>"东北财经大学"</f>
        <v>东北财经大学</v>
      </c>
      <c r="F3250" s="1" t="str">
        <f>"大数据管理与应用"</f>
        <v>大数据管理与应用</v>
      </c>
      <c r="G3250" s="1" t="str">
        <f>"河南省南阳市内乡县新民路24巷"</f>
        <v>河南省南阳市内乡县新民路24巷</v>
      </c>
      <c r="H3250" s="1" t="str">
        <f>"初级会计、计算机二级"</f>
        <v>初级会计、计算机二级</v>
      </c>
      <c r="I3250" s="1" t="str">
        <f>"202109-202507 东北财经大学 大数据管理与应用专业 就读 全日制"</f>
        <v>202109-202507 东北财经大学 大数据管理与应用专业 就读 全日制</v>
      </c>
    </row>
    <row r="3251" spans="1:9">
      <c r="A3251" s="1" t="str">
        <f>"410521200011261532"</f>
        <v>410521200011261532</v>
      </c>
      <c r="B3251" s="1" t="str">
        <f>"中共党员"</f>
        <v>中共党员</v>
      </c>
      <c r="C3251" s="1" t="str">
        <f>"专科"</f>
        <v>专科</v>
      </c>
      <c r="D3251" s="1" t="str">
        <f>"20230701"</f>
        <v>20230701</v>
      </c>
      <c r="E3251" s="1" t="str">
        <f>"郑州工业应用技术学院"</f>
        <v>郑州工业应用技术学院</v>
      </c>
      <c r="F3251" s="1" t="str">
        <f>"计算机网络技术"</f>
        <v>计算机网络技术</v>
      </c>
      <c r="G3251" s="1" t="str">
        <f>"河南省安阳市林州市合涧镇三阳太平庄自然村90号"</f>
        <v>河南省安阳市林州市合涧镇三阳太平庄自然村90号</v>
      </c>
      <c r="H3251" s="1" t="str">
        <f t="shared" ref="H3251:H3256" si="1605">"无"</f>
        <v>无</v>
      </c>
      <c r="I3251" s="1" t="str">
        <f>"202009-202307郑州工业应用技术学院，信息工程学院，计算机网络技术专业就读，是全日制学历
202307-至今，在河南省安阳市林州市待业、学习"</f>
        <v>202009-202307郑州工业应用技术学院，信息工程学院，计算机网络技术专业就读，是全日制学历
202307-至今，在河南省安阳市林州市待业、学习</v>
      </c>
    </row>
    <row r="3252" spans="1:9">
      <c r="A3252" s="1" t="str">
        <f>"411024199908228531"</f>
        <v>411024199908228531</v>
      </c>
      <c r="B3252" s="1" t="str">
        <f t="shared" ref="B3252:B3254" si="1606">"共青团员"</f>
        <v>共青团员</v>
      </c>
      <c r="C3252" s="1" t="str">
        <f t="shared" ref="C3252:C3256" si="1607">"本科"</f>
        <v>本科</v>
      </c>
      <c r="D3252" s="1" t="str">
        <f>"20230630"</f>
        <v>20230630</v>
      </c>
      <c r="E3252" s="1" t="str">
        <f>"郑州轻工业大学"</f>
        <v>郑州轻工业大学</v>
      </c>
      <c r="F3252" s="1" t="str">
        <f>"软件工程"</f>
        <v>软件工程</v>
      </c>
      <c r="G3252" s="1" t="str">
        <f>"河南省许昌市鄢陵县望田镇赵岗村"</f>
        <v>河南省许昌市鄢陵县望田镇赵岗村</v>
      </c>
      <c r="H3252" s="1" t="str">
        <f t="shared" si="1605"/>
        <v>无</v>
      </c>
      <c r="I3252" s="1" t="str">
        <f>"201909-202306，就读于郑州轻工业大学软件学院软件工程专业，全日制学历；
202306-202308，河南省郑州市待业。
202308-202507，参加大学生志愿服务西部计划，服务于新疆维吾尔自治区交通运输综合行政执法局克拉玛依执法支队乌苏执法大队。"</f>
        <v>201909-202306，就读于郑州轻工业大学软件学院软件工程专业，全日制学历；
202306-202308，河南省郑州市待业。
202308-202507，参加大学生志愿服务西部计划，服务于新疆维吾尔自治区交通运输综合行政执法局克拉玛依执法支队乌苏执法大队。</v>
      </c>
    </row>
    <row r="3253" spans="1:9">
      <c r="A3253" s="1" t="str">
        <f>"610430200105014610"</f>
        <v>610430200105014610</v>
      </c>
      <c r="B3253" s="1" t="str">
        <f t="shared" si="1606"/>
        <v>共青团员</v>
      </c>
      <c r="C3253" s="1" t="str">
        <f t="shared" si="1607"/>
        <v>本科</v>
      </c>
      <c r="D3253" s="1" t="str">
        <f>"20240620"</f>
        <v>20240620</v>
      </c>
      <c r="E3253" s="1" t="str">
        <f>"洛阳理工学院"</f>
        <v>洛阳理工学院</v>
      </c>
      <c r="F3253" s="1" t="str">
        <f>"酒店管理"</f>
        <v>酒店管理</v>
      </c>
      <c r="G3253" s="1" t="str">
        <f>"陕西省咸阳市秦都区渭阳西路城投时代小区"</f>
        <v>陕西省咸阳市秦都区渭阳西路城投时代小区</v>
      </c>
      <c r="H3253" s="1" t="str">
        <f t="shared" si="1605"/>
        <v>无</v>
      </c>
      <c r="I3253" s="1" t="str">
        <f>"202009-202406 洛阳理工学院经济管理学院酒店管理专业就读（全日制学历）202406-至今在陕西咸阳秦都区待业"</f>
        <v>202009-202406 洛阳理工学院经济管理学院酒店管理专业就读（全日制学历）202406-至今在陕西咸阳秦都区待业</v>
      </c>
    </row>
    <row r="3254" spans="1:9">
      <c r="A3254" s="1" t="str">
        <f>"411330200109151522"</f>
        <v>411330200109151522</v>
      </c>
      <c r="B3254" s="1" t="str">
        <f t="shared" si="1606"/>
        <v>共青团员</v>
      </c>
      <c r="C3254" s="1" t="str">
        <f t="shared" si="1607"/>
        <v>本科</v>
      </c>
      <c r="D3254" s="1" t="str">
        <f>"20240625"</f>
        <v>20240625</v>
      </c>
      <c r="E3254" s="1" t="str">
        <f>"河南财政金融学院"</f>
        <v>河南财政金融学院</v>
      </c>
      <c r="F3254" s="1" t="str">
        <f>"会展经济与管理"</f>
        <v>会展经济与管理</v>
      </c>
      <c r="G3254" s="1" t="str">
        <f>"河南省南阳市西峡县莲花街道前岗128号"</f>
        <v>河南省南阳市西峡县莲花街道前岗128号</v>
      </c>
      <c r="H3254" s="1" t="str">
        <f t="shared" si="1605"/>
        <v>无</v>
      </c>
      <c r="I3254" s="1" t="str">
        <f>"202009-202406在河南财政金融学院旅游管理学院会展经济与管理专业就读
202406-至今在家待业"</f>
        <v>202009-202406在河南财政金融学院旅游管理学院会展经济与管理专业就读
202406-至今在家待业</v>
      </c>
    </row>
    <row r="3255" spans="1:9">
      <c r="A3255" s="1" t="str">
        <f>"411327200107153315"</f>
        <v>411327200107153315</v>
      </c>
      <c r="B3255" s="1" t="str">
        <f t="shared" ref="B3255:B3259" si="1608">"群众"</f>
        <v>群众</v>
      </c>
      <c r="C3255" s="1" t="str">
        <f t="shared" si="1607"/>
        <v>本科</v>
      </c>
      <c r="D3255" s="1" t="str">
        <f>"20250612"</f>
        <v>20250612</v>
      </c>
      <c r="E3255" s="1" t="str">
        <f>"黄河科技学院"</f>
        <v>黄河科技学院</v>
      </c>
      <c r="F3255" s="1" t="str">
        <f>"学前教育"</f>
        <v>学前教育</v>
      </c>
      <c r="G3255" s="1" t="str">
        <f>"河南省南阳市内乡县七里坪乡七潭村东庄3号"</f>
        <v>河南省南阳市内乡县七里坪乡七潭村东庄3号</v>
      </c>
      <c r="H3255" s="1" t="str">
        <f t="shared" si="1605"/>
        <v>无</v>
      </c>
      <c r="I3255" s="1" t="str">
        <f>"202009-202306 安阳幼儿师范高等专科学校 小学教育 就读 全日制
202309-202506 黄河科技学院 学前教育 就读 全日制"</f>
        <v>202009-202306 安阳幼儿师范高等专科学校 小学教育 就读 全日制
202309-202506 黄河科技学院 学前教育 就读 全日制</v>
      </c>
    </row>
    <row r="3256" spans="1:9">
      <c r="A3256" s="1" t="str">
        <f>"411024200001142575"</f>
        <v>411024200001142575</v>
      </c>
      <c r="B3256" s="1" t="str">
        <f t="shared" ref="B3256:B3260" si="1609">"共青团员"</f>
        <v>共青团员</v>
      </c>
      <c r="C3256" s="1" t="str">
        <f t="shared" si="1607"/>
        <v>本科</v>
      </c>
      <c r="D3256" s="1" t="str">
        <f>"20230701"</f>
        <v>20230701</v>
      </c>
      <c r="E3256" s="1" t="str">
        <f>"郑州科技学院"</f>
        <v>郑州科技学院</v>
      </c>
      <c r="F3256" s="1" t="str">
        <f>"土木工程"</f>
        <v>土木工程</v>
      </c>
      <c r="G3256" s="1" t="str">
        <f>"河南省许昌市鄢陵县南坞乡"</f>
        <v>河南省许昌市鄢陵县南坞乡</v>
      </c>
      <c r="H3256" s="1" t="str">
        <f t="shared" si="1605"/>
        <v>无</v>
      </c>
      <c r="I3256" s="1" t="str">
        <f>"201909-202307 郑州科技学院 土木工程
202308-202504 中国化学工程第十六建设有限公司 土建技术员
202505-至今 待业"</f>
        <v>201909-202307 郑州科技学院 土木工程
202308-202504 中国化学工程第十六建设有限公司 土建技术员
202505-至今 待业</v>
      </c>
    </row>
    <row r="3257" spans="1:9">
      <c r="A3257" s="1" t="str">
        <f>"41132719990619007X"</f>
        <v>41132719990619007X</v>
      </c>
      <c r="B3257" s="1" t="str">
        <f t="shared" si="1608"/>
        <v>群众</v>
      </c>
      <c r="C3257" s="1" t="str">
        <f>"专科"</f>
        <v>专科</v>
      </c>
      <c r="D3257" s="1" t="str">
        <f>"20190701"</f>
        <v>20190701</v>
      </c>
      <c r="E3257" s="1" t="str">
        <f>"新乡医学院三全学院"</f>
        <v>新乡医学院三全学院</v>
      </c>
      <c r="F3257" s="1" t="str">
        <f>"医学检验技术"</f>
        <v>医学检验技术</v>
      </c>
      <c r="G3257" s="1" t="str">
        <f>"河南省内乡县城关镇"</f>
        <v>河南省内乡县城关镇</v>
      </c>
      <c r="H3257" s="1" t="str">
        <f>"初级检验师"</f>
        <v>初级检验师</v>
      </c>
      <c r="I3257" s="1" t="str">
        <f>"201609-201907于新乡医学院三全学院医学检验技术专业就读，为全日制。201912至今于内乡县人民医院检验科工作。"</f>
        <v>201609-201907于新乡医学院三全学院医学检验技术专业就读，为全日制。201912至今于内乡县人民医院检验科工作。</v>
      </c>
    </row>
    <row r="3258" spans="1:9">
      <c r="A3258" s="1" t="str">
        <f>"410521200003021512"</f>
        <v>410521200003021512</v>
      </c>
      <c r="B3258" s="1" t="str">
        <f t="shared" si="1609"/>
        <v>共青团员</v>
      </c>
      <c r="C3258" s="1" t="str">
        <f t="shared" ref="C3258:C3267" si="1610">"本科"</f>
        <v>本科</v>
      </c>
      <c r="D3258" s="1" t="str">
        <f>"20240605"</f>
        <v>20240605</v>
      </c>
      <c r="E3258" s="1" t="str">
        <f>"安阳学院"</f>
        <v>安阳学院</v>
      </c>
      <c r="F3258" s="1" t="str">
        <f>"音乐学"</f>
        <v>音乐学</v>
      </c>
      <c r="G3258" s="1" t="str">
        <f>"河南省林州市郭家元村"</f>
        <v>河南省林州市郭家元村</v>
      </c>
      <c r="H3258" s="1" t="str">
        <f t="shared" ref="H3258:H3262" si="1611">"无"</f>
        <v>无</v>
      </c>
      <c r="I3258" s="1" t="str">
        <f>"20200901-20240605就读于安阳学院，学习音乐学专业，全日制本科。大学期间担任学生会干事，合唱团部长，参与安阳市庆祝中国共产党第100周年音乐大会，多次参与校内外活动。与老师和同学关系融洽，学习成绩优良。"</f>
        <v>20200901-20240605就读于安阳学院，学习音乐学专业，全日制本科。大学期间担任学生会干事，合唱团部长，参与安阳市庆祝中国共产党第100周年音乐大会，多次参与校内外活动。与老师和同学关系融洽，学习成绩优良。</v>
      </c>
    </row>
    <row r="3259" spans="1:9">
      <c r="A3259" s="1" t="str">
        <f>"411123199910278027"</f>
        <v>411123199910278027</v>
      </c>
      <c r="B3259" s="1" t="str">
        <f t="shared" si="1608"/>
        <v>群众</v>
      </c>
      <c r="C3259" s="1" t="str">
        <f t="shared" si="1610"/>
        <v>本科</v>
      </c>
      <c r="D3259" s="1" t="str">
        <f>"20220701"</f>
        <v>20220701</v>
      </c>
      <c r="E3259" s="1" t="str">
        <f>"南阳师范学院"</f>
        <v>南阳师范学院</v>
      </c>
      <c r="F3259" s="1" t="str">
        <f>"应用心理学"</f>
        <v>应用心理学</v>
      </c>
      <c r="G3259" s="1" t="str">
        <f>"河南省漯河市郾城区中原路龙江新苑"</f>
        <v>河南省漯河市郾城区中原路龙江新苑</v>
      </c>
      <c r="H3259" s="1" t="str">
        <f t="shared" si="1611"/>
        <v>无</v>
      </c>
      <c r="I3259" s="1" t="str">
        <f>"201709-202006洛阳理工学院心理咨询专业就读  全日制
202009-202207南阳师范学院应用心理专业就读  全日制"</f>
        <v>201709-202006洛阳理工学院心理咨询专业就读  全日制
202009-202207南阳师范学院应用心理专业就读  全日制</v>
      </c>
    </row>
    <row r="3260" spans="1:9">
      <c r="A3260" s="1" t="str">
        <f>"411327199605190025"</f>
        <v>411327199605190025</v>
      </c>
      <c r="B3260" s="1" t="str">
        <f t="shared" si="1609"/>
        <v>共青团员</v>
      </c>
      <c r="C3260" s="1" t="str">
        <f t="shared" si="1610"/>
        <v>本科</v>
      </c>
      <c r="D3260" s="1" t="str">
        <f>"2019-07-01"</f>
        <v>2019-07-01</v>
      </c>
      <c r="E3260" s="1" t="str">
        <f>"河南师范大学新联学院"</f>
        <v>河南师范大学新联学院</v>
      </c>
      <c r="F3260" s="1" t="str">
        <f>"工业设计"</f>
        <v>工业设计</v>
      </c>
      <c r="G3260" s="1" t="str">
        <f>"河南省内乡县大桥乡河南村中西组"</f>
        <v>河南省内乡县大桥乡河南村中西组</v>
      </c>
      <c r="H3260" s="1" t="str">
        <f t="shared" si="1611"/>
        <v>无</v>
      </c>
      <c r="I3260" s="1" t="str">
        <f>"201509-201906 河南师范大学新联学院机械系工业设计专业就读，是全日制学历。
201907-201912在家备考研究生考试。
202001-202207在菊潭学校任职。
202208-202308在宏达集团上班。
202309-202507在内乡郦都学校任职。"</f>
        <v>201509-201906 河南师范大学新联学院机械系工业设计专业就读，是全日制学历。
201907-201912在家备考研究生考试。
202001-202207在菊潭学校任职。
202208-202308在宏达集团上班。
202309-202507在内乡郦都学校任职。</v>
      </c>
    </row>
    <row r="3261" spans="1:9">
      <c r="A3261" s="1" t="str">
        <f>"41132720030115002X"</f>
        <v>41132720030115002X</v>
      </c>
      <c r="B3261" s="1" t="str">
        <f t="shared" ref="B3261:B3264" si="1612">"群众"</f>
        <v>群众</v>
      </c>
      <c r="C3261" s="1" t="str">
        <f t="shared" si="1610"/>
        <v>本科</v>
      </c>
      <c r="D3261" s="1" t="str">
        <f>"20250610"</f>
        <v>20250610</v>
      </c>
      <c r="E3261" s="1" t="str">
        <f>"中原科技学院"</f>
        <v>中原科技学院</v>
      </c>
      <c r="F3261" s="1" t="str">
        <f>"汉语言文学（师范）"</f>
        <v>汉语言文学（师范）</v>
      </c>
      <c r="G3261" s="1" t="str">
        <f>"河南省南阳市内乡县城关镇县衙路508号"</f>
        <v>河南省南阳市内乡县城关镇县衙路508号</v>
      </c>
      <c r="H3261" s="1" t="str">
        <f t="shared" si="1611"/>
        <v>无</v>
      </c>
      <c r="I3261" s="1" t="str">
        <f>"202109-202506 中原科技学院文学与传媒学院汉语言文学就读"</f>
        <v>202109-202506 中原科技学院文学与传媒学院汉语言文学就读</v>
      </c>
    </row>
    <row r="3262" spans="1:9">
      <c r="A3262" s="1" t="str">
        <f>"411327200004201513"</f>
        <v>411327200004201513</v>
      </c>
      <c r="B3262" s="1" t="str">
        <f t="shared" ref="B3262:B3266" si="1613">"共青团员"</f>
        <v>共青团员</v>
      </c>
      <c r="C3262" s="1" t="str">
        <f t="shared" si="1610"/>
        <v>本科</v>
      </c>
      <c r="D3262" s="1" t="str">
        <f>"20230615"</f>
        <v>20230615</v>
      </c>
      <c r="E3262" s="1" t="str">
        <f>"黄河科技学院"</f>
        <v>黄河科技学院</v>
      </c>
      <c r="F3262" s="1" t="str">
        <f>"工程管理"</f>
        <v>工程管理</v>
      </c>
      <c r="G3262" s="1" t="str">
        <f>"河南省南阳市内乡县湍东镇屈庄村"</f>
        <v>河南省南阳市内乡县湍东镇屈庄村</v>
      </c>
      <c r="H3262" s="1" t="str">
        <f t="shared" si="1611"/>
        <v>无</v>
      </c>
      <c r="I3262" s="1" t="str">
        <f>"201809-202106河南财政金融学院工程经济学院建设工程管理专业就读 全日制
202109-202306黄河科技学院工学部工程管理专业就读 全日制
202306-至今河南省南阳市内乡县湍东镇屈庄村待业"</f>
        <v>201809-202106河南财政金融学院工程经济学院建设工程管理专业就读 全日制
202109-202306黄河科技学院工学部工程管理专业就读 全日制
202306-至今河南省南阳市内乡县湍东镇屈庄村待业</v>
      </c>
    </row>
    <row r="3263" spans="1:9">
      <c r="A3263" s="1" t="str">
        <f>"411381199906124214"</f>
        <v>411381199906124214</v>
      </c>
      <c r="B3263" s="1" t="str">
        <f t="shared" si="1612"/>
        <v>群众</v>
      </c>
      <c r="C3263" s="1" t="str">
        <f t="shared" si="1610"/>
        <v>本科</v>
      </c>
      <c r="D3263" s="1" t="str">
        <f>"20210607"</f>
        <v>20210607</v>
      </c>
      <c r="E3263" s="1" t="str">
        <f>"湖南文理学院"</f>
        <v>湖南文理学院</v>
      </c>
      <c r="F3263" s="1" t="str">
        <f>"机械电子工程"</f>
        <v>机械电子工程</v>
      </c>
      <c r="G3263" s="1" t="str">
        <f>"内乡县毓秀园"</f>
        <v>内乡县毓秀园</v>
      </c>
      <c r="H3263" s="1" t="str">
        <f>"助理级"</f>
        <v>助理级</v>
      </c>
      <c r="I3263" s="1" t="str">
        <f>"201709-202106湖南文理学院机械工程学院机械电子工程专业就读，是全日制学历；202106-至今于河南省南阳市内乡县菊潭高级中学任职"</f>
        <v>201709-202106湖南文理学院机械工程学院机械电子工程专业就读，是全日制学历；202106-至今于河南省南阳市内乡县菊潭高级中学任职</v>
      </c>
    </row>
    <row r="3264" spans="1:9">
      <c r="A3264" s="1" t="str">
        <f>"411323200107046338"</f>
        <v>411323200107046338</v>
      </c>
      <c r="B3264" s="1" t="str">
        <f t="shared" si="1612"/>
        <v>群众</v>
      </c>
      <c r="C3264" s="1" t="str">
        <f t="shared" si="1610"/>
        <v>本科</v>
      </c>
      <c r="D3264" s="1" t="str">
        <f t="shared" ref="D3264:D3268" si="1614">"20240701"</f>
        <v>20240701</v>
      </c>
      <c r="E3264" s="1" t="str">
        <f>"平顶山学院"</f>
        <v>平顶山学院</v>
      </c>
      <c r="F3264" s="1" t="str">
        <f>"行政管理"</f>
        <v>行政管理</v>
      </c>
      <c r="G3264" s="1" t="str">
        <f>"河南省南阳市淅川县"</f>
        <v>河南省南阳市淅川县</v>
      </c>
      <c r="H3264" s="1" t="str">
        <f t="shared" ref="H3264:H3267" si="1615">"无"</f>
        <v>无</v>
      </c>
      <c r="I3264" s="1" t="str">
        <f>"202009-202407 河南省平顶山学院政法学院行政管理专业就读
202407至今 待业"</f>
        <v>202009-202407 河南省平顶山学院政法学院行政管理专业就读
202407至今 待业</v>
      </c>
    </row>
    <row r="3265" spans="1:9">
      <c r="A3265" s="1" t="str">
        <f>"411327200012240010"</f>
        <v>411327200012240010</v>
      </c>
      <c r="B3265" s="1" t="str">
        <f t="shared" si="1613"/>
        <v>共青团员</v>
      </c>
      <c r="C3265" s="1" t="str">
        <f t="shared" si="1610"/>
        <v>本科</v>
      </c>
      <c r="D3265" s="1" t="str">
        <f>"20250630"</f>
        <v>20250630</v>
      </c>
      <c r="E3265" s="1" t="str">
        <f>"新乡学院"</f>
        <v>新乡学院</v>
      </c>
      <c r="F3265" s="1" t="str">
        <f>"小学教育"</f>
        <v>小学教育</v>
      </c>
      <c r="G3265" s="1" t="str">
        <f>"河南省南阳市内乡县郦都大道西十二巷78号"</f>
        <v>河南省南阳市内乡县郦都大道西十二巷78号</v>
      </c>
      <c r="H3265" s="1" t="str">
        <f t="shared" si="1615"/>
        <v>无</v>
      </c>
      <c r="I3265" s="1" t="str">
        <f>"202309-202507 新乡学院 教育科学学院 小学教育专业就读 全日制本科学历
202209-202309 待业
202009-202209 中国人民武装警察部队荆州支队 执勤三大队 潜江中队 战士 
201609-202007 南阳师范学院 教育科学学院 学前教育专业就读 全日制专科
"</f>
        <v>202309-202507 新乡学院 教育科学学院 小学教育专业就读 全日制本科学历
202209-202309 待业
202009-202209 中国人民武装警察部队荆州支队 执勤三大队 潜江中队 战士 
201609-202007 南阳师范学院 教育科学学院 学前教育专业就读 全日制专科
</v>
      </c>
    </row>
    <row r="3266" spans="1:9">
      <c r="A3266" s="1" t="str">
        <f>"142733200205060029"</f>
        <v>142733200205060029</v>
      </c>
      <c r="B3266" s="1" t="str">
        <f t="shared" si="1613"/>
        <v>共青团员</v>
      </c>
      <c r="C3266" s="1" t="str">
        <f t="shared" si="1610"/>
        <v>本科</v>
      </c>
      <c r="D3266" s="1" t="str">
        <f t="shared" si="1614"/>
        <v>20240701</v>
      </c>
      <c r="E3266" s="1" t="str">
        <f>"山西财经大学"</f>
        <v>山西财经大学</v>
      </c>
      <c r="F3266" s="1" t="str">
        <f>"经济学"</f>
        <v>经济学</v>
      </c>
      <c r="G3266" s="1" t="str">
        <f>"山西省运城市垣曲县自来水公司3单元401"</f>
        <v>山西省运城市垣曲县自来水公司3单元401</v>
      </c>
      <c r="H3266" s="1" t="str">
        <f t="shared" si="1615"/>
        <v>无</v>
      </c>
      <c r="I3266" s="1" t="str">
        <f>"202010-202407 山西财经大学经济学院经济学专业就读 全日制"</f>
        <v>202010-202407 山西财经大学经济学院经济学专业就读 全日制</v>
      </c>
    </row>
    <row r="3267" spans="1:9">
      <c r="A3267" s="1" t="str">
        <f>"42062419930618001X"</f>
        <v>42062419930618001X</v>
      </c>
      <c r="B3267" s="1" t="str">
        <f t="shared" ref="B3267:B3271" si="1616">"群众"</f>
        <v>群众</v>
      </c>
      <c r="C3267" s="1" t="str">
        <f t="shared" si="1610"/>
        <v>本科</v>
      </c>
      <c r="D3267" s="1" t="str">
        <f>"20160630"</f>
        <v>20160630</v>
      </c>
      <c r="E3267" s="1" t="str">
        <f>"武昌工学院"</f>
        <v>武昌工学院</v>
      </c>
      <c r="F3267" s="1" t="str">
        <f>"电气工程及其自动化"</f>
        <v>电气工程及其自动化</v>
      </c>
      <c r="G3267" s="1" t="str">
        <f>"襄阳市南漳县城关镇水镜路电力公司"</f>
        <v>襄阳市南漳县城关镇水镜路电力公司</v>
      </c>
      <c r="H3267" s="1" t="str">
        <f t="shared" si="1615"/>
        <v>无</v>
      </c>
      <c r="I3267" s="1" t="str">
        <f>"201609-201606  武昌工学院  电气工程及其自动化专业 全日制本科
201606-201801  武汉市元大科技有限公司
201801-201910  襄阳市东风物流公司
201910-202007  疫情居家隔离
202007-202110  湖北银雁科技公司
202110-202211  软通动力
202211-至今       在老家待业"</f>
        <v>201609-201606  武昌工学院  电气工程及其自动化专业 全日制本科
201606-201801  武汉市元大科技有限公司
201801-201910  襄阳市东风物流公司
201910-202007  疫情居家隔离
202007-202110  湖北银雁科技公司
202110-202211  软通动力
202211-至今       在老家待业</v>
      </c>
    </row>
    <row r="3268" spans="1:9">
      <c r="A3268" s="1" t="str">
        <f>"411327199703103327"</f>
        <v>411327199703103327</v>
      </c>
      <c r="B3268" s="1" t="str">
        <f t="shared" si="1616"/>
        <v>群众</v>
      </c>
      <c r="C3268" s="1" t="str">
        <f>"专科"</f>
        <v>专科</v>
      </c>
      <c r="D3268" s="1" t="str">
        <f t="shared" si="1614"/>
        <v>20240701</v>
      </c>
      <c r="E3268" s="1" t="str">
        <f>"黄河交通学院"</f>
        <v>黄河交通学院</v>
      </c>
      <c r="F3268" s="1" t="str">
        <f>"大数据与会计"</f>
        <v>大数据与会计</v>
      </c>
      <c r="G3268" s="1" t="str">
        <f>"河南省南阳市内乡县安泰荣盛公馆"</f>
        <v>河南省南阳市内乡县安泰荣盛公馆</v>
      </c>
      <c r="H3268" s="1" t="str">
        <f>"初级会计证"</f>
        <v>初级会计证</v>
      </c>
      <c r="I3268" s="1" t="str">
        <f>"202203-2024-7黄河交通学院就读，非全日制学历；202205-2024-5在会计师事务所工作，202501-至今在河南省贡农科技实业有限公司工作"</f>
        <v>202203-2024-7黄河交通学院就读，非全日制学历；202205-2024-5在会计师事务所工作，202501-至今在河南省贡农科技实业有限公司工作</v>
      </c>
    </row>
    <row r="3269" spans="1:9">
      <c r="A3269" s="1" t="str">
        <f>"41132720011117002X"</f>
        <v>41132720011117002X</v>
      </c>
      <c r="B3269" s="1" t="str">
        <f>"共青团员"</f>
        <v>共青团员</v>
      </c>
      <c r="C3269" s="1" t="str">
        <f t="shared" ref="C3269:C3276" si="1617">"本科"</f>
        <v>本科</v>
      </c>
      <c r="D3269" s="1" t="str">
        <f>"20240622"</f>
        <v>20240622</v>
      </c>
      <c r="E3269" s="1" t="str">
        <f>"新乡医学院三全学院"</f>
        <v>新乡医学院三全学院</v>
      </c>
      <c r="F3269" s="1" t="str">
        <f>"口腔医学技术"</f>
        <v>口腔医学技术</v>
      </c>
      <c r="G3269" s="1" t="str">
        <f>"河南省南阳市内乡县渚阳大街124号"</f>
        <v>河南省南阳市内乡县渚阳大街124号</v>
      </c>
      <c r="H3269" s="1" t="str">
        <f t="shared" ref="H3269:H3282" si="1618">"无"</f>
        <v>无</v>
      </c>
      <c r="I3269" s="1" t="str">
        <f>"201909-202206新乡医学院三全学院就读 仁智书院口腔医学技术全日制
202209-202406新乡医学院三全学院就读 仁智书院口腔医学技术全日制
"</f>
        <v>201909-202206新乡医学院三全学院就读 仁智书院口腔医学技术全日制
202209-202406新乡医学院三全学院就读 仁智书院口腔医学技术全日制
</v>
      </c>
    </row>
    <row r="3270" spans="1:9">
      <c r="A3270" s="1" t="str">
        <f>"411322199103125715"</f>
        <v>411322199103125715</v>
      </c>
      <c r="B3270" s="1" t="str">
        <f>"中共党员"</f>
        <v>中共党员</v>
      </c>
      <c r="C3270" s="1" t="str">
        <f t="shared" si="1617"/>
        <v>本科</v>
      </c>
      <c r="D3270" s="1" t="str">
        <f>"20220630"</f>
        <v>20220630</v>
      </c>
      <c r="E3270" s="1" t="str">
        <f>"河南警察学院"</f>
        <v>河南警察学院</v>
      </c>
      <c r="F3270" s="1" t="str">
        <f>"治安学"</f>
        <v>治安学</v>
      </c>
      <c r="G3270" s="1" t="str">
        <f>"河南省南阳市方城县凯旋城华府"</f>
        <v>河南省南阳市方城县凯旋城华府</v>
      </c>
      <c r="H3270" s="1" t="str">
        <f t="shared" si="1618"/>
        <v>无</v>
      </c>
      <c r="I3270" s="1" t="str">
        <f>"201309-201607  河南警察学院法律事务专业  全日制
201607-201901  江苏省南通市太平洋海洋重工  统计员
201901-至今       河南省南阳市方城县公安局
备注:2016-2022期间参加高等教育自学考试，取得本科学历"</f>
        <v>201309-201607  河南警察学院法律事务专业  全日制
201607-201901  江苏省南通市太平洋海洋重工  统计员
201901-至今       河南省南阳市方城县公安局
备注:2016-2022期间参加高等教育自学考试，取得本科学历</v>
      </c>
    </row>
    <row r="3271" spans="1:9">
      <c r="A3271" s="1" t="str">
        <f>"411325200102100035"</f>
        <v>411325200102100035</v>
      </c>
      <c r="B3271" s="1" t="str">
        <f t="shared" si="1616"/>
        <v>群众</v>
      </c>
      <c r="C3271" s="1" t="str">
        <f t="shared" si="1617"/>
        <v>本科</v>
      </c>
      <c r="D3271" s="1" t="str">
        <f>"20230610"</f>
        <v>20230610</v>
      </c>
      <c r="E3271" s="1" t="str">
        <f>"海口经济学院"</f>
        <v>海口经济学院</v>
      </c>
      <c r="F3271" s="1" t="str">
        <f>"会计"</f>
        <v>会计</v>
      </c>
      <c r="G3271" s="1" t="str">
        <f>"河南省南阳市卧龙区车站南路"</f>
        <v>河南省南阳市卧龙区车站南路</v>
      </c>
      <c r="H3271" s="1" t="str">
        <f t="shared" si="1618"/>
        <v>无</v>
      </c>
      <c r="I3271" s="1" t="str">
        <f>"201809-202106 三亚城市职业学校 市场营销专业就读
202109-202306 海口经济学院 德行智华会计学院会计学专业就读
202301-202306 南阳宛仲职业培训学校 实习管培生
202306-202401 南阳宛仲职业培训学校 项目主管
202401-202504 南阳宛仲职业培训学校 办公室主任
202504-202507 内乡牧原综合体 省级人力资源管理岗"</f>
        <v>201809-202106 三亚城市职业学校 市场营销专业就读
202109-202306 海口经济学院 德行智华会计学院会计学专业就读
202301-202306 南阳宛仲职业培训学校 实习管培生
202306-202401 南阳宛仲职业培训学校 项目主管
202401-202504 南阳宛仲职业培训学校 办公室主任
202504-202507 内乡牧原综合体 省级人力资源管理岗</v>
      </c>
    </row>
    <row r="3272" spans="1:9">
      <c r="A3272" s="1" t="str">
        <f>"411327200010010027"</f>
        <v>411327200010010027</v>
      </c>
      <c r="B3272" s="1" t="str">
        <f>"共青团员"</f>
        <v>共青团员</v>
      </c>
      <c r="C3272" s="1" t="str">
        <f t="shared" si="1617"/>
        <v>本科</v>
      </c>
      <c r="D3272" s="1" t="str">
        <f>"20220701"</f>
        <v>20220701</v>
      </c>
      <c r="E3272" s="1" t="str">
        <f>"郑州升达经贸管理学院"</f>
        <v>郑州升达经贸管理学院</v>
      </c>
      <c r="F3272" s="1" t="str">
        <f>"工商管理"</f>
        <v>工商管理</v>
      </c>
      <c r="G3272" s="1" t="str">
        <f>"河南省南阳市内乡县"</f>
        <v>河南省南阳市内乡县</v>
      </c>
      <c r="H3272" s="1" t="str">
        <f t="shared" si="1618"/>
        <v>无</v>
      </c>
      <c r="I3272" s="1" t="str">
        <f>"201809-202207郑州升达经贸管理学院 管理学院 工商管理专业就读 全日制本科学历
202206-202501中铁北京工程局集团第五工程有限公司 财务
2025-至今在内乡县待业"</f>
        <v>201809-202207郑州升达经贸管理学院 管理学院 工商管理专业就读 全日制本科学历
202206-202501中铁北京工程局集团第五工程有限公司 财务
2025-至今在内乡县待业</v>
      </c>
    </row>
    <row r="3273" spans="1:9">
      <c r="A3273" s="1" t="str">
        <f>"411302200107151814"</f>
        <v>411302200107151814</v>
      </c>
      <c r="B3273" s="1" t="str">
        <f t="shared" ref="B3273:B3275" si="1619">"群众"</f>
        <v>群众</v>
      </c>
      <c r="C3273" s="1" t="str">
        <f t="shared" si="1617"/>
        <v>本科</v>
      </c>
      <c r="D3273" s="1" t="str">
        <f>"20250612"</f>
        <v>20250612</v>
      </c>
      <c r="E3273" s="1" t="str">
        <f>"青海师范大学"</f>
        <v>青海师范大学</v>
      </c>
      <c r="F3273" s="1" t="str">
        <f>"视觉传达设计"</f>
        <v>视觉传达设计</v>
      </c>
      <c r="G3273" s="1" t="str">
        <f>"河南省南阳市宛城区常庄社区"</f>
        <v>河南省南阳市宛城区常庄社区</v>
      </c>
      <c r="H3273" s="1" t="str">
        <f t="shared" si="1618"/>
        <v>无</v>
      </c>
      <c r="I3273" s="1" t="str">
        <f>"202109-202506 青海师范大学美术学院视觉传达设计专业就读，学历为全日制学历。"</f>
        <v>202109-202506 青海师范大学美术学院视觉传达设计专业就读，学历为全日制学历。</v>
      </c>
    </row>
    <row r="3274" spans="1:9">
      <c r="A3274" s="1" t="str">
        <f>"411326200011300011"</f>
        <v>411326200011300011</v>
      </c>
      <c r="B3274" s="1" t="str">
        <f t="shared" si="1619"/>
        <v>群众</v>
      </c>
      <c r="C3274" s="1" t="str">
        <f t="shared" si="1617"/>
        <v>本科</v>
      </c>
      <c r="D3274" s="1" t="str">
        <f>"2023.7.1"</f>
        <v>2023.7.1</v>
      </c>
      <c r="E3274" s="1" t="str">
        <f>"商丘学院"</f>
        <v>商丘学院</v>
      </c>
      <c r="F3274" s="1" t="str">
        <f>"计算机科学与技术"</f>
        <v>计算机科学与技术</v>
      </c>
      <c r="G3274" s="1" t="str">
        <f>"南阳市南召县城关镇"</f>
        <v>南阳市南召县城关镇</v>
      </c>
      <c r="H3274" s="1" t="str">
        <f t="shared" si="1618"/>
        <v>无</v>
      </c>
      <c r="I3274" s="1" t="str">
        <f>"2019.09-2023.07商丘学院
2023.07-至今 公益岗"</f>
        <v>2019.09-2023.07商丘学院
2023.07-至今 公益岗</v>
      </c>
    </row>
    <row r="3275" spans="1:9">
      <c r="A3275" s="1" t="str">
        <f>"411327199710120037"</f>
        <v>411327199710120037</v>
      </c>
      <c r="B3275" s="1" t="str">
        <f t="shared" si="1619"/>
        <v>群众</v>
      </c>
      <c r="C3275" s="1" t="str">
        <f t="shared" si="1617"/>
        <v>本科</v>
      </c>
      <c r="D3275" s="1" t="str">
        <f>"20190623"</f>
        <v>20190623</v>
      </c>
      <c r="E3275" s="1" t="str">
        <f>"淮海工学院"</f>
        <v>淮海工学院</v>
      </c>
      <c r="F3275" s="1" t="str">
        <f>"信息与计算科学"</f>
        <v>信息与计算科学</v>
      </c>
      <c r="G3275" s="1" t="str">
        <f>"南阳市内乡县城关镇"</f>
        <v>南阳市内乡县城关镇</v>
      </c>
      <c r="H3275" s="1" t="str">
        <f t="shared" si="1618"/>
        <v>无</v>
      </c>
      <c r="I3275" s="1" t="str">
        <f>"201509-201906 淮海工学院 就读
201907-202104 内乡县人社局（公益性岗位）
202105-202302 内乡县发改委（政府购岗）
202303-202308 内乡菊园物流有限公司
202309-    今     南阳市城乡一体化示范区发展改革规划局"</f>
        <v>201509-201906 淮海工学院 就读
201907-202104 内乡县人社局（公益性岗位）
202105-202302 内乡县发改委（政府购岗）
202303-202308 内乡菊园物流有限公司
202309-    今     南阳市城乡一体化示范区发展改革规划局</v>
      </c>
    </row>
    <row r="3276" spans="1:9">
      <c r="A3276" s="1" t="str">
        <f>"410782199810049608"</f>
        <v>410782199810049608</v>
      </c>
      <c r="B3276" s="1" t="str">
        <f t="shared" ref="B3276:B3279" si="1620">"共青团员"</f>
        <v>共青团员</v>
      </c>
      <c r="C3276" s="1" t="str">
        <f t="shared" si="1617"/>
        <v>本科</v>
      </c>
      <c r="D3276" s="1" t="str">
        <f>"20220625"</f>
        <v>20220625</v>
      </c>
      <c r="E3276" s="1" t="str">
        <f>"河北美术学院"</f>
        <v>河北美术学院</v>
      </c>
      <c r="F3276" s="1" t="str">
        <f>"环境设计"</f>
        <v>环境设计</v>
      </c>
      <c r="G3276" s="1" t="str">
        <f>"河南省辉县市涌金商贸城"</f>
        <v>河南省辉县市涌金商贸城</v>
      </c>
      <c r="H3276" s="1" t="str">
        <f t="shared" si="1618"/>
        <v>无</v>
      </c>
      <c r="I3276" s="1" t="str">
        <f>"201709--202006河北东方学院  环境艺术设计   全日制学历
202009--202206河北美术学院   环境设计         全日制学历"</f>
        <v>201709--202006河北东方学院  环境艺术设计   全日制学历
202009--202206河北美术学院   环境设计         全日制学历</v>
      </c>
    </row>
    <row r="3277" spans="1:9">
      <c r="A3277" s="1" t="str">
        <f>"411381199008170622"</f>
        <v>411381199008170622</v>
      </c>
      <c r="B3277" s="1" t="str">
        <f>"群众"</f>
        <v>群众</v>
      </c>
      <c r="C3277" s="1" t="str">
        <f>"专科"</f>
        <v>专科</v>
      </c>
      <c r="D3277" s="1" t="str">
        <f>"20110701"</f>
        <v>20110701</v>
      </c>
      <c r="E3277" s="1" t="str">
        <f>"焦作大学"</f>
        <v>焦作大学</v>
      </c>
      <c r="F3277" s="1" t="str">
        <f>"装璜艺术设计"</f>
        <v>装璜艺术设计</v>
      </c>
      <c r="G3277" s="1" t="str">
        <f>"河南省邓州市古城街道办事处三里桥村"</f>
        <v>河南省邓州市古城街道办事处三里桥村</v>
      </c>
      <c r="H3277" s="1" t="str">
        <f t="shared" si="1618"/>
        <v>无</v>
      </c>
      <c r="I3277" s="1" t="str">
        <f>"200809-201107焦作大学就读于装潢艺术设计系，全日制学历。
201107-201406上海广告公司
201506-202412南阳阳光油脂有限公司
202501-至今在家乡待业"</f>
        <v>200809-201107焦作大学就读于装潢艺术设计系，全日制学历。
201107-201406上海广告公司
201506-202412南阳阳光油脂有限公司
202501-至今在家乡待业</v>
      </c>
    </row>
    <row r="3278" spans="1:9">
      <c r="A3278" s="1" t="str">
        <f>"411327200105021132"</f>
        <v>411327200105021132</v>
      </c>
      <c r="B3278" s="1" t="str">
        <f t="shared" si="1620"/>
        <v>共青团员</v>
      </c>
      <c r="C3278" s="1" t="str">
        <f t="shared" ref="C3278:C3282" si="1621">"本科"</f>
        <v>本科</v>
      </c>
      <c r="D3278" s="1" t="str">
        <f>"20230627"</f>
        <v>20230627</v>
      </c>
      <c r="E3278" s="1" t="str">
        <f>"福建理工大学"</f>
        <v>福建理工大学</v>
      </c>
      <c r="F3278" s="1" t="str">
        <f>"电子商务"</f>
        <v>电子商务</v>
      </c>
      <c r="G3278" s="1" t="str">
        <f>"河南省南阳市内乡县赤眉镇韩岗村西苑26号"</f>
        <v>河南省南阳市内乡县赤眉镇韩岗村西苑26号</v>
      </c>
      <c r="H3278" s="1" t="str">
        <f t="shared" si="1618"/>
        <v>无</v>
      </c>
      <c r="I3278" s="1" t="str">
        <f>"201909-202306福建理工大学就读
"</f>
        <v>201909-202306福建理工大学就读
</v>
      </c>
    </row>
    <row r="3279" spans="1:9">
      <c r="A3279" s="1" t="str">
        <f>"41050419990827503X"</f>
        <v>41050419990827503X</v>
      </c>
      <c r="B3279" s="1" t="str">
        <f t="shared" si="1620"/>
        <v>共青团员</v>
      </c>
      <c r="C3279" s="1" t="str">
        <f t="shared" si="1621"/>
        <v>本科</v>
      </c>
      <c r="D3279" s="1" t="str">
        <f>"20210701"</f>
        <v>20210701</v>
      </c>
      <c r="E3279" s="1" t="str">
        <f>"郑州工商学院"</f>
        <v>郑州工商学院</v>
      </c>
      <c r="F3279" s="1" t="str">
        <f>"土木工程"</f>
        <v>土木工程</v>
      </c>
      <c r="G3279" s="1" t="str">
        <f>"河南省安阳市文峰区和园一期住宅小区"</f>
        <v>河南省安阳市文峰区和园一期住宅小区</v>
      </c>
      <c r="H3279" s="1" t="str">
        <f t="shared" si="1618"/>
        <v>无</v>
      </c>
      <c r="I3279" s="1" t="str">
        <f>"201708-202107，郑州工商学院工学院就读，专业为土木工程，学士学位，全日制本科。202202-202303，河南省洹润公路工程咨询中心就职，设计员岗位。"</f>
        <v>201708-202107，郑州工商学院工学院就读，专业为土木工程，学士学位，全日制本科。202202-202303，河南省洹润公路工程咨询中心就职，设计员岗位。</v>
      </c>
    </row>
    <row r="3280" spans="1:9">
      <c r="A3280" s="1" t="str">
        <f>"411329199105061932"</f>
        <v>411329199105061932</v>
      </c>
      <c r="B3280" s="1" t="str">
        <f>"中共党员"</f>
        <v>中共党员</v>
      </c>
      <c r="C3280" s="1" t="str">
        <f t="shared" si="1621"/>
        <v>本科</v>
      </c>
      <c r="D3280" s="1" t="str">
        <f>"20150701"</f>
        <v>20150701</v>
      </c>
      <c r="E3280" s="1" t="str">
        <f>"河南工业大学"</f>
        <v>河南工业大学</v>
      </c>
      <c r="F3280" s="1" t="str">
        <f>"电气工程及其自动化"</f>
        <v>电气工程及其自动化</v>
      </c>
      <c r="G3280" s="1" t="str">
        <f>"河南省南阳市社旗县李店镇古渡孙村156号"</f>
        <v>河南省南阳市社旗县李店镇古渡孙村156号</v>
      </c>
      <c r="H3280" s="1" t="str">
        <f t="shared" si="1618"/>
        <v>无</v>
      </c>
      <c r="I3280" s="1" t="str">
        <f>"201109-201507 河南工业大学 电气工程学院 电气工程及其自动化专业就读，全日制学历；
201507-201606 在青岛鼎信通讯电力工程有限公司工作；
201606-202309 在青岛鼎信通讯股份有限公司工作；
202309至今，在河南南阳待业；"</f>
        <v>201109-201507 河南工业大学 电气工程学院 电气工程及其自动化专业就读，全日制学历；
201507-201606 在青岛鼎信通讯电力工程有限公司工作；
201606-202309 在青岛鼎信通讯股份有限公司工作；
202309至今，在河南南阳待业；</v>
      </c>
    </row>
    <row r="3281" spans="1:9">
      <c r="A3281" s="1" t="str">
        <f>"411503200001066029"</f>
        <v>411503200001066029</v>
      </c>
      <c r="B3281" s="1" t="str">
        <f>"共青团员"</f>
        <v>共青团员</v>
      </c>
      <c r="C3281" s="1" t="str">
        <f t="shared" si="1621"/>
        <v>本科</v>
      </c>
      <c r="D3281" s="1" t="str">
        <f>"20220701"</f>
        <v>20220701</v>
      </c>
      <c r="E3281" s="1" t="str">
        <f>"信阳师范学院"</f>
        <v>信阳师范学院</v>
      </c>
      <c r="F3281" s="1" t="str">
        <f>"电子信息工程"</f>
        <v>电子信息工程</v>
      </c>
      <c r="G3281" s="1" t="str">
        <f>"河南省信阳市平桥区楚王城管理区四组39号"</f>
        <v>河南省信阳市平桥区楚王城管理区四组39号</v>
      </c>
      <c r="H3281" s="1" t="str">
        <f t="shared" si="1618"/>
        <v>无</v>
      </c>
      <c r="I3281" s="1" t="str">
        <f>"201809-202206在信阳师范学院物理电子工程学院电子信息工程专业就读，是全日制学历
202207-现在在信阳待业"</f>
        <v>201809-202206在信阳师范学院物理电子工程学院电子信息工程专业就读，是全日制学历
202207-现在在信阳待业</v>
      </c>
    </row>
    <row r="3282" spans="1:9">
      <c r="A3282" s="1" t="str">
        <f>"522727199311010082"</f>
        <v>522727199311010082</v>
      </c>
      <c r="B3282" s="1" t="str">
        <f t="shared" ref="B3282:B3285" si="1622">"群众"</f>
        <v>群众</v>
      </c>
      <c r="C3282" s="1" t="str">
        <f t="shared" si="1621"/>
        <v>本科</v>
      </c>
      <c r="D3282" s="1" t="str">
        <f>"20160701"</f>
        <v>20160701</v>
      </c>
      <c r="E3282" s="1" t="str">
        <f>"云南工商学院"</f>
        <v>云南工商学院</v>
      </c>
      <c r="F3282" s="1" t="str">
        <f>"汉语言文学"</f>
        <v>汉语言文学</v>
      </c>
      <c r="G3282" s="1" t="str">
        <f>"河南省南阳市南召县皇路店镇"</f>
        <v>河南省南阳市南召县皇路店镇</v>
      </c>
      <c r="H3282" s="1" t="str">
        <f t="shared" si="1618"/>
        <v>无</v>
      </c>
      <c r="I3282" s="1" t="str">
        <f>"201209-201607于云南工商学院 汉语言文学专业就读，是全日制学历。"</f>
        <v>201209-201607于云南工商学院 汉语言文学专业就读，是全日制学历。</v>
      </c>
    </row>
    <row r="3283" spans="1:9">
      <c r="A3283" s="1" t="str">
        <f>"411302200411290050"</f>
        <v>411302200411290050</v>
      </c>
      <c r="B3283" s="1" t="str">
        <f t="shared" si="1622"/>
        <v>群众</v>
      </c>
      <c r="C3283" s="1" t="str">
        <f t="shared" ref="C3283:C3285" si="1623">"专科"</f>
        <v>专科</v>
      </c>
      <c r="D3283" s="1" t="str">
        <f>"202506"</f>
        <v>202506</v>
      </c>
      <c r="E3283" s="1" t="str">
        <f>"河南司法警官职业学院"</f>
        <v>河南司法警官职业学院</v>
      </c>
      <c r="F3283" s="1" t="str">
        <f>"信息安全技术应用"</f>
        <v>信息安全技术应用</v>
      </c>
      <c r="G3283" s="1" t="str">
        <f>"河南省南阳市宛城区邓禹路善水居"</f>
        <v>河南省南阳市宛城区邓禹路善水居</v>
      </c>
      <c r="H3283" s="1" t="str">
        <f>"网络与信息安全管理员职业技能等级证书四级"</f>
        <v>网络与信息安全管理员职业技能等级证书四级</v>
      </c>
      <c r="I3283" s="1" t="str">
        <f>"202209-202506河南司法警官职业学院信息技术系信息安全技术应用专业就读全日制专科
201909-202206南都实验中学就读
201609-201906南阳市第三中学就读
201009-201606南阳市第十五小学就读"</f>
        <v>202209-202506河南司法警官职业学院信息技术系信息安全技术应用专业就读全日制专科
201909-202206南都实验中学就读
201609-201906南阳市第三中学就读
201009-201606南阳市第十五小学就读</v>
      </c>
    </row>
    <row r="3284" spans="1:9">
      <c r="A3284" s="1" t="str">
        <f>"411327200412120026"</f>
        <v>411327200412120026</v>
      </c>
      <c r="B3284" s="1" t="str">
        <f t="shared" si="1622"/>
        <v>群众</v>
      </c>
      <c r="C3284" s="1" t="str">
        <f t="shared" si="1623"/>
        <v>专科</v>
      </c>
      <c r="D3284" s="1" t="str">
        <f>"20250615"</f>
        <v>20250615</v>
      </c>
      <c r="E3284" s="1" t="str">
        <f>"南阳农业职业学院"</f>
        <v>南阳农业职业学院</v>
      </c>
      <c r="F3284" s="1" t="str">
        <f>"畜牧兽医"</f>
        <v>畜牧兽医</v>
      </c>
      <c r="G3284" s="1" t="str">
        <f>"河南省南阳市内乡县海天楼二十巷17号"</f>
        <v>河南省南阳市内乡县海天楼二十巷17号</v>
      </c>
      <c r="H3284" s="1" t="str">
        <f>"职业技能登记证书 三级工"</f>
        <v>职业技能登记证书 三级工</v>
      </c>
      <c r="I3284" s="1" t="str">
        <f>"202209—202506 南阳农业职业学院 畜牧兽医 全日制学历"</f>
        <v>202209—202506 南阳农业职业学院 畜牧兽医 全日制学历</v>
      </c>
    </row>
    <row r="3285" spans="1:9">
      <c r="A3285" s="1" t="str">
        <f>"411327200301120031"</f>
        <v>411327200301120031</v>
      </c>
      <c r="B3285" s="1" t="str">
        <f t="shared" si="1622"/>
        <v>群众</v>
      </c>
      <c r="C3285" s="1" t="str">
        <f t="shared" si="1623"/>
        <v>专科</v>
      </c>
      <c r="D3285" s="1" t="str">
        <f>"20230607"</f>
        <v>20230607</v>
      </c>
      <c r="E3285" s="1" t="str">
        <f>"焦作大学"</f>
        <v>焦作大学</v>
      </c>
      <c r="F3285" s="1" t="str">
        <f>"机械制造及自动化"</f>
        <v>机械制造及自动化</v>
      </c>
      <c r="G3285" s="1" t="str">
        <f>"河南省南阳市内乡县城关镇北园村北园南路16号"</f>
        <v>河南省南阳市内乡县城关镇北园村北园南路16号</v>
      </c>
      <c r="H3285" s="1" t="str">
        <f>"高级技工"</f>
        <v>高级技工</v>
      </c>
      <c r="I3285" s="1" t="str">
        <f>"202110—20230607焦作大学机机电工程系机械制造及自动化专业就读是全日制学历"</f>
        <v>202110—20230607焦作大学机机电工程系机械制造及自动化专业就读是全日制学历</v>
      </c>
    </row>
    <row r="3286" spans="1:9">
      <c r="A3286" s="1" t="str">
        <f>"411327199902140024"</f>
        <v>411327199902140024</v>
      </c>
      <c r="B3286" s="1" t="str">
        <f>"共青团员"</f>
        <v>共青团员</v>
      </c>
      <c r="C3286" s="1" t="str">
        <f t="shared" ref="C3286:C3289" si="1624">"本科"</f>
        <v>本科</v>
      </c>
      <c r="D3286" s="1" t="str">
        <f>"20230701"</f>
        <v>20230701</v>
      </c>
      <c r="E3286" s="1" t="str">
        <f>"南阳理工学院"</f>
        <v>南阳理工学院</v>
      </c>
      <c r="F3286" s="1" t="str">
        <f>"财务管理"</f>
        <v>财务管理</v>
      </c>
      <c r="G3286" s="1" t="str">
        <f>"河南省南阳市内乡县城关镇县衙路11号附6号"</f>
        <v>河南省南阳市内乡县城关镇县衙路11号附6号</v>
      </c>
      <c r="H3286" s="1" t="str">
        <f>"初级会计职称"</f>
        <v>初级会计职称</v>
      </c>
      <c r="I3286" s="1" t="str">
        <f>"201809-201906 南阳理工学院预科培训基地
201909-202307 南阳理工学院 范蠡商学院 财务管理专业就读 全日制
202307-至今 待业"</f>
        <v>201809-201906 南阳理工学院预科培训基地
201909-202307 南阳理工学院 范蠡商学院 财务管理专业就读 全日制
202307-至今 待业</v>
      </c>
    </row>
    <row r="3287" spans="1:9">
      <c r="A3287" s="1" t="str">
        <f>"411327200202253728"</f>
        <v>411327200202253728</v>
      </c>
      <c r="B3287" s="1" t="str">
        <f>"共青团员"</f>
        <v>共青团员</v>
      </c>
      <c r="C3287" s="1" t="str">
        <f t="shared" si="1624"/>
        <v>本科</v>
      </c>
      <c r="D3287" s="1" t="str">
        <f>"20240625"</f>
        <v>20240625</v>
      </c>
      <c r="E3287" s="1" t="str">
        <f>"郑州西亚斯学院"</f>
        <v>郑州西亚斯学院</v>
      </c>
      <c r="F3287" s="1" t="str">
        <f>"会计学"</f>
        <v>会计学</v>
      </c>
      <c r="G3287" s="1" t="str">
        <f>"河南省南阳市内乡县桃溪镇桃溪街"</f>
        <v>河南省南阳市内乡县桃溪镇桃溪街</v>
      </c>
      <c r="H3287" s="1" t="str">
        <f>"初级会计职称资格证书"</f>
        <v>初级会计职称资格证书</v>
      </c>
      <c r="I3287" s="1" t="str">
        <f>"202009-202406郑州西亚斯学院管理学院会计学就读，四年普通全日制本科"</f>
        <v>202009-202406郑州西亚斯学院管理学院会计学就读，四年普通全日制本科</v>
      </c>
    </row>
    <row r="3288" spans="1:9">
      <c r="A3288" s="1" t="str">
        <f>"411327199310050017"</f>
        <v>411327199310050017</v>
      </c>
      <c r="B3288" s="1" t="str">
        <f>"中共党员"</f>
        <v>中共党员</v>
      </c>
      <c r="C3288" s="1" t="str">
        <f t="shared" si="1624"/>
        <v>本科</v>
      </c>
      <c r="D3288" s="1" t="str">
        <f>"20160701"</f>
        <v>20160701</v>
      </c>
      <c r="E3288" s="1" t="str">
        <f>"河南工程学院"</f>
        <v>河南工程学院</v>
      </c>
      <c r="F3288" s="1" t="str">
        <f>"装潢艺术设计"</f>
        <v>装潢艺术设计</v>
      </c>
      <c r="G3288" s="1" t="str">
        <f>"河南省南阳市内乡县湍东镇龙头社区"</f>
        <v>河南省南阳市内乡县湍东镇龙头社区</v>
      </c>
      <c r="H3288" s="1" t="str">
        <f t="shared" ref="H3288:H3292" si="1625">"无"</f>
        <v>无</v>
      </c>
      <c r="I3288" s="1" t="str">
        <f>"201209-201607河南工程学院艺术设计学院装潢艺术设计系就读，全日制本科"</f>
        <v>201209-201607河南工程学院艺术设计学院装潢艺术设计系就读，全日制本科</v>
      </c>
    </row>
    <row r="3289" spans="1:9">
      <c r="A3289" s="1" t="str">
        <f>"41132719970819001X"</f>
        <v>41132719970819001X</v>
      </c>
      <c r="B3289" s="1" t="str">
        <f t="shared" ref="B3289:B3291" si="1626">"群众"</f>
        <v>群众</v>
      </c>
      <c r="C3289" s="1" t="str">
        <f t="shared" si="1624"/>
        <v>本科</v>
      </c>
      <c r="D3289" s="1" t="str">
        <f>"20220701"</f>
        <v>20220701</v>
      </c>
      <c r="E3289" s="1" t="str">
        <f>"商丘工学院"</f>
        <v>商丘工学院</v>
      </c>
      <c r="F3289" s="1" t="str">
        <f>"市场营销"</f>
        <v>市场营销</v>
      </c>
      <c r="G3289" s="1" t="str">
        <f>"河南省内乡县城关镇菊潭大街33号"</f>
        <v>河南省内乡县城关镇菊潭大街33号</v>
      </c>
      <c r="H3289" s="1" t="str">
        <f t="shared" si="1625"/>
        <v>无</v>
      </c>
      <c r="I3289" s="1" t="str">
        <f>"2016年09月-2019年07月 
河南工业大学（专科）会计（全日制）
2019年09月-2021年07月 
商丘工学院（专升本）市场营销（全日制）"</f>
        <v>2016年09月-2019年07月 
河南工业大学（专科）会计（全日制）
2019年09月-2021年07月 
商丘工学院（专升本）市场营销（全日制）</v>
      </c>
    </row>
    <row r="3290" spans="1:9">
      <c r="A3290" s="1" t="str">
        <f>"411323200107176968"</f>
        <v>411323200107176968</v>
      </c>
      <c r="B3290" s="1" t="str">
        <f t="shared" si="1626"/>
        <v>群众</v>
      </c>
      <c r="C3290" s="1" t="str">
        <f>"专科"</f>
        <v>专科</v>
      </c>
      <c r="D3290" s="1" t="str">
        <f>"20240701"</f>
        <v>20240701</v>
      </c>
      <c r="E3290" s="1" t="str">
        <f>"郑州职业技术学院"</f>
        <v>郑州职业技术学院</v>
      </c>
      <c r="F3290" s="1" t="str">
        <f>"数控技术"</f>
        <v>数控技术</v>
      </c>
      <c r="G3290" s="1" t="str">
        <f>"河南省南阳市淅川县"</f>
        <v>河南省南阳市淅川县</v>
      </c>
      <c r="H3290" s="1" t="str">
        <f t="shared" si="1625"/>
        <v>无</v>
      </c>
      <c r="I3290" s="1" t="str">
        <f>"202109-202407  在郑州职业技术学院智能制造学院数控技术就读  全日制学历
202407-至今  在家待业"</f>
        <v>202109-202407  在郑州职业技术学院智能制造学院数控技术就读  全日制学历
202407-至今  在家待业</v>
      </c>
    </row>
    <row r="3291" spans="1:9">
      <c r="A3291" s="1" t="str">
        <f>"411081199909069269"</f>
        <v>411081199909069269</v>
      </c>
      <c r="B3291" s="1" t="str">
        <f t="shared" si="1626"/>
        <v>群众</v>
      </c>
      <c r="C3291" s="1" t="str">
        <f t="shared" ref="C3291:C3299" si="1627">"本科"</f>
        <v>本科</v>
      </c>
      <c r="D3291" s="1" t="str">
        <f>"20200701"</f>
        <v>20200701</v>
      </c>
      <c r="E3291" s="1" t="str">
        <f>"安阳师范学院"</f>
        <v>安阳师范学院</v>
      </c>
      <c r="F3291" s="1" t="str">
        <f>"人力资源管理"</f>
        <v>人力资源管理</v>
      </c>
      <c r="G3291" s="1" t="str">
        <f>"河南省许昌市禹州市磨街乡扈阳村"</f>
        <v>河南省许昌市禹州市磨街乡扈阳村</v>
      </c>
      <c r="H3291" s="1" t="str">
        <f t="shared" si="1625"/>
        <v>无</v>
      </c>
      <c r="I3291" s="1" t="str">
        <f>"201609-202007安阳师范学院就读商学院人力资源管理专业，全日制。
202005-202202新希望六和，人力资源助理。
202202-202308在家。
202308-202507禹州市文殊高级中学，地理教师。"</f>
        <v>201609-202007安阳师范学院就读商学院人力资源管理专业，全日制。
202005-202202新希望六和，人力资源助理。
202202-202308在家。
202308-202507禹州市文殊高级中学，地理教师。</v>
      </c>
    </row>
    <row r="3292" spans="1:9">
      <c r="A3292" s="1" t="str">
        <f>"411327200203290037"</f>
        <v>411327200203290037</v>
      </c>
      <c r="B3292" s="1" t="str">
        <f t="shared" ref="B3292:B3297" si="1628">"共青团员"</f>
        <v>共青团员</v>
      </c>
      <c r="C3292" s="1" t="str">
        <f>"专科"</f>
        <v>专科</v>
      </c>
      <c r="D3292" s="1" t="str">
        <f>"20230701"</f>
        <v>20230701</v>
      </c>
      <c r="E3292" s="1" t="str">
        <f>"长春汽车工作高等专科学校"</f>
        <v>长春汽车工作高等专科学校</v>
      </c>
      <c r="F3292" s="1" t="str">
        <f>"汽车制造与装配技术"</f>
        <v>汽车制造与装配技术</v>
      </c>
      <c r="G3292" s="1" t="str">
        <f>"河南省南阳市内乡县城关镇黉学村"</f>
        <v>河南省南阳市内乡县城关镇黉学村</v>
      </c>
      <c r="H3292" s="1" t="str">
        <f t="shared" si="1625"/>
        <v>无</v>
      </c>
      <c r="I3292" s="1" t="str">
        <f>"202009-202309在长春汽车工业高等专科学校就读汽车制造与装配技术专业，是全日制学历，202309-202409在路尚集团工作。"</f>
        <v>202009-202309在长春汽车工业高等专科学校就读汽车制造与装配技术专业，是全日制学历，202309-202409在路尚集团工作。</v>
      </c>
    </row>
    <row r="3293" spans="1:9">
      <c r="A3293" s="1" t="str">
        <f>"411327199107122927"</f>
        <v>411327199107122927</v>
      </c>
      <c r="B3293" s="1" t="str">
        <f>"中共党员"</f>
        <v>中共党员</v>
      </c>
      <c r="C3293" s="1" t="str">
        <f t="shared" si="1627"/>
        <v>本科</v>
      </c>
      <c r="D3293" s="1" t="str">
        <f>"2015-07-01"</f>
        <v>2015-07-01</v>
      </c>
      <c r="E3293" s="1" t="str">
        <f>"安阳师范学院人文管理学院"</f>
        <v>安阳师范学院人文管理学院</v>
      </c>
      <c r="F3293" s="1" t="str">
        <f>"会计学"</f>
        <v>会计学</v>
      </c>
      <c r="G3293" s="1" t="str">
        <f>"内乡县湍东镇建业森林半岛三期7号楼1单元1102"</f>
        <v>内乡县湍东镇建业森林半岛三期7号楼1单元1102</v>
      </c>
      <c r="H3293" s="1" t="str">
        <f>"会计专业技术资格((初级）"</f>
        <v>会计专业技术资格((初级）</v>
      </c>
      <c r="I3293" s="1" t="str">
        <f>"201009-201306  在河南工业职业技术学院经济管理系会计电算化专业就读，全日制学历；201306-201507在安阳师范学院人文管理学院财会系会计学专业就读；201507-201602在东莞市长安朋誉企业事务所工作；201602-201805在内乡县待业；201805-至今在南阳市寅兴实业有限公司工作。"</f>
        <v>201009-201306  在河南工业职业技术学院经济管理系会计电算化专业就读，全日制学历；201306-201507在安阳师范学院人文管理学院财会系会计学专业就读；201507-201602在东莞市长安朋誉企业事务所工作；201602-201805在内乡县待业；201805-至今在南阳市寅兴实业有限公司工作。</v>
      </c>
    </row>
    <row r="3294" spans="1:9">
      <c r="A3294" s="1" t="str">
        <f>"411327199907290013"</f>
        <v>411327199907290013</v>
      </c>
      <c r="B3294" s="1" t="str">
        <f>"群众"</f>
        <v>群众</v>
      </c>
      <c r="C3294" s="1" t="str">
        <f t="shared" si="1627"/>
        <v>本科</v>
      </c>
      <c r="D3294" s="1" t="str">
        <f>"2022-07-01"</f>
        <v>2022-07-01</v>
      </c>
      <c r="E3294" s="1" t="str">
        <f>"黄河科技学院"</f>
        <v>黄河科技学院</v>
      </c>
      <c r="F3294" s="1" t="str">
        <f>"音乐表演"</f>
        <v>音乐表演</v>
      </c>
      <c r="G3294" s="1" t="str">
        <f>"河南省南阳市内乡县大成路324号"</f>
        <v>河南省南阳市内乡县大成路324号</v>
      </c>
      <c r="H3294" s="1" t="str">
        <f t="shared" ref="H3294:H3305" si="1629">"无"</f>
        <v>无</v>
      </c>
      <c r="I3294" s="1" t="str">
        <f>"2017.09—2022.07在黄河科技学院艺体学部音乐表演专业就读"</f>
        <v>2017.09—2022.07在黄河科技学院艺体学部音乐表演专业就读</v>
      </c>
    </row>
    <row r="3295" spans="1:9">
      <c r="A3295" s="1" t="str">
        <f>"420325199802080050"</f>
        <v>420325199802080050</v>
      </c>
      <c r="B3295" s="1" t="str">
        <f t="shared" si="1628"/>
        <v>共青团员</v>
      </c>
      <c r="C3295" s="1" t="str">
        <f t="shared" si="1627"/>
        <v>本科</v>
      </c>
      <c r="D3295" s="1" t="str">
        <f>"20220616"</f>
        <v>20220616</v>
      </c>
      <c r="E3295" s="1" t="str">
        <f>"天津农学院"</f>
        <v>天津农学院</v>
      </c>
      <c r="F3295" s="1" t="str">
        <f>"软件工程"</f>
        <v>软件工程</v>
      </c>
      <c r="G3295" s="1" t="str">
        <f>"湖北省十堰市中央华府"</f>
        <v>湖北省十堰市中央华府</v>
      </c>
      <c r="H3295" s="1" t="str">
        <f t="shared" si="1629"/>
        <v>无</v>
      </c>
      <c r="I3295" s="1" t="str">
        <f>"201809-202206 在天津农学院计算机院软件工程系就读
201409-201806 在郧阳中学就读
201109-201407 在十堰外国语中学就读
"</f>
        <v>201809-202206 在天津农学院计算机院软件工程系就读
201409-201806 在郧阳中学就读
201109-201407 在十堰外国语中学就读
</v>
      </c>
    </row>
    <row r="3296" spans="1:9">
      <c r="A3296" s="1" t="str">
        <f>"411327200208080012"</f>
        <v>411327200208080012</v>
      </c>
      <c r="B3296" s="1" t="str">
        <f>"中共党员"</f>
        <v>中共党员</v>
      </c>
      <c r="C3296" s="1" t="str">
        <f t="shared" si="1627"/>
        <v>本科</v>
      </c>
      <c r="D3296" s="1" t="str">
        <f>"20250630"</f>
        <v>20250630</v>
      </c>
      <c r="E3296" s="1" t="str">
        <f>"福建商学院"</f>
        <v>福建商学院</v>
      </c>
      <c r="F3296" s="1" t="str">
        <f>"财务管理"</f>
        <v>财务管理</v>
      </c>
      <c r="G3296" s="1" t="str">
        <f>"河南省南阳市内乡县县衙路417号"</f>
        <v>河南省南阳市内乡县县衙路417号</v>
      </c>
      <c r="H3296" s="1" t="str">
        <f>"初级会计证"</f>
        <v>初级会计证</v>
      </c>
      <c r="I3296" s="1" t="str">
        <f>"202108-202506于福建商学院财务与会计学院财务管理专业就读，全日制学历"</f>
        <v>202108-202506于福建商学院财务与会计学院财务管理专业就读，全日制学历</v>
      </c>
    </row>
    <row r="3297" spans="1:9">
      <c r="A3297" s="1" t="str">
        <f>"411327200007150037"</f>
        <v>411327200007150037</v>
      </c>
      <c r="B3297" s="1" t="str">
        <f t="shared" si="1628"/>
        <v>共青团员</v>
      </c>
      <c r="C3297" s="1" t="str">
        <f t="shared" si="1627"/>
        <v>本科</v>
      </c>
      <c r="D3297" s="1" t="str">
        <f>"2023-07-01"</f>
        <v>2023-07-01</v>
      </c>
      <c r="E3297" s="1" t="str">
        <f>"南阳理工学院"</f>
        <v>南阳理工学院</v>
      </c>
      <c r="F3297" s="1" t="str">
        <f>"财务管理"</f>
        <v>财务管理</v>
      </c>
      <c r="G3297" s="1" t="str">
        <f>"内乡县城关镇清真寺村清真寺南路25号"</f>
        <v>内乡县城关镇清真寺村清真寺南路25号</v>
      </c>
      <c r="H3297" s="1" t="str">
        <f t="shared" si="1629"/>
        <v>无</v>
      </c>
      <c r="I3297" s="1" t="str">
        <f>"201909-202307 南阳理工学院范蠡商学院财务管理专业就读 是全日制本科学历"</f>
        <v>201909-202307 南阳理工学院范蠡商学院财务管理专业就读 是全日制本科学历</v>
      </c>
    </row>
    <row r="3298" spans="1:9">
      <c r="A3298" s="1" t="str">
        <f>"410221199603252216"</f>
        <v>410221199603252216</v>
      </c>
      <c r="B3298" s="1" t="str">
        <f>"群众"</f>
        <v>群众</v>
      </c>
      <c r="C3298" s="1" t="str">
        <f t="shared" si="1627"/>
        <v>本科</v>
      </c>
      <c r="D3298" s="1" t="str">
        <f>"20200701"</f>
        <v>20200701</v>
      </c>
      <c r="E3298" s="1" t="str">
        <f>"信阳农林学院"</f>
        <v>信阳农林学院</v>
      </c>
      <c r="F3298" s="1" t="str">
        <f>"酒店管理"</f>
        <v>酒店管理</v>
      </c>
      <c r="G3298" s="1" t="str">
        <f>"河南省开封市杞县傅集镇堤刘村代屯村43号"</f>
        <v>河南省开封市杞县傅集镇堤刘村代屯村43号</v>
      </c>
      <c r="H3298" s="1" t="str">
        <f t="shared" si="1629"/>
        <v>无</v>
      </c>
      <c r="I3298" s="1" t="str">
        <f>"20160901-20200701 信阳农林学院 旅游管理学院 酒店管理专业，全日制
20200701-20211010 待业
20211010-20240701 河南师范大学 旅游学院 农村发展专业，全日制
20240820至今，新乡工程学院教师"</f>
        <v>20160901-20200701 信阳农林学院 旅游管理学院 酒店管理专业，全日制
20200701-20211010 待业
20211010-20240701 河南师范大学 旅游学院 农村发展专业，全日制
20240820至今，新乡工程学院教师</v>
      </c>
    </row>
    <row r="3299" spans="1:9">
      <c r="A3299" s="1" t="str">
        <f>"410923200104072444"</f>
        <v>410923200104072444</v>
      </c>
      <c r="B3299" s="1" t="str">
        <f>"中共党员"</f>
        <v>中共党员</v>
      </c>
      <c r="C3299" s="1" t="str">
        <f t="shared" si="1627"/>
        <v>本科</v>
      </c>
      <c r="D3299" s="1" t="str">
        <f>"20230529"</f>
        <v>20230529</v>
      </c>
      <c r="E3299" s="1" t="str">
        <f>"河南大学"</f>
        <v>河南大学</v>
      </c>
      <c r="F3299" s="1" t="str">
        <f>"应用心理学"</f>
        <v>应用心理学</v>
      </c>
      <c r="G3299" s="1" t="str">
        <f>"河南省濮阳市南乐县梁村乡东郭村东街29号"</f>
        <v>河南省濮阳市南乐县梁村乡东郭村东街29号</v>
      </c>
      <c r="H3299" s="1" t="str">
        <f t="shared" si="1629"/>
        <v>无</v>
      </c>
      <c r="I3299" s="1" t="str">
        <f>"201909-202306 河南大学教育学部应用心理学 就读 全日制
202306-至今 河南省濮阳市南乐县 待业"</f>
        <v>201909-202306 河南大学教育学部应用心理学 就读 全日制
202306-至今 河南省濮阳市南乐县 待业</v>
      </c>
    </row>
    <row r="3300" spans="1:9">
      <c r="A3300" s="1" t="str">
        <f>"411381199408200413"</f>
        <v>411381199408200413</v>
      </c>
      <c r="B3300" s="1" t="str">
        <f>"群众"</f>
        <v>群众</v>
      </c>
      <c r="C3300" s="1" t="str">
        <f>"专科"</f>
        <v>专科</v>
      </c>
      <c r="D3300" s="1" t="str">
        <f>"2017.06"</f>
        <v>2017.06</v>
      </c>
      <c r="E3300" s="1" t="str">
        <f>"山东凯文科技职业学院"</f>
        <v>山东凯文科技职业学院</v>
      </c>
      <c r="F3300" s="1" t="str">
        <f>"汽车检测与维修技术"</f>
        <v>汽车检测与维修技术</v>
      </c>
      <c r="G3300" s="1" t="str">
        <f>"河南省南阳市邓州市花洲街道办事处"</f>
        <v>河南省南阳市邓州市花洲街道办事处</v>
      </c>
      <c r="H3300" s="1" t="str">
        <f t="shared" si="1629"/>
        <v>无</v>
      </c>
      <c r="I3300" s="1" t="str">
        <f>"2014年09月01日-2017年06月30日在山东凯文科技职业学院汽车检测与维修技术专业就读，普通全日制；2017年6月30日-2018年3月在家待业；2018.3-2020.5在北京T3航站楼就业；2020.5-2022在家自主创业；2022-2025在装修公司担任设计师。"</f>
        <v>2014年09月01日-2017年06月30日在山东凯文科技职业学院汽车检测与维修技术专业就读，普通全日制；2017年6月30日-2018年3月在家待业；2018.3-2020.5在北京T3航站楼就业；2020.5-2022在家自主创业；2022-2025在装修公司担任设计师。</v>
      </c>
    </row>
    <row r="3301" spans="1:9">
      <c r="A3301" s="1" t="str">
        <f>"411324200310214217"</f>
        <v>411324200310214217</v>
      </c>
      <c r="B3301" s="1" t="str">
        <f t="shared" ref="B3301:B3304" si="1630">"共青团员"</f>
        <v>共青团员</v>
      </c>
      <c r="C3301" s="1" t="str">
        <f t="shared" ref="C3301:C3304" si="1631">"本科"</f>
        <v>本科</v>
      </c>
      <c r="D3301" s="1" t="str">
        <f>"20250620"</f>
        <v>20250620</v>
      </c>
      <c r="E3301" s="1" t="str">
        <f>"齐齐哈尔大学"</f>
        <v>齐齐哈尔大学</v>
      </c>
      <c r="F3301" s="1" t="str">
        <f>"应用化学"</f>
        <v>应用化学</v>
      </c>
      <c r="G3301" s="1" t="str">
        <f>"河南省南阳市镇平县张林乡"</f>
        <v>河南省南阳市镇平县张林乡</v>
      </c>
      <c r="H3301" s="1" t="str">
        <f t="shared" si="1629"/>
        <v>无</v>
      </c>
      <c r="I3301" s="1" t="str">
        <f>"202109-202506齐齐哈尔大学应用化学专业就读，全日制学历"</f>
        <v>202109-202506齐齐哈尔大学应用化学专业就读，全日制学历</v>
      </c>
    </row>
    <row r="3302" spans="1:9">
      <c r="A3302" s="1" t="str">
        <f>"411330200207273822"</f>
        <v>411330200207273822</v>
      </c>
      <c r="B3302" s="1" t="str">
        <f t="shared" si="1630"/>
        <v>共青团员</v>
      </c>
      <c r="C3302" s="1" t="str">
        <f t="shared" si="1631"/>
        <v>本科</v>
      </c>
      <c r="D3302" s="1" t="str">
        <f>"20250701"</f>
        <v>20250701</v>
      </c>
      <c r="E3302" s="1" t="str">
        <f>"郑州升达经贸管理学院"</f>
        <v>郑州升达经贸管理学院</v>
      </c>
      <c r="F3302" s="1" t="str">
        <f>"智能科学与技术"</f>
        <v>智能科学与技术</v>
      </c>
      <c r="G3302" s="1" t="str">
        <f>"河南省南阳市"</f>
        <v>河南省南阳市</v>
      </c>
      <c r="H3302" s="1" t="str">
        <f t="shared" si="1629"/>
        <v>无</v>
      </c>
      <c r="I3302" s="1" t="str">
        <f>"202109-202507在郑州升达经贸管理学院信息工程学院智能科学与技术专业就读，是全日制本科学历"</f>
        <v>202109-202507在郑州升达经贸管理学院信息工程学院智能科学与技术专业就读，是全日制本科学历</v>
      </c>
    </row>
    <row r="3303" ht="162" spans="1:9">
      <c r="A3303" s="1" t="str">
        <f>"34240119911008345X"</f>
        <v>34240119911008345X</v>
      </c>
      <c r="B3303" s="1" t="str">
        <f>"中共党员"</f>
        <v>中共党员</v>
      </c>
      <c r="C3303" s="1" t="str">
        <f t="shared" si="1631"/>
        <v>本科</v>
      </c>
      <c r="D3303" s="1" t="str">
        <f>"2016.07"</f>
        <v>2016.07</v>
      </c>
      <c r="E3303" s="1" t="str">
        <f>"宿州学院"</f>
        <v>宿州学院</v>
      </c>
      <c r="F3303" s="1" t="str">
        <f>"测绘工程"</f>
        <v>测绘工程</v>
      </c>
      <c r="G3303" s="1" t="str">
        <f>"安徽省六安市金大地紫金府6栋3106"</f>
        <v>安徽省六安市金大地紫金府6栋3106</v>
      </c>
      <c r="H3303" s="1" t="str">
        <f t="shared" si="1629"/>
        <v>无</v>
      </c>
      <c r="I3303" s="3" t="s">
        <v>262</v>
      </c>
    </row>
    <row r="3304" spans="1:9">
      <c r="A3304" s="1" t="str">
        <f>"411327200001182046"</f>
        <v>411327200001182046</v>
      </c>
      <c r="B3304" s="1" t="str">
        <f t="shared" si="1630"/>
        <v>共青团员</v>
      </c>
      <c r="C3304" s="1" t="str">
        <f t="shared" si="1631"/>
        <v>本科</v>
      </c>
      <c r="D3304" s="1" t="str">
        <f>"2022.07"</f>
        <v>2022.07</v>
      </c>
      <c r="E3304" s="1" t="str">
        <f>"郑州升达经贸管理学院"</f>
        <v>郑州升达经贸管理学院</v>
      </c>
      <c r="F3304" s="1" t="str">
        <f>"经济学"</f>
        <v>经济学</v>
      </c>
      <c r="G3304" s="1" t="str">
        <f>"河南省南阳市内乡县湍河东路维多利亚小区6号楼一单元404"</f>
        <v>河南省南阳市内乡县湍河东路维多利亚小区6号楼一单元404</v>
      </c>
      <c r="H3304" s="1" t="str">
        <f t="shared" si="1629"/>
        <v>无</v>
      </c>
      <c r="I3304" s="1" t="str">
        <f>"201809-202207  郑州升达经贸管理学院  经济学  全日制本科学历
202208-202212  上海万物新生环保科技集团有限公司
202301-202302  待业  河南省南阳市内乡县
202303-202306 横山桥静逸大酒店
202307-至今  常州南湖金属制品有限公司"</f>
        <v>201809-202207  郑州升达经贸管理学院  经济学  全日制本科学历
202208-202212  上海万物新生环保科技集团有限公司
202301-202302  待业  河南省南阳市内乡县
202303-202306 横山桥静逸大酒店
202307-至今  常州南湖金属制品有限公司</v>
      </c>
    </row>
    <row r="3305" spans="1:9">
      <c r="A3305" s="1" t="str">
        <f>"411327199701234542"</f>
        <v>411327199701234542</v>
      </c>
      <c r="B3305" s="1" t="str">
        <f>"群众"</f>
        <v>群众</v>
      </c>
      <c r="C3305" s="1" t="str">
        <f>"专科"</f>
        <v>专科</v>
      </c>
      <c r="D3305" s="1" t="str">
        <f>"2018年7月1日"</f>
        <v>2018年7月1日</v>
      </c>
      <c r="E3305" s="1" t="str">
        <f>"郑州工业应用技术学院"</f>
        <v>郑州工业应用技术学院</v>
      </c>
      <c r="F3305" s="1" t="str">
        <f>"艺术设计"</f>
        <v>艺术设计</v>
      </c>
      <c r="G3305" s="1" t="str">
        <f>"河南省南阳市淅川县金福苑小区"</f>
        <v>河南省南阳市淅川县金福苑小区</v>
      </c>
      <c r="H3305" s="1" t="str">
        <f t="shared" si="1629"/>
        <v>无</v>
      </c>
      <c r="I3305" s="1" t="str">
        <f>"2015年—2018年在郑州工业应用技术学院就读大学
"</f>
        <v>2015年—2018年在郑州工业应用技术学院就读大学
</v>
      </c>
    </row>
    <row r="3306" spans="1:9">
      <c r="A3306" s="1" t="str">
        <f>"411224199210238528"</f>
        <v>411224199210238528</v>
      </c>
      <c r="B3306" s="1" t="str">
        <f>"群众"</f>
        <v>群众</v>
      </c>
      <c r="C3306" s="1" t="str">
        <f>"专科"</f>
        <v>专科</v>
      </c>
      <c r="D3306" s="1" t="str">
        <f>"20140701"</f>
        <v>20140701</v>
      </c>
      <c r="E3306" s="1" t="str">
        <f>"新乡学院"</f>
        <v>新乡学院</v>
      </c>
      <c r="F3306" s="1" t="str">
        <f>"文化事业管理"</f>
        <v>文化事业管理</v>
      </c>
      <c r="G3306" s="1" t="str">
        <f>"河南省三门峡市卢氏县东城华府一单元"</f>
        <v>河南省三门峡市卢氏县东城华府一单元</v>
      </c>
      <c r="H3306" s="1" t="str">
        <f>"初中语文教师资格证；幼儿园教师资格证"</f>
        <v>初中语文教师资格证；幼儿园教师资格证</v>
      </c>
      <c r="I3306" s="1" t="str">
        <f>"20110901-20140701 新乡学院历史系文化事业管理专业就读，全日制；20140901-20171001工作于卢氏县东城幼儿园；20171001-20200830在家全职备考；20200901-20230731工作于卢氏县第二实验幼儿园；20230801至今在家全职备考。"</f>
        <v>20110901-20140701 新乡学院历史系文化事业管理专业就读，全日制；20140901-20171001工作于卢氏县东城幼儿园；20171001-20200830在家全职备考；20200901-20230731工作于卢氏县第二实验幼儿园；20230801至今在家全职备考。</v>
      </c>
    </row>
    <row r="3307" spans="1:9">
      <c r="A3307" s="1" t="str">
        <f>"411327200305080321"</f>
        <v>411327200305080321</v>
      </c>
      <c r="B3307" s="1" t="str">
        <f>"中共党员"</f>
        <v>中共党员</v>
      </c>
      <c r="C3307" s="1" t="str">
        <f t="shared" ref="C3307:C3311" si="1632">"本科"</f>
        <v>本科</v>
      </c>
      <c r="D3307" s="1" t="str">
        <f>"20250620"</f>
        <v>20250620</v>
      </c>
      <c r="E3307" s="1" t="str">
        <f>"河南财政金融学院"</f>
        <v>河南财政金融学院</v>
      </c>
      <c r="F3307" s="1" t="str">
        <f>"计算机科学与技术"</f>
        <v>计算机科学与技术</v>
      </c>
      <c r="G3307" s="1" t="str">
        <f>"河南省南阳市内乡县大桥乡谢营村227号"</f>
        <v>河南省南阳市内乡县大桥乡谢营村227号</v>
      </c>
      <c r="H3307" s="1" t="str">
        <f t="shared" ref="H3307:H3311" si="1633">"无"</f>
        <v>无</v>
      </c>
      <c r="I3307" s="1" t="str">
        <f>"202109-202506 河南财政金融学院学校计算机与人工智能学院计算机科学与技术专业就读，全日制学历。"</f>
        <v>202109-202506 河南财政金融学院学校计算机与人工智能学院计算机科学与技术专业就读，全日制学历。</v>
      </c>
    </row>
    <row r="3308" spans="1:9">
      <c r="A3308" s="1" t="str">
        <f>"411325200111130068"</f>
        <v>411325200111130068</v>
      </c>
      <c r="B3308" s="1" t="str">
        <f t="shared" ref="B3308:B3312" si="1634">"共青团员"</f>
        <v>共青团员</v>
      </c>
      <c r="C3308" s="1" t="str">
        <f t="shared" si="1632"/>
        <v>本科</v>
      </c>
      <c r="D3308" s="1" t="str">
        <f>"20250701"</f>
        <v>20250701</v>
      </c>
      <c r="E3308" s="1" t="str">
        <f>"郑州经贸学院"</f>
        <v>郑州经贸学院</v>
      </c>
      <c r="F3308" s="1" t="str">
        <f>"网络与新媒体"</f>
        <v>网络与新媒体</v>
      </c>
      <c r="G3308" s="1" t="str">
        <f>"河南省南阳市内乡县城关镇渚阳大街北十四巷二十三号"</f>
        <v>河南省南阳市内乡县城关镇渚阳大街北十四巷二十三号</v>
      </c>
      <c r="H3308" s="1" t="str">
        <f t="shared" si="1633"/>
        <v>无</v>
      </c>
      <c r="I3308" s="1" t="str">
        <f>"202109-202507 郑州经贸学院 法律与传媒学院 网络与新媒体 就读 全日制学历"</f>
        <v>202109-202507 郑州经贸学院 法律与传媒学院 网络与新媒体 就读 全日制学历</v>
      </c>
    </row>
    <row r="3309" spans="1:9">
      <c r="A3309" s="1" t="str">
        <f>"411327199902083525"</f>
        <v>411327199902083525</v>
      </c>
      <c r="B3309" s="1" t="str">
        <f t="shared" si="1634"/>
        <v>共青团员</v>
      </c>
      <c r="C3309" s="1" t="str">
        <f t="shared" si="1632"/>
        <v>本科</v>
      </c>
      <c r="D3309" s="1" t="str">
        <f>"20240701"</f>
        <v>20240701</v>
      </c>
      <c r="E3309" s="1" t="str">
        <f>"武汉科技大学"</f>
        <v>武汉科技大学</v>
      </c>
      <c r="F3309" s="1" t="str">
        <f>"护理学"</f>
        <v>护理学</v>
      </c>
      <c r="G3309" s="1" t="str">
        <f>"河南省南阳市内乡县板场乡文龙村"</f>
        <v>河南省南阳市内乡县板场乡文龙村</v>
      </c>
      <c r="H3309" s="1" t="str">
        <f>"初级"</f>
        <v>初级</v>
      </c>
      <c r="I3309" s="1" t="str">
        <f>"2022年3月至2024年7月在武汉科技大学就读护理专业"</f>
        <v>2022年3月至2024年7月在武汉科技大学就读护理专业</v>
      </c>
    </row>
    <row r="3310" spans="1:9">
      <c r="A3310" s="1" t="str">
        <f>"411324200209160541"</f>
        <v>411324200209160541</v>
      </c>
      <c r="B3310" s="1" t="str">
        <f>"中共预备党员"</f>
        <v>中共预备党员</v>
      </c>
      <c r="C3310" s="1" t="str">
        <f t="shared" si="1632"/>
        <v>本科</v>
      </c>
      <c r="D3310" s="1" t="str">
        <f>"20250615"</f>
        <v>20250615</v>
      </c>
      <c r="E3310" s="1" t="str">
        <f>"信阳农林学院"</f>
        <v>信阳农林学院</v>
      </c>
      <c r="F3310" s="1" t="str">
        <f>"财务管理"</f>
        <v>财务管理</v>
      </c>
      <c r="G3310" s="1" t="str">
        <f>"河南省南阳市镇平县一里沟"</f>
        <v>河南省南阳市镇平县一里沟</v>
      </c>
      <c r="H3310" s="1" t="str">
        <f>"初级会计资格证"</f>
        <v>初级会计资格证</v>
      </c>
      <c r="I3310" s="1" t="str">
        <f>"202110-202506在信阳农林学院管理学院财务管理专业就读全日制本科"</f>
        <v>202110-202506在信阳农林学院管理学院财务管理专业就读全日制本科</v>
      </c>
    </row>
    <row r="3311" spans="1:9">
      <c r="A3311" s="1" t="str">
        <f>"411327199509051519"</f>
        <v>411327199509051519</v>
      </c>
      <c r="B3311" s="1" t="str">
        <f>"群众"</f>
        <v>群众</v>
      </c>
      <c r="C3311" s="1" t="str">
        <f t="shared" si="1632"/>
        <v>本科</v>
      </c>
      <c r="D3311" s="1" t="str">
        <f>"20180701"</f>
        <v>20180701</v>
      </c>
      <c r="E3311" s="1" t="str">
        <f>"郑州工业应用技术学院 "</f>
        <v>郑州工业应用技术学院 </v>
      </c>
      <c r="F3311" s="1" t="str">
        <f>"土木工程"</f>
        <v>土木工程</v>
      </c>
      <c r="G3311" s="1" t="str">
        <f>"河南省内乡县湍东镇东王营村安西54号"</f>
        <v>河南省内乡县湍东镇东王营村安西54号</v>
      </c>
      <c r="H3311" s="1" t="str">
        <f t="shared" si="1633"/>
        <v>无</v>
      </c>
      <c r="I3311" s="1" t="str">
        <f>"201409-201807郑州工业应用技术学院建筑工程学院土木工程专业就读
201808-202011南阳待业
202012-202101河南正大畜禽有限公司
202102-202310郑州待业
202311-202401郑州市高新区刑侦大队（劳务派遣）
202402-202506郑州待业
202507郑州汉堡湾食品有限公司
"</f>
        <v>201409-201807郑州工业应用技术学院建筑工程学院土木工程专业就读
201808-202011南阳待业
202012-202101河南正大畜禽有限公司
202102-202310郑州待业
202311-202401郑州市高新区刑侦大队（劳务派遣）
202402-202506郑州待业
202507郑州汉堡湾食品有限公司
</v>
      </c>
    </row>
    <row r="3312" spans="1:9">
      <c r="A3312" s="1" t="str">
        <f>"411327200002014917"</f>
        <v>411327200002014917</v>
      </c>
      <c r="B3312" s="1" t="str">
        <f t="shared" si="1634"/>
        <v>共青团员</v>
      </c>
      <c r="C3312" s="1" t="str">
        <f>"专科"</f>
        <v>专科</v>
      </c>
      <c r="D3312" s="1" t="str">
        <f>"20220626"</f>
        <v>20220626</v>
      </c>
      <c r="E3312" s="1" t="str">
        <f>"山东交通职业学院"</f>
        <v>山东交通职业学院</v>
      </c>
      <c r="F3312" s="1" t="str">
        <f>"船舶电子电气技术"</f>
        <v>船舶电子电气技术</v>
      </c>
      <c r="G3312" s="1" t="str">
        <f>"河南省南阳市内乡县灌涨镇魏庄社区"</f>
        <v>河南省南阳市内乡县灌涨镇魏庄社区</v>
      </c>
      <c r="H3312" s="1" t="str">
        <f>"初级电工证.高压电工证"</f>
        <v>初级电工证.高压电工证</v>
      </c>
      <c r="I3312" s="1" t="str">
        <f>"201909-202206 山东交通职业学院航海系就读，全日制"</f>
        <v>201909-202206 山东交通职业学院航海系就读，全日制</v>
      </c>
    </row>
    <row r="3313" spans="1:9">
      <c r="A3313" s="1" t="str">
        <f>"410523199810070019"</f>
        <v>410523199810070019</v>
      </c>
      <c r="B3313" s="1" t="str">
        <f>"群众"</f>
        <v>群众</v>
      </c>
      <c r="C3313" s="1" t="str">
        <f t="shared" ref="C3313:C3318" si="1635">"本科"</f>
        <v>本科</v>
      </c>
      <c r="D3313" s="1" t="str">
        <f>"2021-07-01"</f>
        <v>2021-07-01</v>
      </c>
      <c r="E3313" s="1" t="str">
        <f>"中原工学院信息商务学院"</f>
        <v>中原工学院信息商务学院</v>
      </c>
      <c r="F3313" s="1" t="str">
        <f>"国际经济与贸易"</f>
        <v>国际经济与贸易</v>
      </c>
      <c r="G3313" s="1" t="str">
        <f>"汤阴县永通路北十一巷"</f>
        <v>汤阴县永通路北十一巷</v>
      </c>
      <c r="H3313" s="1" t="str">
        <f t="shared" ref="H3313:H3338" si="1636">"无"</f>
        <v>无</v>
      </c>
      <c r="I3313" s="1" t="str">
        <f>"201709-202107 中原工学院信息商务学院 商学院 国际经济与贸易专业就读 全日制
202107-202108 在家待业
202108-至今 汤阴县人民检察院 劳务派遣职工"</f>
        <v>201709-202107 中原工学院信息商务学院 商学院 国际经济与贸易专业就读 全日制
202107-202108 在家待业
202108-至今 汤阴县人民检察院 劳务派遣职工</v>
      </c>
    </row>
    <row r="3314" spans="1:9">
      <c r="A3314" s="1" t="str">
        <f>"411327200211151141"</f>
        <v>411327200211151141</v>
      </c>
      <c r="B3314" s="1" t="str">
        <f>"中共预备党员"</f>
        <v>中共预备党员</v>
      </c>
      <c r="C3314" s="1" t="str">
        <f t="shared" si="1635"/>
        <v>本科</v>
      </c>
      <c r="D3314" s="1" t="str">
        <f>"20250630"</f>
        <v>20250630</v>
      </c>
      <c r="E3314" s="1" t="str">
        <f>"新乡学院"</f>
        <v>新乡学院</v>
      </c>
      <c r="F3314" s="1" t="str">
        <f>"电子信息科学与技术"</f>
        <v>电子信息科学与技术</v>
      </c>
      <c r="G3314" s="1" t="str">
        <f>"河南省内乡县赤眉镇赤眉村"</f>
        <v>河南省内乡县赤眉镇赤眉村</v>
      </c>
      <c r="H3314" s="1" t="str">
        <f t="shared" si="1636"/>
        <v>无</v>
      </c>
      <c r="I3314" s="1" t="str">
        <f>"202109-202506在新乡学院物理与电子工程学院电子信息科学与技术专业就读，全日制本科。
202507-至今在南阳豫佳电子有限公司工作"</f>
        <v>202109-202506在新乡学院物理与电子工程学院电子信息科学与技术专业就读，全日制本科。
202507-至今在南阳豫佳电子有限公司工作</v>
      </c>
    </row>
    <row r="3315" spans="1:9">
      <c r="A3315" s="1" t="str">
        <f>"411327198901170024"</f>
        <v>411327198901170024</v>
      </c>
      <c r="B3315" s="1" t="str">
        <f>"中共党员"</f>
        <v>中共党员</v>
      </c>
      <c r="C3315" s="1" t="str">
        <f>"硕士研究生"</f>
        <v>硕士研究生</v>
      </c>
      <c r="D3315" s="1" t="str">
        <f>"20250612"</f>
        <v>20250612</v>
      </c>
      <c r="E3315" s="1" t="str">
        <f>"甘肃农业大学"</f>
        <v>甘肃农业大学</v>
      </c>
      <c r="F3315" s="1" t="str">
        <f>"工商管理"</f>
        <v>工商管理</v>
      </c>
      <c r="G3315" s="1" t="str">
        <f>"河南省南阳市内乡县菊园六村"</f>
        <v>河南省南阳市内乡县菊园六村</v>
      </c>
      <c r="H3315" s="1" t="str">
        <f>"中级经济师"</f>
        <v>中级经济师</v>
      </c>
      <c r="I3315" s="1" t="str">
        <f>"200609-201007 南阳师范学院经济与管理学院工商管理专业就读，全日制。
201008-201107 实习
201108-201308 无锡海辉软件有限公司上海分公司工作
201310-202406 南阳市神威爆破工程有限公司工作
202209-202506 甘肃农业大学工商管理专业就读 非全日制"</f>
        <v>200609-201007 南阳师范学院经济与管理学院工商管理专业就读，全日制。
201008-201107 实习
201108-201308 无锡海辉软件有限公司上海分公司工作
201310-202406 南阳市神威爆破工程有限公司工作
202209-202506 甘肃农业大学工商管理专业就读 非全日制</v>
      </c>
    </row>
    <row r="3316" spans="1:9">
      <c r="A3316" s="1" t="str">
        <f>"411325200207103945"</f>
        <v>411325200207103945</v>
      </c>
      <c r="B3316" s="1" t="str">
        <f t="shared" ref="B3316:B3319" si="1637">"共青团员"</f>
        <v>共青团员</v>
      </c>
      <c r="C3316" s="1" t="str">
        <f>"专科"</f>
        <v>专科</v>
      </c>
      <c r="D3316" s="1" t="str">
        <f>"20240701"</f>
        <v>20240701</v>
      </c>
      <c r="E3316" s="1" t="str">
        <f>"郑州商学院"</f>
        <v>郑州商学院</v>
      </c>
      <c r="F3316" s="1" t="str">
        <f>"大数据与会计"</f>
        <v>大数据与会计</v>
      </c>
      <c r="G3316" s="1" t="str">
        <f>"内乡县五小上坡谢洼村"</f>
        <v>内乡县五小上坡谢洼村</v>
      </c>
      <c r="H3316" s="1" t="str">
        <f t="shared" si="1636"/>
        <v>无</v>
      </c>
      <c r="I3316" s="1" t="str">
        <f>"202109-202407 郑州商学院会计学院大数据与会计专业就读 全日制学历"</f>
        <v>202109-202407 郑州商学院会计学院大数据与会计专业就读 全日制学历</v>
      </c>
    </row>
    <row r="3317" spans="1:9">
      <c r="A3317" s="1" t="str">
        <f>"411323200202100021"</f>
        <v>411323200202100021</v>
      </c>
      <c r="B3317" s="1" t="str">
        <f>"中共党员"</f>
        <v>中共党员</v>
      </c>
      <c r="C3317" s="1" t="str">
        <f t="shared" si="1635"/>
        <v>本科</v>
      </c>
      <c r="D3317" s="1" t="str">
        <f>"20230630"</f>
        <v>20230630</v>
      </c>
      <c r="E3317" s="1" t="str">
        <f>"郑州轻工业大学"</f>
        <v>郑州轻工业大学</v>
      </c>
      <c r="F3317" s="1" t="str">
        <f>"经济学"</f>
        <v>经济学</v>
      </c>
      <c r="G3317" s="1" t="str">
        <f>"河南省南阳市淅川县龙城花园二期"</f>
        <v>河南省南阳市淅川县龙城花园二期</v>
      </c>
      <c r="H3317" s="1" t="str">
        <f t="shared" si="1636"/>
        <v>无</v>
      </c>
      <c r="I3317" s="1" t="str">
        <f>"201909-202306 郑州轻工业大学经济与管理学院经济学专业就读；全日制学历
202306至今 待业"</f>
        <v>201909-202306 郑州轻工业大学经济与管理学院经济学专业就读；全日制学历
202306至今 待业</v>
      </c>
    </row>
    <row r="3318" spans="1:9">
      <c r="A3318" s="1" t="str">
        <f>"411327199903052026"</f>
        <v>411327199903052026</v>
      </c>
      <c r="B3318" s="1" t="str">
        <f t="shared" si="1637"/>
        <v>共青团员</v>
      </c>
      <c r="C3318" s="1" t="str">
        <f t="shared" si="1635"/>
        <v>本科</v>
      </c>
      <c r="D3318" s="1" t="str">
        <f>"20230701"</f>
        <v>20230701</v>
      </c>
      <c r="E3318" s="1" t="str">
        <f>"郑州商学院"</f>
        <v>郑州商学院</v>
      </c>
      <c r="F3318" s="1" t="str">
        <f>"工程管理"</f>
        <v>工程管理</v>
      </c>
      <c r="G3318" s="1" t="str">
        <f>"河南省南阳市内乡县师岗镇曹营村"</f>
        <v>河南省南阳市内乡县师岗镇曹营村</v>
      </c>
      <c r="H3318" s="1" t="str">
        <f t="shared" si="1636"/>
        <v>无</v>
      </c>
      <c r="I3318" s="1" t="str">
        <f>"201809-202106 信阳职业技术学院 商学院工程管理专业
202109-202309  郑州商学院 商学院与建筑工程学院工程管理专业
"</f>
        <v>201809-202106 信阳职业技术学院 商学院工程管理专业
202109-202309  郑州商学院 商学院与建筑工程学院工程管理专业
</v>
      </c>
    </row>
    <row r="3319" spans="1:9">
      <c r="A3319" s="1" t="str">
        <f>"411381200010261713"</f>
        <v>411381200010261713</v>
      </c>
      <c r="B3319" s="1" t="str">
        <f t="shared" si="1637"/>
        <v>共青团员</v>
      </c>
      <c r="C3319" s="1" t="str">
        <f>"专科"</f>
        <v>专科</v>
      </c>
      <c r="D3319" s="1" t="str">
        <f>"20220701"</f>
        <v>20220701</v>
      </c>
      <c r="E3319" s="1" t="str">
        <f>"河南职业技术学院"</f>
        <v>河南职业技术学院</v>
      </c>
      <c r="F3319" s="1" t="str">
        <f>"焊接技术与自动化"</f>
        <v>焊接技术与自动化</v>
      </c>
      <c r="G3319" s="1" t="str">
        <f>"河南省南阳市邓州市致远花苑"</f>
        <v>河南省南阳市邓州市致远花苑</v>
      </c>
      <c r="H3319" s="1" t="str">
        <f t="shared" si="1636"/>
        <v>无</v>
      </c>
      <c r="I3319" s="1" t="str">
        <f>"201909-202207于河南职业技术学院智能制造学院焊接技术与自动化专业就读，202207-202410于河南省南阳市邓州市待业，202410-至今于邓州市公安局情指联勤中心工作"</f>
        <v>201909-202207于河南职业技术学院智能制造学院焊接技术与自动化专业就读，202207-202410于河南省南阳市邓州市待业，202410-至今于邓州市公安局情指联勤中心工作</v>
      </c>
    </row>
    <row r="3320" spans="1:9">
      <c r="A3320" s="1" t="str">
        <f>"411327200002010019"</f>
        <v>411327200002010019</v>
      </c>
      <c r="B3320" s="1" t="str">
        <f t="shared" ref="B3320:B3324" si="1638">"群众"</f>
        <v>群众</v>
      </c>
      <c r="C3320" s="1" t="str">
        <f t="shared" ref="C3320:C3325" si="1639">"本科"</f>
        <v>本科</v>
      </c>
      <c r="D3320" s="1" t="str">
        <f>"20230630"</f>
        <v>20230630</v>
      </c>
      <c r="E3320" s="1" t="str">
        <f>"南京理工大学泰州科技学院"</f>
        <v>南京理工大学泰州科技学院</v>
      </c>
      <c r="F3320" s="1" t="str">
        <f>"电子信息工程"</f>
        <v>电子信息工程</v>
      </c>
      <c r="G3320" s="1" t="str">
        <f>"南阳市内乡县三里桥"</f>
        <v>南阳市内乡县三里桥</v>
      </c>
      <c r="H3320" s="1" t="str">
        <f t="shared" si="1636"/>
        <v>无</v>
      </c>
      <c r="I3320" s="1" t="str">
        <f>"201809-202106 苏州农业职业技术学院 智慧农业学院 计算机应用技术 是全日制学历
202109-202306 南京理工大学泰州科技学院 电子电气工程学院 电子信息工程 是全日制学历
2023-07-今 莱赛激光科技股份有限公司 嵌入式软件开发
"</f>
        <v>201809-202106 苏州农业职业技术学院 智慧农业学院 计算机应用技术 是全日制学历
202109-202306 南京理工大学泰州科技学院 电子电气工程学院 电子信息工程 是全日制学历
2023-07-今 莱赛激光科技股份有限公司 嵌入式软件开发
</v>
      </c>
    </row>
    <row r="3321" spans="1:9">
      <c r="A3321" s="1" t="str">
        <f>"411327200010161124"</f>
        <v>411327200010161124</v>
      </c>
      <c r="B3321" s="1" t="str">
        <f>"共青团员"</f>
        <v>共青团员</v>
      </c>
      <c r="C3321" s="1" t="str">
        <f t="shared" si="1639"/>
        <v>本科</v>
      </c>
      <c r="D3321" s="1" t="str">
        <f>"20230612"</f>
        <v>20230612</v>
      </c>
      <c r="E3321" s="1" t="str">
        <f>"湖南科技大学"</f>
        <v>湖南科技大学</v>
      </c>
      <c r="F3321" s="1" t="str">
        <f>"机械电子工程"</f>
        <v>机械电子工程</v>
      </c>
      <c r="G3321" s="1" t="str">
        <f>"河南省南阳市内乡县赤眉镇齐营村"</f>
        <v>河南省南阳市内乡县赤眉镇齐营村</v>
      </c>
      <c r="H3321" s="1" t="str">
        <f t="shared" si="1636"/>
        <v>无</v>
      </c>
      <c r="I3321" s="1" t="str">
        <f>"201909-202306 湖南科技大学机电学院机械电子工程专业就读 是全日制学历
202306-至今 河南待业"</f>
        <v>201909-202306 湖南科技大学机电学院机械电子工程专业就读 是全日制学历
202306-至今 河南待业</v>
      </c>
    </row>
    <row r="3322" spans="1:9">
      <c r="A3322" s="1" t="str">
        <f>"411330200203150067"</f>
        <v>411330200203150067</v>
      </c>
      <c r="B3322" s="1" t="str">
        <f>"中共党员"</f>
        <v>中共党员</v>
      </c>
      <c r="C3322" s="1" t="str">
        <f t="shared" si="1639"/>
        <v>本科</v>
      </c>
      <c r="D3322" s="1" t="str">
        <f>"20240701"</f>
        <v>20240701</v>
      </c>
      <c r="E3322" s="1" t="str">
        <f>"商丘工学院"</f>
        <v>商丘工学院</v>
      </c>
      <c r="F3322" s="1" t="str">
        <f>"小学教育(师范)"</f>
        <v>小学教育(师范)</v>
      </c>
      <c r="G3322" s="1" t="str">
        <f>"河南省南阳市西峡县白羽国际10号楼"</f>
        <v>河南省南阳市西峡县白羽国际10号楼</v>
      </c>
      <c r="H3322" s="1" t="str">
        <f t="shared" si="1636"/>
        <v>无</v>
      </c>
      <c r="I3322" s="1" t="str">
        <f>"202009-202407 商丘工学院就读
202408-202508待业"</f>
        <v>202009-202407 商丘工学院就读
202408-202508待业</v>
      </c>
    </row>
    <row r="3323" spans="1:9">
      <c r="A3323" s="1" t="str">
        <f>"411327200111241545"</f>
        <v>411327200111241545</v>
      </c>
      <c r="B3323" s="1" t="str">
        <f t="shared" si="1638"/>
        <v>群众</v>
      </c>
      <c r="C3323" s="1" t="str">
        <f t="shared" si="1639"/>
        <v>本科</v>
      </c>
      <c r="D3323" s="1" t="str">
        <f>"20250612"</f>
        <v>20250612</v>
      </c>
      <c r="E3323" s="1" t="str">
        <f>"新疆农业大学"</f>
        <v>新疆农业大学</v>
      </c>
      <c r="F3323" s="1" t="str">
        <f>"人文地理与城乡规划"</f>
        <v>人文地理与城乡规划</v>
      </c>
      <c r="G3323" s="1" t="str">
        <f>"河南省内乡县湍东镇五里堡次元组5号"</f>
        <v>河南省内乡县湍东镇五里堡次元组5号</v>
      </c>
      <c r="H3323" s="1" t="str">
        <f t="shared" si="1636"/>
        <v>无</v>
      </c>
      <c r="I3323" s="1" t="str">
        <f>"202109-202506，在新疆农业大学公共管理学院人文地理与城乡规划专业就读"</f>
        <v>202109-202506，在新疆农业大学公共管理学院人文地理与城乡规划专业就读</v>
      </c>
    </row>
    <row r="3324" spans="1:9">
      <c r="A3324" s="1" t="str">
        <f>"41132719970211004X"</f>
        <v>41132719970211004X</v>
      </c>
      <c r="B3324" s="1" t="str">
        <f t="shared" si="1638"/>
        <v>群众</v>
      </c>
      <c r="C3324" s="1" t="str">
        <f t="shared" si="1639"/>
        <v>本科</v>
      </c>
      <c r="D3324" s="1" t="str">
        <f>"20190701"</f>
        <v>20190701</v>
      </c>
      <c r="E3324" s="1" t="str">
        <f>"郑州大学"</f>
        <v>郑州大学</v>
      </c>
      <c r="F3324" s="1" t="str">
        <f>"经济学"</f>
        <v>经济学</v>
      </c>
      <c r="G3324" s="1" t="str">
        <f>"河南省南阳市内乡县城关镇维多利亚小区"</f>
        <v>河南省南阳市内乡县城关镇维多利亚小区</v>
      </c>
      <c r="H3324" s="1" t="str">
        <f t="shared" si="1636"/>
        <v>无</v>
      </c>
      <c r="I3324" s="1" t="str">
        <f>"201509-201907 在郑州大学国际学院经济系经济学就读
201907-202110 在内乡县待业
202110至今 在内乡县纪委监委工作（劳务派遣）"</f>
        <v>201509-201907 在郑州大学国际学院经济系经济学就读
201907-202110 在内乡县待业
202110至今 在内乡县纪委监委工作（劳务派遣）</v>
      </c>
    </row>
    <row r="3325" spans="1:9">
      <c r="A3325" s="1" t="str">
        <f>"410522200104286815"</f>
        <v>410522200104286815</v>
      </c>
      <c r="B3325" s="1" t="str">
        <f t="shared" ref="B3325:B3331" si="1640">"共青团员"</f>
        <v>共青团员</v>
      </c>
      <c r="C3325" s="1" t="str">
        <f t="shared" si="1639"/>
        <v>本科</v>
      </c>
      <c r="D3325" s="1" t="str">
        <f>"2024-06-01"</f>
        <v>2024-06-01</v>
      </c>
      <c r="E3325" s="1" t="str">
        <f>"河南警察学院"</f>
        <v>河南警察学院</v>
      </c>
      <c r="F3325" s="1" t="str">
        <f>"治安学"</f>
        <v>治安学</v>
      </c>
      <c r="G3325" s="1" t="str">
        <f>"河南省安阳市安阳县"</f>
        <v>河南省安阳市安阳县</v>
      </c>
      <c r="H3325" s="1" t="str">
        <f t="shared" si="1636"/>
        <v>无</v>
      </c>
      <c r="I3325" s="1" t="str">
        <f>"200709-201306  瓦店育才学校
201309-201606   瓦店一中
201609-201906  安阳县高级中学
201909-202006    殷都区第一高级中学
202009-202406   河南警察学院"</f>
        <v>200709-201306  瓦店育才学校
201309-201606   瓦店一中
201609-201906  安阳县高级中学
201909-202006    殷都区第一高级中学
202009-202406   河南警察学院</v>
      </c>
    </row>
    <row r="3326" spans="1:9">
      <c r="A3326" s="1" t="str">
        <f>"411327200004050014"</f>
        <v>411327200004050014</v>
      </c>
      <c r="B3326" s="1" t="str">
        <f t="shared" ref="B3326:B3329" si="1641">"群众"</f>
        <v>群众</v>
      </c>
      <c r="C3326" s="1" t="str">
        <f t="shared" ref="C3326:C3329" si="1642">"专科"</f>
        <v>专科</v>
      </c>
      <c r="D3326" s="1" t="str">
        <f>"2021.07"</f>
        <v>2021.07</v>
      </c>
      <c r="E3326" s="1" t="str">
        <f>"郑州电力高等专科学校"</f>
        <v>郑州电力高等专科学校</v>
      </c>
      <c r="F3326" s="1" t="str">
        <f>"电力系统自动化技术"</f>
        <v>电力系统自动化技术</v>
      </c>
      <c r="G3326" s="1" t="str">
        <f>"河南省内乡县城关镇公园南路75号"</f>
        <v>河南省内乡县城关镇公园南路75号</v>
      </c>
      <c r="H3326" s="1" t="str">
        <f t="shared" si="1636"/>
        <v>无</v>
      </c>
      <c r="I3326" s="1" t="str">
        <f>"201809-202106 在郑州电力高等专科学校，电力系统自动化技术专业就读，是全日制学历。
202308-至今  在内乡县人力资源与社会保障局，社会保险中心（大学生公益岗）在岗。"</f>
        <v>201809-202106 在郑州电力高等专科学校，电力系统自动化技术专业就读，是全日制学历。
202308-至今  在内乡县人力资源与社会保障局，社会保险中心（大学生公益岗）在岗。</v>
      </c>
    </row>
    <row r="3327" spans="1:9">
      <c r="A3327" s="1" t="str">
        <f>"411325200306084540"</f>
        <v>411325200306084540</v>
      </c>
      <c r="B3327" s="1" t="str">
        <f t="shared" si="1640"/>
        <v>共青团员</v>
      </c>
      <c r="C3327" s="1" t="str">
        <f>"本科"</f>
        <v>本科</v>
      </c>
      <c r="D3327" s="1" t="str">
        <f>"20250615"</f>
        <v>20250615</v>
      </c>
      <c r="E3327" s="1" t="str">
        <f>"河南农业大学"</f>
        <v>河南农业大学</v>
      </c>
      <c r="F3327" s="1" t="str">
        <f>"经济与金融"</f>
        <v>经济与金融</v>
      </c>
      <c r="G3327" s="1" t="str">
        <f>"河南省南阳市内乡县新民路23号"</f>
        <v>河南省南阳市内乡县新民路23号</v>
      </c>
      <c r="H3327" s="1" t="str">
        <f t="shared" si="1636"/>
        <v>无</v>
      </c>
      <c r="I3327" s="1" t="str">
        <f>"202109-202506河南农业大学经济与管理学院经济与金融专业就读（全日制）
202507至今内乡县尼莫儿童教育任职感统教师"</f>
        <v>202109-202506河南农业大学经济与管理学院经济与金融专业就读（全日制）
202507至今内乡县尼莫儿童教育任职感统教师</v>
      </c>
    </row>
    <row r="3328" spans="1:9">
      <c r="A3328" s="1" t="str">
        <f>"36073320030902761X"</f>
        <v>36073320030902761X</v>
      </c>
      <c r="B3328" s="1" t="str">
        <f t="shared" si="1641"/>
        <v>群众</v>
      </c>
      <c r="C3328" s="1" t="str">
        <f t="shared" si="1642"/>
        <v>专科</v>
      </c>
      <c r="D3328" s="1" t="str">
        <f>"20240701"</f>
        <v>20240701</v>
      </c>
      <c r="E3328" s="1" t="str">
        <f>"江西冶金职业技术学院"</f>
        <v>江西冶金职业技术学院</v>
      </c>
      <c r="F3328" s="1" t="str">
        <f>"新能源汽车技术"</f>
        <v>新能源汽车技术</v>
      </c>
      <c r="G3328" s="1" t="str">
        <f>"河南省南阳市淅川县钟观西区十八排"</f>
        <v>河南省南阳市淅川县钟观西区十八排</v>
      </c>
      <c r="H3328" s="1" t="str">
        <f t="shared" si="1636"/>
        <v>无</v>
      </c>
      <c r="I3328" s="1" t="str">
        <f>"202109-202407江西冶金职业技术学院智能制造系新能源汽车技术专业就读全日制学历"</f>
        <v>202109-202407江西冶金职业技术学院智能制造系新能源汽车技术专业就读全日制学历</v>
      </c>
    </row>
    <row r="3329" spans="1:9">
      <c r="A3329" s="1" t="str">
        <f>"41130219970211051X"</f>
        <v>41130219970211051X</v>
      </c>
      <c r="B3329" s="1" t="str">
        <f t="shared" si="1641"/>
        <v>群众</v>
      </c>
      <c r="C3329" s="1" t="str">
        <f t="shared" si="1642"/>
        <v>专科</v>
      </c>
      <c r="D3329" s="1" t="str">
        <f>"2021.07"</f>
        <v>2021.07</v>
      </c>
      <c r="E3329" s="1" t="str">
        <f>"国家开放大学"</f>
        <v>国家开放大学</v>
      </c>
      <c r="F3329" s="1" t="str">
        <f>"工商企业管理专业"</f>
        <v>工商企业管理专业</v>
      </c>
      <c r="G3329" s="1" t="str">
        <f>"南阳市仲景街道"</f>
        <v>南阳市仲景街道</v>
      </c>
      <c r="H3329" s="1" t="str">
        <f t="shared" si="1636"/>
        <v>无</v>
      </c>
      <c r="I3329" s="1" t="str">
        <f>"201809-202106国家开放大学就读，否全日制学历"</f>
        <v>201809-202106国家开放大学就读，否全日制学历</v>
      </c>
    </row>
    <row r="3330" spans="1:9">
      <c r="A3330" s="1" t="str">
        <f>"411327199811251124"</f>
        <v>411327199811251124</v>
      </c>
      <c r="B3330" s="1" t="str">
        <f t="shared" si="1640"/>
        <v>共青团员</v>
      </c>
      <c r="C3330" s="1" t="str">
        <f t="shared" ref="C3330:C3336" si="1643">"本科"</f>
        <v>本科</v>
      </c>
      <c r="D3330" s="1" t="str">
        <f>"20200701"</f>
        <v>20200701</v>
      </c>
      <c r="E3330" s="1" t="str">
        <f>"华北水利水电大学"</f>
        <v>华北水利水电大学</v>
      </c>
      <c r="F3330" s="1" t="str">
        <f>"劳动与社会保障"</f>
        <v>劳动与社会保障</v>
      </c>
      <c r="G3330" s="1" t="str">
        <f>"河南省南阳市内乡县赵店乡迎宾大道1号"</f>
        <v>河南省南阳市内乡县赵店乡迎宾大道1号</v>
      </c>
      <c r="H3330" s="1" t="str">
        <f t="shared" si="1636"/>
        <v>无</v>
      </c>
      <c r="I3330" s="1" t="str">
        <f>"201609-202007 华北水利水电大学、劳动与社会保障专业就读，全日制；
202007-202010 牧原食品股份有限公司就职；
202010-202206 待业；
202206至今 内乡县赵店乡人民政府就职。"</f>
        <v>201609-202007 华北水利水电大学、劳动与社会保障专业就读，全日制；
202007-202010 牧原食品股份有限公司就职；
202010-202206 待业；
202206至今 内乡县赵店乡人民政府就职。</v>
      </c>
    </row>
    <row r="3331" spans="1:9">
      <c r="A3331" s="1" t="str">
        <f>"412702199710101894"</f>
        <v>412702199710101894</v>
      </c>
      <c r="B3331" s="1" t="str">
        <f t="shared" si="1640"/>
        <v>共青团员</v>
      </c>
      <c r="C3331" s="1" t="str">
        <f>"硕士研究生"</f>
        <v>硕士研究生</v>
      </c>
      <c r="D3331" s="1" t="str">
        <f>"20250701"</f>
        <v>20250701</v>
      </c>
      <c r="E3331" s="1" t="str">
        <f>"河南工业大学"</f>
        <v>河南工业大学</v>
      </c>
      <c r="F3331" s="1" t="str">
        <f>"计算机技术"</f>
        <v>计算机技术</v>
      </c>
      <c r="G3331" s="1" t="str">
        <f>"河南省周口市项城市孙店镇姚庄"</f>
        <v>河南省周口市项城市孙店镇姚庄</v>
      </c>
      <c r="H3331" s="1" t="str">
        <f t="shared" si="1636"/>
        <v>无</v>
      </c>
      <c r="I3331" s="1" t="str">
        <f>"2013.09-2016.07 河南省周口市项城市第一高级中学 高中
2016.07-2017.09 高中复读
2017.09-2021.07 新乡学院 本科 软件工程专业
2021.07-2022.09 脱产备考
2022.09-2025.07 河南工业大学 硕士 计算机技术专业"</f>
        <v>2013.09-2016.07 河南省周口市项城市第一高级中学 高中
2016.07-2017.09 高中复读
2017.09-2021.07 新乡学院 本科 软件工程专业
2021.07-2022.09 脱产备考
2022.09-2025.07 河南工业大学 硕士 计算机技术专业</v>
      </c>
    </row>
    <row r="3332" spans="1:9">
      <c r="A3332" s="1" t="str">
        <f>"411323199806173461"</f>
        <v>411323199806173461</v>
      </c>
      <c r="B3332" s="1" t="str">
        <f t="shared" ref="B3332:B3336" si="1644">"群众"</f>
        <v>群众</v>
      </c>
      <c r="C3332" s="1" t="str">
        <f>"专科"</f>
        <v>专科</v>
      </c>
      <c r="D3332" s="1" t="str">
        <f>"2019-07-01"</f>
        <v>2019-07-01</v>
      </c>
      <c r="E3332" s="1" t="str">
        <f>"黄河科技学院"</f>
        <v>黄河科技学院</v>
      </c>
      <c r="F3332" s="1" t="str">
        <f>"旅游管理"</f>
        <v>旅游管理</v>
      </c>
      <c r="G3332" s="1" t="str">
        <f>"河南省淅川县上集镇钟观社区"</f>
        <v>河南省淅川县上集镇钟观社区</v>
      </c>
      <c r="H3332" s="1" t="str">
        <f t="shared" si="1636"/>
        <v>无</v>
      </c>
      <c r="I3332" s="1" t="str">
        <f>"201609-201907黄河科技学院 就读"</f>
        <v>201609-201907黄河科技学院 就读</v>
      </c>
    </row>
    <row r="3333" spans="1:9">
      <c r="A3333" s="1" t="str">
        <f>"411324200201100026"</f>
        <v>411324200201100026</v>
      </c>
      <c r="B3333" s="1" t="str">
        <f>"共青团员"</f>
        <v>共青团员</v>
      </c>
      <c r="C3333" s="1" t="str">
        <f t="shared" si="1643"/>
        <v>本科</v>
      </c>
      <c r="D3333" s="1" t="str">
        <f>"2024-06-06"</f>
        <v>2024-06-06</v>
      </c>
      <c r="E3333" s="1" t="str">
        <f>"信阳学院"</f>
        <v>信阳学院</v>
      </c>
      <c r="F3333" s="1" t="str">
        <f>"音乐学"</f>
        <v>音乐学</v>
      </c>
      <c r="G3333" s="1" t="str">
        <f>"河南省南阳市镇平县建业城二期11号楼一单元404"</f>
        <v>河南省南阳市镇平县建业城二期11号楼一单元404</v>
      </c>
      <c r="H3333" s="1" t="str">
        <f t="shared" si="1636"/>
        <v>无</v>
      </c>
      <c r="I3333" s="1" t="str">
        <f>"202009-202406 信阳学院音乐学院音乐学专业  就读"</f>
        <v>202009-202406 信阳学院音乐学院音乐学专业  就读</v>
      </c>
    </row>
    <row r="3334" spans="1:9">
      <c r="A3334" s="1" t="str">
        <f>"411323199504190012"</f>
        <v>411323199504190012</v>
      </c>
      <c r="B3334" s="1" t="str">
        <f t="shared" si="1644"/>
        <v>群众</v>
      </c>
      <c r="C3334" s="1" t="str">
        <f t="shared" si="1643"/>
        <v>本科</v>
      </c>
      <c r="D3334" s="1" t="str">
        <f>"20220702"</f>
        <v>20220702</v>
      </c>
      <c r="E3334" s="1" t="str">
        <f>"南阳师范学院"</f>
        <v>南阳师范学院</v>
      </c>
      <c r="F3334" s="1" t="str">
        <f>"法学"</f>
        <v>法学</v>
      </c>
      <c r="G3334" s="1" t="str">
        <f>"河南省南阳市淅川县信用联社南阳路"</f>
        <v>河南省南阳市淅川县信用联社南阳路</v>
      </c>
      <c r="H3334" s="1" t="str">
        <f t="shared" si="1636"/>
        <v>无</v>
      </c>
      <c r="I3334" s="1" t="str">
        <f>"201309-201510在天津武警8633部队服役，201503-201707天津商务职业学院（函数）201801在淅川县公安局就职至今，202003-202207南阳师范学院（函数）"</f>
        <v>201309-201510在天津武警8633部队服役，201503-201707天津商务职业学院（函数）201801在淅川县公安局就职至今，202003-202207南阳师范学院（函数）</v>
      </c>
    </row>
    <row r="3335" spans="1:9">
      <c r="A3335" s="1" t="str">
        <f>"411327199808301522"</f>
        <v>411327199808301522</v>
      </c>
      <c r="B3335" s="1" t="str">
        <f t="shared" si="1644"/>
        <v>群众</v>
      </c>
      <c r="C3335" s="1" t="str">
        <f t="shared" si="1643"/>
        <v>本科</v>
      </c>
      <c r="D3335" s="1" t="str">
        <f>"20210701"</f>
        <v>20210701</v>
      </c>
      <c r="E3335" s="1" t="str">
        <f>"郑州升达经贸管理学院"</f>
        <v>郑州升达经贸管理学院</v>
      </c>
      <c r="F3335" s="1" t="str">
        <f>"环境设计"</f>
        <v>环境设计</v>
      </c>
      <c r="G3335" s="1" t="str">
        <f>"河南省南阳市内乡县菊潭大街广源小区"</f>
        <v>河南省南阳市内乡县菊潭大街广源小区</v>
      </c>
      <c r="H3335" s="1" t="str">
        <f t="shared" si="1636"/>
        <v>无</v>
      </c>
      <c r="I3335" s="1" t="str">
        <f>"2016.09-2019.07  郑州工程技术学院  摄影摄像技术
2019.09-2021.07  郑州升达经贸管理学院    环境设计
2021.07-2022.03   在家待业
2022.03-2024.05  河南省聚爱数字科技有限公司  项目专员
2024.05-2025.02  在家待业
2025.02-2025.07河南聚爱管材科技有限公司 客户服务岗
2025，07-至今 在家待业
"</f>
        <v>2016.09-2019.07  郑州工程技术学院  摄影摄像技术
2019.09-2021.07  郑州升达经贸管理学院    环境设计
2021.07-2022.03   在家待业
2022.03-2024.05  河南省聚爱数字科技有限公司  项目专员
2024.05-2025.02  在家待业
2025.02-2025.07河南聚爱管材科技有限公司 客户服务岗
2025，07-至今 在家待业
</v>
      </c>
    </row>
    <row r="3336" spans="1:9">
      <c r="A3336" s="1" t="str">
        <f>"411327199804072523"</f>
        <v>411327199804072523</v>
      </c>
      <c r="B3336" s="1" t="str">
        <f t="shared" si="1644"/>
        <v>群众</v>
      </c>
      <c r="C3336" s="1" t="str">
        <f t="shared" si="1643"/>
        <v>本科</v>
      </c>
      <c r="D3336" s="1" t="str">
        <f>"20200701"</f>
        <v>20200701</v>
      </c>
      <c r="E3336" s="1" t="str">
        <f>"南阳师范学院"</f>
        <v>南阳师范学院</v>
      </c>
      <c r="F3336" s="1" t="str">
        <f>"英语"</f>
        <v>英语</v>
      </c>
      <c r="G3336" s="1" t="str">
        <f>"河南省南阳市内乡县王店镇"</f>
        <v>河南省南阳市内乡县王店镇</v>
      </c>
      <c r="H3336" s="1" t="str">
        <f t="shared" si="1636"/>
        <v>无</v>
      </c>
      <c r="I3336" s="1" t="str">
        <f>"201609-202007 南阳师范学院就读
202007-202208 待业
202208-202507 特岗教师"</f>
        <v>201609-202007 南阳师范学院就读
202007-202208 待业
202208-202507 特岗教师</v>
      </c>
    </row>
    <row r="3337" spans="1:9">
      <c r="A3337" s="1" t="str">
        <f>"411323200004210027"</f>
        <v>411323200004210027</v>
      </c>
      <c r="B3337" s="1" t="str">
        <f>"共青团员"</f>
        <v>共青团员</v>
      </c>
      <c r="C3337" s="1" t="str">
        <f>"专科"</f>
        <v>专科</v>
      </c>
      <c r="D3337" s="1" t="str">
        <f>"2021-07-01"</f>
        <v>2021-07-01</v>
      </c>
      <c r="E3337" s="1" t="str">
        <f>"郑州黄河护理职业学院"</f>
        <v>郑州黄河护理职业学院</v>
      </c>
      <c r="F3337" s="1" t="str">
        <f>"口腔医学技术专业"</f>
        <v>口腔医学技术专业</v>
      </c>
      <c r="G3337" s="1" t="str">
        <f>"内乡县南关环保小区"</f>
        <v>内乡县南关环保小区</v>
      </c>
      <c r="H3337" s="1" t="str">
        <f t="shared" si="1636"/>
        <v>无</v>
      </c>
      <c r="I3337" s="1" t="str">
        <f>"2018.09-2021.07 郑州黄河护理职业学院 口腔医学技术系
2021.12.14-2024.06.01 内乡县人民法院
2024.06.02-至今 待业"</f>
        <v>2018.09-2021.07 郑州黄河护理职业学院 口腔医学技术系
2021.12.14-2024.06.01 内乡县人民法院
2024.06.02-至今 待业</v>
      </c>
    </row>
    <row r="3338" spans="1:9">
      <c r="A3338" s="1" t="str">
        <f>"410581199711089084"</f>
        <v>410581199711089084</v>
      </c>
      <c r="B3338" s="1" t="str">
        <f t="shared" ref="B3338:B3342" si="1645">"群众"</f>
        <v>群众</v>
      </c>
      <c r="C3338" s="1" t="str">
        <f t="shared" ref="C3338:C3347" si="1646">"本科"</f>
        <v>本科</v>
      </c>
      <c r="D3338" s="1" t="str">
        <f>"20210701"</f>
        <v>20210701</v>
      </c>
      <c r="E3338" s="1" t="str">
        <f>"新乡学院"</f>
        <v>新乡学院</v>
      </c>
      <c r="F3338" s="1" t="str">
        <f>"园林"</f>
        <v>园林</v>
      </c>
      <c r="G3338" s="1" t="str">
        <f>"河南省郑州市中原区冉屯新村南院"</f>
        <v>河南省郑州市中原区冉屯新村南院</v>
      </c>
      <c r="H3338" s="1" t="str">
        <f t="shared" si="1636"/>
        <v>无</v>
      </c>
      <c r="I3338" s="1" t="str">
        <f>"2016年9月-2019年7月在河南农业职业学院园艺园林学院园林规划与设计专业就读，全日制学历；2019年9月-2021年7月在新乡学院生命科技学院园林专业就读，全日制学历；2021年7月-2022年9月在新乡考研待业，2022年9月-至今在郑州考公待业"</f>
        <v>2016年9月-2019年7月在河南农业职业学院园艺园林学院园林规划与设计专业就读，全日制学历；2019年9月-2021年7月在新乡学院生命科技学院园林专业就读，全日制学历；2021年7月-2022年9月在新乡考研待业，2022年9月-至今在郑州考公待业</v>
      </c>
    </row>
    <row r="3339" spans="1:9">
      <c r="A3339" s="1" t="str">
        <f>"411322199005022114"</f>
        <v>411322199005022114</v>
      </c>
      <c r="B3339" s="1" t="str">
        <f>"中共党员"</f>
        <v>中共党员</v>
      </c>
      <c r="C3339" s="1" t="str">
        <f>"专科"</f>
        <v>专科</v>
      </c>
      <c r="D3339" s="1" t="str">
        <f>"20120701"</f>
        <v>20120701</v>
      </c>
      <c r="E3339" s="1" t="str">
        <f>"南阳理工学院"</f>
        <v>南阳理工学院</v>
      </c>
      <c r="F3339" s="1" t="str">
        <f>"计算机网络技术"</f>
        <v>计算机网络技术</v>
      </c>
      <c r="G3339" s="1" t="str">
        <f>"河南省南阳市仲景路城发都市新城"</f>
        <v>河南省南阳市仲景路城发都市新城</v>
      </c>
      <c r="H3339" s="1" t="str">
        <f>"网络工程师证书中级"</f>
        <v>网络工程师证书中级</v>
      </c>
      <c r="I3339" s="1" t="str">
        <f>"201009-201207 南阳理工学院软件学院计算机网络技术专业就读 全日制
201207-201303 在家待业
201303-201403 南阳宾馆 行政工作
201403-202112 南阳市宛城区东关街道办事处  综治办职员
202112-至今      南阳市宛城区溧河街道办事处（2024年4月撤乡设街道）  经发办职员"</f>
        <v>201009-201207 南阳理工学院软件学院计算机网络技术专业就读 全日制
201207-201303 在家待业
201303-201403 南阳宾馆 行政工作
201403-202112 南阳市宛城区东关街道办事处  综治办职员
202112-至今      南阳市宛城区溧河街道办事处（2024年4月撤乡设街道）  经发办职员</v>
      </c>
    </row>
    <row r="3340" spans="1:9">
      <c r="A3340" s="1" t="str">
        <f>"411327200108171515"</f>
        <v>411327200108171515</v>
      </c>
      <c r="B3340" s="1" t="str">
        <f>"共青团员"</f>
        <v>共青团员</v>
      </c>
      <c r="C3340" s="1" t="str">
        <f t="shared" si="1646"/>
        <v>本科</v>
      </c>
      <c r="D3340" s="1" t="str">
        <f>"20240607"</f>
        <v>20240607</v>
      </c>
      <c r="E3340" s="1" t="str">
        <f>"安阳工学院"</f>
        <v>安阳工学院</v>
      </c>
      <c r="F3340" s="1" t="str">
        <f>"新能源材料与器件专业"</f>
        <v>新能源材料与器件专业</v>
      </c>
      <c r="G3340" s="1" t="str">
        <f>"河南省内乡县湍东镇庞营村岗顶56号"</f>
        <v>河南省内乡县湍东镇庞营村岗顶56号</v>
      </c>
      <c r="H3340" s="1" t="str">
        <f t="shared" ref="H3340:H3344" si="1647">"无"</f>
        <v>无</v>
      </c>
      <c r="I3340" s="1" t="str">
        <f>"2020.09-2024.06 安阳工学院 材料学院 新能源材料与器件专业 就读  全日制学历
2024.06-2025.07 待业"</f>
        <v>2020.09-2024.06 安阳工学院 材料学院 新能源材料与器件专业 就读  全日制学历
2024.06-2025.07 待业</v>
      </c>
    </row>
    <row r="3341" spans="1:9">
      <c r="A3341" s="1" t="str">
        <f>"411327199709271516"</f>
        <v>411327199709271516</v>
      </c>
      <c r="B3341" s="1" t="str">
        <f t="shared" si="1645"/>
        <v>群众</v>
      </c>
      <c r="C3341" s="1" t="str">
        <f t="shared" si="1646"/>
        <v>本科</v>
      </c>
      <c r="D3341" s="1" t="str">
        <f>"20200701"</f>
        <v>20200701</v>
      </c>
      <c r="E3341" s="1" t="str">
        <f>"郑州航空工业管理学院"</f>
        <v>郑州航空工业管理学院</v>
      </c>
      <c r="F3341" s="1" t="str">
        <f>"材料成型及控制工程"</f>
        <v>材料成型及控制工程</v>
      </c>
      <c r="G3341" s="1" t="str">
        <f>"河南省南阳市内乡县龙园村太古石组"</f>
        <v>河南省南阳市内乡县龙园村太古石组</v>
      </c>
      <c r="H3341" s="1" t="str">
        <f>"公路水运工程助理试验检测师"</f>
        <v>公路水运工程助理试验检测师</v>
      </c>
      <c r="I3341" s="1" t="str">
        <f>"201609-202007在郑州航空工业管理学院材料学院系材料成型及控制工程就读，为本科全日制。2020年6月-2025年2月于中犇检测认证有限公司工作。2025年2月至今于河南东福新材料股份有限公司工作。"</f>
        <v>201609-202007在郑州航空工业管理学院材料学院系材料成型及控制工程就读，为本科全日制。2020年6月-2025年2月于中犇检测认证有限公司工作。2025年2月至今于河南东福新材料股份有限公司工作。</v>
      </c>
    </row>
    <row r="3342" spans="1:9">
      <c r="A3342" s="1" t="str">
        <f>"411327200211272533"</f>
        <v>411327200211272533</v>
      </c>
      <c r="B3342" s="1" t="str">
        <f t="shared" si="1645"/>
        <v>群众</v>
      </c>
      <c r="C3342" s="1" t="str">
        <f t="shared" si="1646"/>
        <v>本科</v>
      </c>
      <c r="D3342" s="1" t="str">
        <f>"2025-06-30"</f>
        <v>2025-06-30</v>
      </c>
      <c r="E3342" s="1" t="str">
        <f>"长春工业大学人文信息学院"</f>
        <v>长春工业大学人文信息学院</v>
      </c>
      <c r="F3342" s="1" t="str">
        <f>"环境设计"</f>
        <v>环境设计</v>
      </c>
      <c r="G3342" s="1" t="str">
        <f>"河南省内乡县城关镇郦都大道号"</f>
        <v>河南省内乡县城关镇郦都大道号</v>
      </c>
      <c r="H3342" s="1" t="str">
        <f t="shared" si="1647"/>
        <v>无</v>
      </c>
      <c r="I3342" s="1" t="str">
        <f>"202109-202506长春工业大学人文信息学院艺术设计学院环境设计专业就读，是全日制本科学历。"</f>
        <v>202109-202506长春工业大学人文信息学院艺术设计学院环境设计专业就读，是全日制本科学历。</v>
      </c>
    </row>
    <row r="3343" spans="1:9">
      <c r="A3343" s="1" t="str">
        <f>"411327200109223129"</f>
        <v>411327200109223129</v>
      </c>
      <c r="B3343" s="1" t="str">
        <f>"共青团员"</f>
        <v>共青团员</v>
      </c>
      <c r="C3343" s="1" t="str">
        <f t="shared" si="1646"/>
        <v>本科</v>
      </c>
      <c r="D3343" s="1" t="str">
        <f>"20240701"</f>
        <v>20240701</v>
      </c>
      <c r="E3343" s="1" t="str">
        <f>"郑州科技学院"</f>
        <v>郑州科技学院</v>
      </c>
      <c r="F3343" s="1" t="str">
        <f>"英语"</f>
        <v>英语</v>
      </c>
      <c r="G3343" s="1" t="str">
        <f>"河南省南阳市吧内乡县夏馆镇夏馆村"</f>
        <v>河南省南阳市吧内乡县夏馆镇夏馆村</v>
      </c>
      <c r="H3343" s="1" t="str">
        <f t="shared" si="1647"/>
        <v>无</v>
      </c>
      <c r="I3343" s="1" t="str">
        <f>"202009-202407郑州科技学院外国语学院英语专业就读，全日制学历。"</f>
        <v>202009-202407郑州科技学院外国语学院英语专业就读，全日制学历。</v>
      </c>
    </row>
    <row r="3344" spans="1:9">
      <c r="A3344" s="1" t="str">
        <f>"411327199306270017"</f>
        <v>411327199306270017</v>
      </c>
      <c r="B3344" s="1" t="str">
        <f>"中共党员"</f>
        <v>中共党员</v>
      </c>
      <c r="C3344" s="1" t="str">
        <f t="shared" si="1646"/>
        <v>本科</v>
      </c>
      <c r="D3344" s="1" t="str">
        <f>"2016.07"</f>
        <v>2016.07</v>
      </c>
      <c r="E3344" s="1" t="str">
        <f>"郑州大学"</f>
        <v>郑州大学</v>
      </c>
      <c r="F3344" s="1" t="str">
        <f>"艺术设计（视觉传达设计方向）"</f>
        <v>艺术设计（视觉传达设计方向）</v>
      </c>
      <c r="G3344" s="1" t="str">
        <f>"河南省南阳市内乡县财富广场谊诚玩具"</f>
        <v>河南省南阳市内乡县财富广场谊诚玩具</v>
      </c>
      <c r="H3344" s="1" t="str">
        <f t="shared" si="1647"/>
        <v>无</v>
      </c>
      <c r="I3344" s="1" t="str">
        <f>"201209-201606 郑州大学西亚斯国际学院艺术设计系视觉传达专业就读
201606-201709 在家待业
201709-201904 内乡县城关镇政府购岗
201905-201909 在家待业
201910-202101 深圳务工
202104至今内乡县发改委政府购岗"</f>
        <v>201209-201606 郑州大学西亚斯国际学院艺术设计系视觉传达专业就读
201606-201709 在家待业
201709-201904 内乡县城关镇政府购岗
201905-201909 在家待业
201910-202101 深圳务工
202104至今内乡县发改委政府购岗</v>
      </c>
    </row>
    <row r="3345" spans="1:9">
      <c r="A3345" s="1" t="str">
        <f>"411381200109163945"</f>
        <v>411381200109163945</v>
      </c>
      <c r="B3345" s="1" t="str">
        <f t="shared" ref="B3345:B3348" si="1648">"群众"</f>
        <v>群众</v>
      </c>
      <c r="C3345" s="1" t="str">
        <f t="shared" si="1646"/>
        <v>本科</v>
      </c>
      <c r="D3345" s="1" t="str">
        <f>"2024-06-14"</f>
        <v>2024-06-14</v>
      </c>
      <c r="E3345" s="1" t="str">
        <f>"信阳农林学院"</f>
        <v>信阳农林学院</v>
      </c>
      <c r="F3345" s="1" t="str">
        <f>"会计学"</f>
        <v>会计学</v>
      </c>
      <c r="G3345" s="1" t="str">
        <f>"河南省南阳市内乡县范蠡大街郦都小区7号楼1单元"</f>
        <v>河南省南阳市内乡县范蠡大街郦都小区7号楼1单元</v>
      </c>
      <c r="H3345" s="1" t="str">
        <f>"初级会计资格证书"</f>
        <v>初级会计资格证书</v>
      </c>
      <c r="I3345" s="1" t="str">
        <f>"202009-202406  信阳农林学院 管理学院 会计学专业 就读，全日制学历"</f>
        <v>202009-202406  信阳农林学院 管理学院 会计学专业 就读，全日制学历</v>
      </c>
    </row>
    <row r="3346" spans="1:9">
      <c r="A3346" s="1" t="str">
        <f>"411327200010284546"</f>
        <v>411327200010284546</v>
      </c>
      <c r="B3346" s="1" t="str">
        <f t="shared" si="1648"/>
        <v>群众</v>
      </c>
      <c r="C3346" s="1" t="str">
        <f t="shared" si="1646"/>
        <v>本科</v>
      </c>
      <c r="D3346" s="1" t="str">
        <f>"20230630"</f>
        <v>20230630</v>
      </c>
      <c r="E3346" s="1" t="str">
        <f>"信阳学院"</f>
        <v>信阳学院</v>
      </c>
      <c r="F3346" s="1" t="str">
        <f>"小学教育"</f>
        <v>小学教育</v>
      </c>
      <c r="G3346" s="1" t="str">
        <f>"河南省南阳市内乡县赵店乡花洼村"</f>
        <v>河南省南阳市内乡县赵店乡花洼村</v>
      </c>
      <c r="H3346" s="1" t="str">
        <f>"教师资格证"</f>
        <v>教师资格证</v>
      </c>
      <c r="I3346" s="1" t="str">
        <f>"201909—202309信阳学院就读
202309在郦都学校工作"</f>
        <v>201909—202309信阳学院就读
202309在郦都学校工作</v>
      </c>
    </row>
    <row r="3347" spans="1:9">
      <c r="A3347" s="1" t="str">
        <f>"411323200209014361"</f>
        <v>411323200209014361</v>
      </c>
      <c r="B3347" s="1" t="str">
        <f t="shared" si="1648"/>
        <v>群众</v>
      </c>
      <c r="C3347" s="1" t="str">
        <f t="shared" si="1646"/>
        <v>本科</v>
      </c>
      <c r="D3347" s="1" t="str">
        <f>"20250610"</f>
        <v>20250610</v>
      </c>
      <c r="E3347" s="1" t="str">
        <f>"中原科技学院"</f>
        <v>中原科技学院</v>
      </c>
      <c r="F3347" s="1" t="str">
        <f>"学前教育"</f>
        <v>学前教育</v>
      </c>
      <c r="G3347" s="1" t="str">
        <f>"河南省南阳市西峡县莲花街道水电路38号"</f>
        <v>河南省南阳市西峡县莲花街道水电路38号</v>
      </c>
      <c r="H3347" s="1" t="str">
        <f t="shared" ref="H3347:H3349" si="1649">"无"</f>
        <v>无</v>
      </c>
      <c r="I3347" s="1" t="str">
        <f>"202009-202307郑州幼儿师范高等专科学校舞蹈教育专业就读全日制
202309-202506中原科技学院教育学院学前教育专业就读全日制"</f>
        <v>202009-202307郑州幼儿师范高等专科学校舞蹈教育专业就读全日制
202309-202506中原科技学院教育学院学前教育专业就读全日制</v>
      </c>
    </row>
    <row r="3348" spans="1:9">
      <c r="A3348" s="1" t="str">
        <f>"411324200012071115"</f>
        <v>411324200012071115</v>
      </c>
      <c r="B3348" s="1" t="str">
        <f t="shared" si="1648"/>
        <v>群众</v>
      </c>
      <c r="C3348" s="1" t="str">
        <f>"专科"</f>
        <v>专科</v>
      </c>
      <c r="D3348" s="1" t="str">
        <f>"20210630"</f>
        <v>20210630</v>
      </c>
      <c r="E3348" s="1" t="str">
        <f>"无锡工艺职业技术学院"</f>
        <v>无锡工艺职业技术学院</v>
      </c>
      <c r="F3348" s="1" t="str">
        <f>"广告设计与制作"</f>
        <v>广告设计与制作</v>
      </c>
      <c r="G3348" s="1" t="str">
        <f>"河南省南阳市内乡县"</f>
        <v>河南省南阳市内乡县</v>
      </c>
      <c r="H3348" s="1" t="str">
        <f t="shared" si="1649"/>
        <v>无</v>
      </c>
      <c r="I3348" s="1" t="str">
        <f>"20180910—20210630在无锡工艺职业技术学院就读
20220410—至今在内乡县融媒体中心工作"</f>
        <v>20180910—20210630在无锡工艺职业技术学院就读
20220410—至今在内乡县融媒体中心工作</v>
      </c>
    </row>
    <row r="3349" spans="1:9">
      <c r="A3349" s="1" t="str">
        <f>"410403200112055545"</f>
        <v>410403200112055545</v>
      </c>
      <c r="B3349" s="1" t="str">
        <f t="shared" ref="B3349:B3353" si="1650">"共青团员"</f>
        <v>共青团员</v>
      </c>
      <c r="C3349" s="1" t="str">
        <f t="shared" ref="C3349:C3358" si="1651">"本科"</f>
        <v>本科</v>
      </c>
      <c r="D3349" s="1" t="str">
        <f>"20240601"</f>
        <v>20240601</v>
      </c>
      <c r="E3349" s="1" t="str">
        <f>"平顶山学院"</f>
        <v>平顶山学院</v>
      </c>
      <c r="F3349" s="1" t="str">
        <f>"环境设计"</f>
        <v>环境设计</v>
      </c>
      <c r="G3349" s="1" t="str">
        <f>"平顶山市新华区"</f>
        <v>平顶山市新华区</v>
      </c>
      <c r="H3349" s="1" t="str">
        <f t="shared" si="1649"/>
        <v>无</v>
      </c>
      <c r="I3349" s="1" t="str">
        <f>"202009-202406 平顶山学院 就读 艺术设计学院 环境设计专业 全日制
202406-202507 河南工铭艺社装饰设计有限公司 设计师助理"</f>
        <v>202009-202406 平顶山学院 就读 艺术设计学院 环境设计专业 全日制
202406-202507 河南工铭艺社装饰设计有限公司 设计师助理</v>
      </c>
    </row>
    <row r="3350" spans="1:9">
      <c r="A3350" s="1" t="str">
        <f>"411327200204240023"</f>
        <v>411327200204240023</v>
      </c>
      <c r="B3350" s="1" t="str">
        <f t="shared" si="1650"/>
        <v>共青团员</v>
      </c>
      <c r="C3350" s="1" t="str">
        <f t="shared" si="1651"/>
        <v>本科</v>
      </c>
      <c r="D3350" s="1" t="str">
        <f>"2024-06-02"</f>
        <v>2024-06-02</v>
      </c>
      <c r="E3350" s="1" t="str">
        <f>"安阳学院"</f>
        <v>安阳学院</v>
      </c>
      <c r="F3350" s="1" t="str">
        <f>"财务管理"</f>
        <v>财务管理</v>
      </c>
      <c r="G3350" s="1" t="str">
        <f>"河南省南阳市内乡县城关镇县衙路122号"</f>
        <v>河南省南阳市内乡县城关镇县衙路122号</v>
      </c>
      <c r="H3350" s="1" t="str">
        <f>"初级会计证"</f>
        <v>初级会计证</v>
      </c>
      <c r="I3350" s="1" t="str">
        <f>"2020.9至2024.6在安阳学院工商管理学院财务管理专业就读，是全日制学历"</f>
        <v>2020.9至2024.6在安阳学院工商管理学院财务管理专业就读，是全日制学历</v>
      </c>
    </row>
    <row r="3351" spans="1:9">
      <c r="A3351" s="1" t="str">
        <f>"411381199812080433"</f>
        <v>411381199812080433</v>
      </c>
      <c r="B3351" s="1" t="str">
        <f>"群众"</f>
        <v>群众</v>
      </c>
      <c r="C3351" s="1" t="str">
        <f>"专科"</f>
        <v>专科</v>
      </c>
      <c r="D3351" s="1" t="str">
        <f>"20250701"</f>
        <v>20250701</v>
      </c>
      <c r="E3351" s="1" t="str">
        <f>"河南质量工程职业学院"</f>
        <v>河南质量工程职业学院</v>
      </c>
      <c r="F3351" s="1" t="str">
        <f>"计算机网络技术"</f>
        <v>计算机网络技术</v>
      </c>
      <c r="G3351" s="1" t="str">
        <f>"河南省邓州市"</f>
        <v>河南省邓州市</v>
      </c>
      <c r="H3351" s="1" t="str">
        <f t="shared" ref="H3351:H3355" si="1652">"无"</f>
        <v>无</v>
      </c>
      <c r="I3351" s="1" t="str">
        <f>"202109-202506 河南质量工程职业学院"</f>
        <v>202109-202506 河南质量工程职业学院</v>
      </c>
    </row>
    <row r="3352" spans="1:9">
      <c r="A3352" s="1" t="str">
        <f>"411224200306166413"</f>
        <v>411224200306166413</v>
      </c>
      <c r="B3352" s="1" t="str">
        <f t="shared" si="1650"/>
        <v>共青团员</v>
      </c>
      <c r="C3352" s="1" t="str">
        <f t="shared" si="1651"/>
        <v>本科</v>
      </c>
      <c r="D3352" s="1" t="str">
        <f>"20250606"</f>
        <v>20250606</v>
      </c>
      <c r="E3352" s="1" t="str">
        <f>"河南开封科技传媒学院"</f>
        <v>河南开封科技传媒学院</v>
      </c>
      <c r="F3352" s="1" t="str">
        <f>"法学"</f>
        <v>法学</v>
      </c>
      <c r="G3352" s="1" t="str">
        <f>"河南省三门峡市卢氏县"</f>
        <v>河南省三门峡市卢氏县</v>
      </c>
      <c r="H3352" s="1" t="str">
        <f t="shared" si="1652"/>
        <v>无</v>
      </c>
      <c r="I3352" s="1" t="str">
        <f>"202109——202506就读于河南开封科技传媒学院人文学院法学专业全日制本科。
202506——至今待业"</f>
        <v>202109——202506就读于河南开封科技传媒学院人文学院法学专业全日制本科。
202506——至今待业</v>
      </c>
    </row>
    <row r="3353" spans="1:9">
      <c r="A3353" s="1" t="str">
        <f>"411082200303051277"</f>
        <v>411082200303051277</v>
      </c>
      <c r="B3353" s="1" t="str">
        <f t="shared" si="1650"/>
        <v>共青团员</v>
      </c>
      <c r="C3353" s="1" t="str">
        <f t="shared" si="1651"/>
        <v>本科</v>
      </c>
      <c r="D3353" s="1" t="str">
        <f>"20250610"</f>
        <v>20250610</v>
      </c>
      <c r="E3353" s="1" t="str">
        <f>"河南理工大学"</f>
        <v>河南理工大学</v>
      </c>
      <c r="F3353" s="1" t="str">
        <f>"计算机科学与技术"</f>
        <v>计算机科学与技术</v>
      </c>
      <c r="G3353" s="1" t="str">
        <f>"河南省许昌市长葛市后河镇沟冯村"</f>
        <v>河南省许昌市长葛市后河镇沟冯村</v>
      </c>
      <c r="H3353" s="1" t="str">
        <f t="shared" si="1652"/>
        <v>无</v>
      </c>
      <c r="I3353" s="1" t="str">
        <f>"202109-202506  河南理工大学计算机科学与技术系计算机科学与技术专业就读"</f>
        <v>202109-202506  河南理工大学计算机科学与技术系计算机科学与技术专业就读</v>
      </c>
    </row>
    <row r="3354" spans="1:9">
      <c r="A3354" s="1" t="str">
        <f>"411327199909102565"</f>
        <v>411327199909102565</v>
      </c>
      <c r="B3354" s="1" t="str">
        <f t="shared" ref="B3354:B3359" si="1653">"群众"</f>
        <v>群众</v>
      </c>
      <c r="C3354" s="1" t="str">
        <f t="shared" si="1651"/>
        <v>本科</v>
      </c>
      <c r="D3354" s="1" t="str">
        <f>"20210701"</f>
        <v>20210701</v>
      </c>
      <c r="E3354" s="1" t="str">
        <f>"黄淮学院"</f>
        <v>黄淮学院</v>
      </c>
      <c r="F3354" s="1" t="str">
        <f>"翻译"</f>
        <v>翻译</v>
      </c>
      <c r="G3354" s="1" t="str">
        <f>"河南省南阳市内乡县湍河东路林场小区"</f>
        <v>河南省南阳市内乡县湍河东路林场小区</v>
      </c>
      <c r="H3354" s="1" t="str">
        <f t="shared" si="1652"/>
        <v>无</v>
      </c>
      <c r="I3354" s="1" t="str">
        <f>"201709-202107   黄淮学院外国语学院翻译专业就读
202108-202201   林场小区待业
202202-202408   河南省洛阳市老城区建安门街道任职
202409-至今        林场小区待业"</f>
        <v>201709-202107   黄淮学院外国语学院翻译专业就读
202108-202201   林场小区待业
202202-202408   河南省洛阳市老城区建安门街道任职
202409-至今        林场小区待业</v>
      </c>
    </row>
    <row r="3355" spans="1:9">
      <c r="A3355" s="1" t="str">
        <f>"411327200007141114"</f>
        <v>411327200007141114</v>
      </c>
      <c r="B3355" s="1" t="str">
        <f>"中共党员"</f>
        <v>中共党员</v>
      </c>
      <c r="C3355" s="1" t="str">
        <f t="shared" si="1651"/>
        <v>本科</v>
      </c>
      <c r="D3355" s="1" t="str">
        <f>"20220701"</f>
        <v>20220701</v>
      </c>
      <c r="E3355" s="1" t="str">
        <f>"河南城建学院"</f>
        <v>河南城建学院</v>
      </c>
      <c r="F3355" s="1" t="str">
        <f>"园林"</f>
        <v>园林</v>
      </c>
      <c r="G3355" s="1" t="str">
        <f>"河南省南阳市内乡县赤眉镇黄岗村贾岗45号附1号"</f>
        <v>河南省南阳市内乡县赤眉镇黄岗村贾岗45号附1号</v>
      </c>
      <c r="H3355" s="1" t="str">
        <f t="shared" si="1652"/>
        <v>无</v>
      </c>
      <c r="I3355" s="1" t="str">
        <f>"201809-202207河南城建学院生命科学与工程学院园林专业就读，是全日制学历
202207-202306在河南省南阳市内乡县待业
202306-202402在金埔园林湖北有限公司工作
202403至今在汇绿园林建设发展有限公司工作"</f>
        <v>201809-202207河南城建学院生命科学与工程学院园林专业就读，是全日制学历
202207-202306在河南省南阳市内乡县待业
202306-202402在金埔园林湖北有限公司工作
202403至今在汇绿园林建设发展有限公司工作</v>
      </c>
    </row>
    <row r="3356" spans="1:9">
      <c r="A3356" s="1" t="str">
        <f>"411327199808310314"</f>
        <v>411327199808310314</v>
      </c>
      <c r="B3356" s="1" t="str">
        <f t="shared" ref="B3356:B3361" si="1654">"共青团员"</f>
        <v>共青团员</v>
      </c>
      <c r="C3356" s="1" t="str">
        <f t="shared" si="1651"/>
        <v>本科</v>
      </c>
      <c r="D3356" s="1" t="str">
        <f>"20200630"</f>
        <v>20200630</v>
      </c>
      <c r="E3356" s="1" t="str">
        <f>"黄淮学院"</f>
        <v>黄淮学院</v>
      </c>
      <c r="F3356" s="1" t="str">
        <f>"电子信息工程"</f>
        <v>电子信息工程</v>
      </c>
      <c r="G3356" s="1" t="str">
        <f>"474350"</f>
        <v>474350</v>
      </c>
      <c r="H3356" s="1" t="str">
        <f>"电工五级"</f>
        <v>电工五级</v>
      </c>
      <c r="I3356" s="1" t="str">
        <f>"201609-202006  黄淮学院智能制造系电子信息工程就读  是全日制
202009-202209  32061部队
202210-202506 合肥沛顿科技有限公司职工
"</f>
        <v>201609-202006  黄淮学院智能制造系电子信息工程就读  是全日制
202009-202209  32061部队
202210-202506 合肥沛顿科技有限公司职工
</v>
      </c>
    </row>
    <row r="3357" spans="1:9">
      <c r="A3357" s="1" t="str">
        <f>"411381199408084520"</f>
        <v>411381199408084520</v>
      </c>
      <c r="B3357" s="1" t="str">
        <f t="shared" si="1653"/>
        <v>群众</v>
      </c>
      <c r="C3357" s="1" t="str">
        <f t="shared" si="1651"/>
        <v>本科</v>
      </c>
      <c r="D3357" s="1" t="str">
        <f>"20171230"</f>
        <v>20171230</v>
      </c>
      <c r="E3357" s="1" t="str">
        <f>"辽宁师范大学"</f>
        <v>辽宁师范大学</v>
      </c>
      <c r="F3357" s="1" t="str">
        <f>"学前教育"</f>
        <v>学前教育</v>
      </c>
      <c r="G3357" s="1" t="str">
        <f>"河南省邓州市裴营乡前郑村"</f>
        <v>河南省邓州市裴营乡前郑村</v>
      </c>
      <c r="H3357" s="1" t="str">
        <f t="shared" ref="H3357:H3359" si="1655">"无"</f>
        <v>无</v>
      </c>
      <c r="I3357" s="1" t="str">
        <f>"20130901-20171230 辽宁师范大学就读，自考本科学历"</f>
        <v>20130901-20171230 辽宁师范大学就读，自考本科学历</v>
      </c>
    </row>
    <row r="3358" spans="1:9">
      <c r="A3358" s="1" t="str">
        <f>"411325200201158240"</f>
        <v>411325200201158240</v>
      </c>
      <c r="B3358" s="1" t="str">
        <f t="shared" si="1654"/>
        <v>共青团员</v>
      </c>
      <c r="C3358" s="1" t="str">
        <f t="shared" si="1651"/>
        <v>本科</v>
      </c>
      <c r="D3358" s="1" t="str">
        <f>"20240625"</f>
        <v>20240625</v>
      </c>
      <c r="E3358" s="1" t="str">
        <f>"河南财政金融学院"</f>
        <v>河南财政金融学院</v>
      </c>
      <c r="F3358" s="1" t="str">
        <f>"酒店管理"</f>
        <v>酒店管理</v>
      </c>
      <c r="G3358" s="1" t="str">
        <f>"河南省南阳市唐河县毕店镇"</f>
        <v>河南省南阳市唐河县毕店镇</v>
      </c>
      <c r="H3358" s="1" t="str">
        <f t="shared" si="1655"/>
        <v>无</v>
      </c>
      <c r="I3358" s="1" t="str">
        <f>"201909-202207 河南职业技术学院 智慧健康学院 中西面点工艺 全日制专科
202209-202406 河南财政金融学院 旅游管理学院 酒店管理 全日制本科
202406至今在家待业"</f>
        <v>201909-202207 河南职业技术学院 智慧健康学院 中西面点工艺 全日制专科
202209-202406 河南财政金融学院 旅游管理学院 酒店管理 全日制本科
202406至今在家待业</v>
      </c>
    </row>
    <row r="3359" spans="1:9">
      <c r="A3359" s="1" t="str">
        <f>"610423199807250037"</f>
        <v>610423199807250037</v>
      </c>
      <c r="B3359" s="1" t="str">
        <f t="shared" si="1653"/>
        <v>群众</v>
      </c>
      <c r="C3359" s="1" t="str">
        <f>"硕士研究生"</f>
        <v>硕士研究生</v>
      </c>
      <c r="D3359" s="1" t="str">
        <f>"2023-06-15"</f>
        <v>2023-06-15</v>
      </c>
      <c r="E3359" s="1" t="str">
        <f>"西安科技大学"</f>
        <v>西安科技大学</v>
      </c>
      <c r="F3359" s="1" t="str">
        <f>"土木水利（土木工程）085901"</f>
        <v>土木水利（土木工程）085901</v>
      </c>
      <c r="G3359" s="1" t="str">
        <f>"陕西省咸阳市泾阳县"</f>
        <v>陕西省咸阳市泾阳县</v>
      </c>
      <c r="H3359" s="1" t="str">
        <f t="shared" si="1655"/>
        <v>无</v>
      </c>
      <c r="I3359" s="1" t="str">
        <f>"2013年9月-2016年9月，在云阳中学学校学习，高中
2016年9月-2020年9月，在华北理工大学工程管理专业学习，本科
2020年9月-2023年7月，在西安科技大学土木水利学习，硕士研究生
2023年7月-2024年7月，在浙江省建筑设计研究院单位工作，BIM设计职务
2024年7月-至今，待业"</f>
        <v>2013年9月-2016年9月，在云阳中学学校学习，高中
2016年9月-2020年9月，在华北理工大学工程管理专业学习，本科
2020年9月-2023年7月，在西安科技大学土木水利学习，硕士研究生
2023年7月-2024年7月，在浙江省建筑设计研究院单位工作，BIM设计职务
2024年7月-至今，待业</v>
      </c>
    </row>
    <row r="3360" spans="1:9">
      <c r="A3360" s="1" t="str">
        <f>"410423200308094920"</f>
        <v>410423200308094920</v>
      </c>
      <c r="B3360" s="1" t="str">
        <f t="shared" si="1654"/>
        <v>共青团员</v>
      </c>
      <c r="C3360" s="1" t="str">
        <f t="shared" ref="C3360:C3365" si="1656">"本科"</f>
        <v>本科</v>
      </c>
      <c r="D3360" s="1" t="str">
        <f>"20250612"</f>
        <v>20250612</v>
      </c>
      <c r="E3360" s="1" t="str">
        <f>"信阳农林学院"</f>
        <v>信阳农林学院</v>
      </c>
      <c r="F3360" s="1" t="str">
        <f>"酒店管理"</f>
        <v>酒店管理</v>
      </c>
      <c r="G3360" s="1" t="str">
        <f>"河南省平顶山市鲁山县"</f>
        <v>河南省平顶山市鲁山县</v>
      </c>
      <c r="H3360" s="1" t="str">
        <f>"普通话二级，四级"</f>
        <v>普通话二级，四级</v>
      </c>
      <c r="I3360" s="1" t="str">
        <f>"202109-202506信阳农林学院旅游学院酒店管理专业就读，是全日制本科学历"</f>
        <v>202109-202506信阳农林学院旅游学院酒店管理专业就读，是全日制本科学历</v>
      </c>
    </row>
    <row r="3361" spans="1:9">
      <c r="A3361" s="1" t="str">
        <f>"411327200203160072"</f>
        <v>411327200203160072</v>
      </c>
      <c r="B3361" s="1" t="str">
        <f t="shared" si="1654"/>
        <v>共青团员</v>
      </c>
      <c r="C3361" s="1" t="str">
        <f>"专科"</f>
        <v>专科</v>
      </c>
      <c r="D3361" s="1" t="str">
        <f>"2023-06-30"</f>
        <v>2023-06-30</v>
      </c>
      <c r="E3361" s="1" t="str">
        <f>"成都艺术职业大学"</f>
        <v>成都艺术职业大学</v>
      </c>
      <c r="F3361" s="1" t="str">
        <f>"音乐表演"</f>
        <v>音乐表演</v>
      </c>
      <c r="G3361" s="1" t="str">
        <f>"河南省南阳市内乡县"</f>
        <v>河南省南阳市内乡县</v>
      </c>
      <c r="H3361" s="1" t="str">
        <f t="shared" ref="H3361:H3364" si="1657">"无"</f>
        <v>无</v>
      </c>
      <c r="I3361" s="1" t="str">
        <f>"2020.09.01--2023.06.30 在成都艺术职业大学就读
2023.06.30至今待业"</f>
        <v>2020.09.01--2023.06.30 在成都艺术职业大学就读
2023.06.30至今待业</v>
      </c>
    </row>
    <row r="3362" spans="1:9">
      <c r="A3362" s="1" t="str">
        <f>"411327199003264920"</f>
        <v>411327199003264920</v>
      </c>
      <c r="B3362" s="1" t="str">
        <f t="shared" ref="B3362:B3367" si="1658">"群众"</f>
        <v>群众</v>
      </c>
      <c r="C3362" s="1" t="str">
        <f t="shared" si="1656"/>
        <v>本科</v>
      </c>
      <c r="D3362" s="1" t="str">
        <f>"20140630"</f>
        <v>20140630</v>
      </c>
      <c r="E3362" s="1" t="str">
        <f>"广东技术师范学院"</f>
        <v>广东技术师范学院</v>
      </c>
      <c r="F3362" s="1" t="str">
        <f>"行政管理"</f>
        <v>行政管理</v>
      </c>
      <c r="G3362" s="1" t="str">
        <f>"内乡县维多利亚小区"</f>
        <v>内乡县维多利亚小区</v>
      </c>
      <c r="H3362" s="1" t="str">
        <f t="shared" si="1657"/>
        <v>无</v>
      </c>
      <c r="I3362" s="1" t="str">
        <f>"201009-201406  广东技术师范学院  政法学院  行政管理专业  就读  全日制本科学历
201407-201510  牧原食品股份有限公司职员
201510-201809  待业
201809-至今  内乡县第三小学教师"</f>
        <v>201009-201406  广东技术师范学院  政法学院  行政管理专业  就读  全日制本科学历
201407-201510  牧原食品股份有限公司职员
201510-201809  待业
201809-至今  内乡县第三小学教师</v>
      </c>
    </row>
    <row r="3363" spans="1:9">
      <c r="A3363" s="1" t="str">
        <f>"411327200010204948"</f>
        <v>411327200010204948</v>
      </c>
      <c r="B3363" s="1" t="str">
        <f>"共青团员"</f>
        <v>共青团员</v>
      </c>
      <c r="C3363" s="1" t="str">
        <f t="shared" si="1656"/>
        <v>本科</v>
      </c>
      <c r="D3363" s="1" t="str">
        <f>"20230701"</f>
        <v>20230701</v>
      </c>
      <c r="E3363" s="1" t="str">
        <f>"许昌学院"</f>
        <v>许昌学院</v>
      </c>
      <c r="F3363" s="1" t="str">
        <f>"市场营销"</f>
        <v>市场营销</v>
      </c>
      <c r="G3363" s="1" t="str">
        <f>"河南省南阳市内乡县大成相府"</f>
        <v>河南省南阳市内乡县大成相府</v>
      </c>
      <c r="H3363" s="1" t="str">
        <f t="shared" si="1657"/>
        <v>无</v>
      </c>
      <c r="I3363" s="1" t="str">
        <f>"20180901-20210701河南经贸职业学院财政金融学院会计专业就读 是全日制
20210901-20230701 许昌学院商学院市场营销专业就读 是全日制
20230701-20240501在家待业
20240501-至今内乡总工会上班"</f>
        <v>20180901-20210701河南经贸职业学院财政金融学院会计专业就读 是全日制
20210901-20230701 许昌学院商学院市场营销专业就读 是全日制
20230701-20240501在家待业
20240501-至今内乡总工会上班</v>
      </c>
    </row>
    <row r="3364" spans="1:9">
      <c r="A3364" s="1" t="str">
        <f>"411327200109013949"</f>
        <v>411327200109013949</v>
      </c>
      <c r="B3364" s="1" t="str">
        <f t="shared" si="1658"/>
        <v>群众</v>
      </c>
      <c r="C3364" s="1" t="str">
        <f t="shared" si="1656"/>
        <v>本科</v>
      </c>
      <c r="D3364" s="1" t="str">
        <f>"20240701"</f>
        <v>20240701</v>
      </c>
      <c r="E3364" s="1" t="str">
        <f>"中原科技"</f>
        <v>中原科技</v>
      </c>
      <c r="F3364" s="1" t="str">
        <f>"计算机科学与技术"</f>
        <v>计算机科学与技术</v>
      </c>
      <c r="G3364" s="1" t="str">
        <f>"河南省南阳市内乡县桃溪镇桃庄河村三岔口组"</f>
        <v>河南省南阳市内乡县桃溪镇桃庄河村三岔口组</v>
      </c>
      <c r="H3364" s="1" t="str">
        <f t="shared" si="1657"/>
        <v>无</v>
      </c>
      <c r="I3364" s="1" t="str">
        <f>"201909-202207    洛阳理工学院就读大数据技术与应用专业
202209-202407    中原科技学院就读计算机科学与技术专业
202407-至今    待业"</f>
        <v>201909-202207    洛阳理工学院就读大数据技术与应用专业
202209-202407    中原科技学院就读计算机科学与技术专业
202407-至今    待业</v>
      </c>
    </row>
    <row r="3365" spans="1:9">
      <c r="A3365" s="1" t="str">
        <f>"410324200305017576"</f>
        <v>410324200305017576</v>
      </c>
      <c r="B3365" s="1" t="str">
        <f t="shared" ref="B3365:B3369" si="1659">"中共党员"</f>
        <v>中共党员</v>
      </c>
      <c r="C3365" s="1" t="str">
        <f t="shared" si="1656"/>
        <v>本科</v>
      </c>
      <c r="D3365" s="1" t="str">
        <f>"20250620"</f>
        <v>20250620</v>
      </c>
      <c r="E3365" s="1" t="str">
        <f>"甘肃中医药大学"</f>
        <v>甘肃中医药大学</v>
      </c>
      <c r="F3365" s="1" t="str">
        <f>"健康服务与管理"</f>
        <v>健康服务与管理</v>
      </c>
      <c r="G3365" s="1" t="str">
        <f>"河南省栾川县君山路"</f>
        <v>河南省栾川县君山路</v>
      </c>
      <c r="H3365" s="1" t="str">
        <f>"高级健康管理师"</f>
        <v>高级健康管理师</v>
      </c>
      <c r="I3365" s="1" t="str">
        <f>"202109-202506 甘肃中医药大学卫生管理学院健康服务与管理专业就读"</f>
        <v>202109-202506 甘肃中医药大学卫生管理学院健康服务与管理专业就读</v>
      </c>
    </row>
    <row r="3366" spans="1:9">
      <c r="A3366" s="1" t="str">
        <f>"511721200104290557"</f>
        <v>511721200104290557</v>
      </c>
      <c r="B3366" s="1" t="str">
        <f>"共青团员"</f>
        <v>共青团员</v>
      </c>
      <c r="C3366" s="1" t="str">
        <f t="shared" ref="C3366:C3371" si="1660">"专科"</f>
        <v>专科</v>
      </c>
      <c r="D3366" s="1" t="str">
        <f>"20230618"</f>
        <v>20230618</v>
      </c>
      <c r="E3366" s="1" t="str">
        <f>"绵阳职业技术学院"</f>
        <v>绵阳职业技术学院</v>
      </c>
      <c r="F3366" s="1" t="str">
        <f>"数字媒体应用技术"</f>
        <v>数字媒体应用技术</v>
      </c>
      <c r="G3366" s="1" t="str">
        <f>"四川省达州市达川区麻柳镇万安寨村8组100号"</f>
        <v>四川省达州市达川区麻柳镇万安寨村8组100号</v>
      </c>
      <c r="H3366" s="1" t="str">
        <f t="shared" ref="H3366:H3371" si="1661">"无"</f>
        <v>无</v>
      </c>
      <c r="I3366" s="1" t="str">
        <f>"202010-202306 就读 绵阳职业技术学院 电子与信息学院 数字媒体应用技术
202306至今在四川省达州市达川区待业"</f>
        <v>202010-202306 就读 绵阳职业技术学院 电子与信息学院 数字媒体应用技术
202306至今在四川省达州市达川区待业</v>
      </c>
    </row>
    <row r="3367" spans="1:9">
      <c r="A3367" s="1" t="str">
        <f>"41132819960903005X"</f>
        <v>41132819960903005X</v>
      </c>
      <c r="B3367" s="1" t="str">
        <f t="shared" si="1658"/>
        <v>群众</v>
      </c>
      <c r="C3367" s="1" t="str">
        <f t="shared" si="1660"/>
        <v>专科</v>
      </c>
      <c r="D3367" s="1" t="str">
        <f>"2024年7月20"</f>
        <v>2024年7月20</v>
      </c>
      <c r="E3367" s="1" t="str">
        <f>"国家开放大学"</f>
        <v>国家开放大学</v>
      </c>
      <c r="F3367" s="1" t="str">
        <f>"计算机网络技术"</f>
        <v>计算机网络技术</v>
      </c>
      <c r="G3367" s="1" t="str">
        <f>"河南省南阳市新野县滨河悦城"</f>
        <v>河南省南阳市新野县滨河悦城</v>
      </c>
      <c r="H3367" s="1" t="str">
        <f t="shared" si="1661"/>
        <v>无</v>
      </c>
      <c r="I3367" s="1" t="str">
        <f>"202203-202407国家开放大学 计算机网络技术专业就读 非全日制  2024-2025 在南阳市新野县待业"</f>
        <v>202203-202407国家开放大学 计算机网络技术专业就读 非全日制  2024-2025 在南阳市新野县待业</v>
      </c>
    </row>
    <row r="3368" spans="1:9">
      <c r="A3368" s="1" t="str">
        <f>"411327199409060020"</f>
        <v>411327199409060020</v>
      </c>
      <c r="B3368" s="1" t="str">
        <f t="shared" si="1659"/>
        <v>中共党员</v>
      </c>
      <c r="C3368" s="1" t="str">
        <f t="shared" ref="C3368:C3377" si="1662">"本科"</f>
        <v>本科</v>
      </c>
      <c r="D3368" s="1" t="str">
        <f>"20170701"</f>
        <v>20170701</v>
      </c>
      <c r="E3368" s="1" t="str">
        <f>"郑州升达经贸管理学院"</f>
        <v>郑州升达经贸管理学院</v>
      </c>
      <c r="F3368" s="1" t="str">
        <f>"会计学"</f>
        <v>会计学</v>
      </c>
      <c r="G3368" s="1" t="str">
        <f>"河南省南阳市内乡县三里桥"</f>
        <v>河南省南阳市内乡县三里桥</v>
      </c>
      <c r="H3368" s="1" t="str">
        <f>"初级会计专业资格证书 美国注册会计证书"</f>
        <v>初级会计专业资格证书 美国注册会计证书</v>
      </c>
      <c r="I3368" s="1" t="str">
        <f>"201309-201707 郑州升达经贸管理学院全日制本科会计系会计专业 就读。
201708-至今      待业"</f>
        <v>201309-201707 郑州升达经贸管理学院全日制本科会计系会计专业 就读。
201708-至今      待业</v>
      </c>
    </row>
    <row r="3369" spans="1:9">
      <c r="A3369" s="1" t="str">
        <f>"411327200203232021"</f>
        <v>411327200203232021</v>
      </c>
      <c r="B3369" s="1" t="str">
        <f t="shared" si="1659"/>
        <v>中共党员</v>
      </c>
      <c r="C3369" s="1" t="str">
        <f t="shared" si="1662"/>
        <v>本科</v>
      </c>
      <c r="D3369" s="1" t="str">
        <f>"20240630"</f>
        <v>20240630</v>
      </c>
      <c r="E3369" s="1" t="str">
        <f>"洛阳理工学院"</f>
        <v>洛阳理工学院</v>
      </c>
      <c r="F3369" s="1" t="str">
        <f>"视觉传达设计"</f>
        <v>视觉传达设计</v>
      </c>
      <c r="G3369" s="1" t="str">
        <f>"河南省内乡县"</f>
        <v>河南省内乡县</v>
      </c>
      <c r="H3369" s="1" t="str">
        <f t="shared" si="1661"/>
        <v>无</v>
      </c>
      <c r="I3369" s="1" t="str">
        <f>"202009-202406 洛阳理工学院艺术设计学院视觉传达设计专业就读 全日制学历
202406-202507在家待业"</f>
        <v>202009-202406 洛阳理工学院艺术设计学院视觉传达设计专业就读 全日制学历
202406-202507在家待业</v>
      </c>
    </row>
    <row r="3370" spans="1:9">
      <c r="A3370" s="1" t="str">
        <f>"513722199909095428"</f>
        <v>513722199909095428</v>
      </c>
      <c r="B3370" s="1" t="str">
        <f t="shared" ref="B3370:B3374" si="1663">"共青团员"</f>
        <v>共青团员</v>
      </c>
      <c r="C3370" s="1" t="str">
        <f t="shared" si="1660"/>
        <v>专科</v>
      </c>
      <c r="D3370" s="1" t="str">
        <f>"20200630"</f>
        <v>20200630</v>
      </c>
      <c r="E3370" s="1" t="str">
        <f>"成都职业技术学院"</f>
        <v>成都职业技术学院</v>
      </c>
      <c r="F3370" s="1" t="str">
        <f>"会计"</f>
        <v>会计</v>
      </c>
      <c r="G3370" s="1" t="str">
        <f>"河南省洛阳市汝阳县柏树乡柏树村五组"</f>
        <v>河南省洛阳市汝阳县柏树乡柏树村五组</v>
      </c>
      <c r="H3370" s="1" t="str">
        <f t="shared" si="1661"/>
        <v>无</v>
      </c>
      <c r="I3370" s="1" t="str">
        <f>"201709-202006 成都职业技术学院会计专业就读 全日制学历
20207-202012 申耐电力设备有限公司会计助理岗位
202101-202212 于河南省洛阳市汝阳县柏树乡柏树村五组待业
202301-202312 洛阳立尚科技有限公司标注岗位 
202401-至今 于河南省洛阳市汝阳县柏树乡柏树村五组待业"</f>
        <v>201709-202006 成都职业技术学院会计专业就读 全日制学历
20207-202012 申耐电力设备有限公司会计助理岗位
202101-202212 于河南省洛阳市汝阳县柏树乡柏树村五组待业
202301-202312 洛阳立尚科技有限公司标注岗位 
202401-至今 于河南省洛阳市汝阳县柏树乡柏树村五组待业</v>
      </c>
    </row>
    <row r="3371" spans="1:9">
      <c r="A3371" s="1" t="str">
        <f>"411323199707300023"</f>
        <v>411323199707300023</v>
      </c>
      <c r="B3371" s="1" t="str">
        <f>"群众"</f>
        <v>群众</v>
      </c>
      <c r="C3371" s="1" t="str">
        <f t="shared" si="1660"/>
        <v>专科</v>
      </c>
      <c r="D3371" s="1" t="str">
        <f>"20180630"</f>
        <v>20180630</v>
      </c>
      <c r="E3371" s="1" t="str">
        <f>"新疆职业大学"</f>
        <v>新疆职业大学</v>
      </c>
      <c r="F3371" s="1" t="str">
        <f>"人力资源管理"</f>
        <v>人力资源管理</v>
      </c>
      <c r="G3371" s="1" t="str">
        <f>"河南省南阳市淅川县冬青村"</f>
        <v>河南省南阳市淅川县冬青村</v>
      </c>
      <c r="H3371" s="1" t="str">
        <f t="shared" si="1661"/>
        <v>无</v>
      </c>
      <c r="I3371" s="1" t="str">
        <f>"201509-201806  新疆职业大学商学院人力资管原理专业就读，是全日制
201807-202209   待业
202210-202409   淅川隆兴致远学校就业
202410-至今  待业"</f>
        <v>201509-201806  新疆职业大学商学院人力资管原理专业就读，是全日制
201807-202209   待业
202210-202409   淅川隆兴致远学校就业
202410-至今  待业</v>
      </c>
    </row>
    <row r="3372" spans="1:9">
      <c r="A3372" s="1" t="str">
        <f>"610621200012182425"</f>
        <v>610621200012182425</v>
      </c>
      <c r="B3372" s="1" t="str">
        <f t="shared" si="1663"/>
        <v>共青团员</v>
      </c>
      <c r="C3372" s="1" t="str">
        <f t="shared" si="1662"/>
        <v>本科</v>
      </c>
      <c r="D3372" s="1" t="str">
        <f>"20230703"</f>
        <v>20230703</v>
      </c>
      <c r="E3372" s="1" t="str">
        <f>"西安翻译学院"</f>
        <v>西安翻译学院</v>
      </c>
      <c r="F3372" s="1" t="str">
        <f>"小学教育"</f>
        <v>小学教育</v>
      </c>
      <c r="G3372" s="1" t="str">
        <f>"河南省南阳市西峡县北堂村王营组"</f>
        <v>河南省南阳市西峡县北堂村王营组</v>
      </c>
      <c r="H3372" s="1" t="str">
        <f>"小学语文教师资格证     普通话二级甲等证书"</f>
        <v>小学语文教师资格证     普通话二级甲等证书</v>
      </c>
      <c r="I3372" s="1" t="str">
        <f>"201909-202307  西安翻译学院教育院系小学教育专业就读  学士学位  全日制学历"</f>
        <v>201909-202307  西安翻译学院教育院系小学教育专业就读  学士学位  全日制学历</v>
      </c>
    </row>
    <row r="3373" spans="1:9">
      <c r="A3373" s="1" t="str">
        <f>"411327199406160026"</f>
        <v>411327199406160026</v>
      </c>
      <c r="B3373" s="1" t="str">
        <f t="shared" si="1663"/>
        <v>共青团员</v>
      </c>
      <c r="C3373" s="1" t="str">
        <f t="shared" si="1662"/>
        <v>本科</v>
      </c>
      <c r="D3373" s="1" t="str">
        <f>"20170701"</f>
        <v>20170701</v>
      </c>
      <c r="E3373" s="1" t="str">
        <f>"黄淮学院"</f>
        <v>黄淮学院</v>
      </c>
      <c r="F3373" s="1" t="str">
        <f>"会计学（专升本）"</f>
        <v>会计学（专升本）</v>
      </c>
      <c r="G3373" s="1" t="str">
        <f>"河南省南阳市内乡县郦都大道西330号新都花苑小区"</f>
        <v>河南省南阳市内乡县郦都大道西330号新都花苑小区</v>
      </c>
      <c r="H3373" s="1" t="str">
        <f>"初级会计专业技术资格证书"</f>
        <v>初级会计专业技术资格证书</v>
      </c>
      <c r="I3373" s="1" t="str">
        <f>"201209-201507/河南财政税务高等专科学校/全日制专科/会计学（国际会计方向）专业/就读
201509-201707/黄淮学院/全日制本科/会计学（专升本）专业/就读
201703-201901 北京新航建材集团有限公司 出纳
201902-202403 栩栩华生（北京）文化资讯传播有限公司 会计主管
202403至今 河南省南阳市内乡县待业"</f>
        <v>201209-201507/河南财政税务高等专科学校/全日制专科/会计学（国际会计方向）专业/就读
201509-201707/黄淮学院/全日制本科/会计学（专升本）专业/就读
201703-201901 北京新航建材集团有限公司 出纳
201902-202403 栩栩华生（北京）文化资讯传播有限公司 会计主管
202403至今 河南省南阳市内乡县待业</v>
      </c>
    </row>
    <row r="3374" spans="1:9">
      <c r="A3374" s="1" t="str">
        <f>"411330200212283128"</f>
        <v>411330200212283128</v>
      </c>
      <c r="B3374" s="1" t="str">
        <f t="shared" si="1663"/>
        <v>共青团员</v>
      </c>
      <c r="C3374" s="1" t="str">
        <f t="shared" si="1662"/>
        <v>本科</v>
      </c>
      <c r="D3374" s="1" t="str">
        <f>"20240701"</f>
        <v>20240701</v>
      </c>
      <c r="E3374" s="1" t="str">
        <f>"商丘工学院"</f>
        <v>商丘工学院</v>
      </c>
      <c r="F3374" s="1" t="str">
        <f>"环境设计"</f>
        <v>环境设计</v>
      </c>
      <c r="G3374" s="1" t="str">
        <f>"河南省西峡县"</f>
        <v>河南省西峡县</v>
      </c>
      <c r="H3374" s="1" t="str">
        <f>"室内设计二级证书"</f>
        <v>室内设计二级证书</v>
      </c>
      <c r="I3374" s="1" t="str">
        <f>"20201001-20240701商丘工学院教育与现代艺术学院环境设计专业（全日制本科）就读
20240701至今于西峡县待业"</f>
        <v>20201001-20240701商丘工学院教育与现代艺术学院环境设计专业（全日制本科）就读
20240701至今于西峡县待业</v>
      </c>
    </row>
    <row r="3375" spans="1:9">
      <c r="A3375" s="1" t="str">
        <f>"411327199103114524"</f>
        <v>411327199103114524</v>
      </c>
      <c r="B3375" s="1" t="str">
        <f>"中共党员"</f>
        <v>中共党员</v>
      </c>
      <c r="C3375" s="1" t="str">
        <f t="shared" si="1662"/>
        <v>本科</v>
      </c>
      <c r="D3375" s="1" t="str">
        <f>"20140701"</f>
        <v>20140701</v>
      </c>
      <c r="E3375" s="1" t="str">
        <f>"郑州航空工业管理学院"</f>
        <v>郑州航空工业管理学院</v>
      </c>
      <c r="F3375" s="1" t="str">
        <f>"法学"</f>
        <v>法学</v>
      </c>
      <c r="G3375" s="1" t="str">
        <f>"南阳市孔明路与京宛大道交叉口鑫泰公园道小区"</f>
        <v>南阳市孔明路与京宛大道交叉口鑫泰公园道小区</v>
      </c>
      <c r="H3375" s="1" t="str">
        <f>"法律职业资格证书"</f>
        <v>法律职业资格证书</v>
      </c>
      <c r="I3375" s="1" t="str">
        <f>"201009——201407 郑州航空工业管理学院 法律系法学专业就读，系全日制学历。"</f>
        <v>201009——201407 郑州航空工业管理学院 法律系法学专业就读，系全日制学历。</v>
      </c>
    </row>
    <row r="3376" spans="1:9">
      <c r="A3376" s="1" t="str">
        <f>"411327199811210023"</f>
        <v>411327199811210023</v>
      </c>
      <c r="B3376" s="1" t="str">
        <f t="shared" ref="B3376:B3380" si="1664">"群众"</f>
        <v>群众</v>
      </c>
      <c r="C3376" s="1" t="str">
        <f t="shared" si="1662"/>
        <v>本科</v>
      </c>
      <c r="D3376" s="1" t="str">
        <f>"20210701"</f>
        <v>20210701</v>
      </c>
      <c r="E3376" s="1" t="str">
        <f>"郑州大学西亚斯国际学院"</f>
        <v>郑州大学西亚斯国际学院</v>
      </c>
      <c r="F3376" s="1" t="str">
        <f>"建筑学"</f>
        <v>建筑学</v>
      </c>
      <c r="G3376" s="1" t="str">
        <f>"内乡县渚阳大街北十二巷2号"</f>
        <v>内乡县渚阳大街北十二巷2号</v>
      </c>
      <c r="H3376" s="1" t="str">
        <f t="shared" ref="H3376:H3382" si="1665">"无"</f>
        <v>无</v>
      </c>
      <c r="I3376" s="1" t="str">
        <f>"201609-202107郑州大学西亚斯国际学院 建筑学院就读 全日制学历
202109-202208内乡县人社局
202208-至今内乡县工信局"</f>
        <v>201609-202107郑州大学西亚斯国际学院 建筑学院就读 全日制学历
202109-202208内乡县人社局
202208-至今内乡县工信局</v>
      </c>
    </row>
    <row r="3377" spans="1:9">
      <c r="A3377" s="1" t="str">
        <f>"412823200007318015"</f>
        <v>412823200007318015</v>
      </c>
      <c r="B3377" s="1" t="str">
        <f t="shared" ref="B3377:B3382" si="1666">"共青团员"</f>
        <v>共青团员</v>
      </c>
      <c r="C3377" s="1" t="str">
        <f t="shared" si="1662"/>
        <v>本科</v>
      </c>
      <c r="D3377" s="1" t="str">
        <f>"20230701"</f>
        <v>20230701</v>
      </c>
      <c r="E3377" s="1" t="str">
        <f>"中原工学院"</f>
        <v>中原工学院</v>
      </c>
      <c r="F3377" s="1" t="str">
        <f>"人工智能"</f>
        <v>人工智能</v>
      </c>
      <c r="G3377" s="1" t="str">
        <f>"河南省驻马店遂平县灈阳镇育和苑小区"</f>
        <v>河南省驻马店遂平县灈阳镇育和苑小区</v>
      </c>
      <c r="H3377" s="1" t="str">
        <f t="shared" si="1665"/>
        <v>无</v>
      </c>
      <c r="I3377" s="1" t="str">
        <f>"201909-202307 中原工学院计算机学院人工智能专业
202307-202507 河南省驻马店遂平县居家待业"</f>
        <v>201909-202307 中原工学院计算机学院人工智能专业
202307-202507 河南省驻马店遂平县居家待业</v>
      </c>
    </row>
    <row r="3378" spans="1:9">
      <c r="A3378" s="1" t="str">
        <f>"411302200405310035"</f>
        <v>411302200405310035</v>
      </c>
      <c r="B3378" s="1" t="str">
        <f t="shared" si="1664"/>
        <v>群众</v>
      </c>
      <c r="C3378" s="1" t="str">
        <f>"专科"</f>
        <v>专科</v>
      </c>
      <c r="D3378" s="1" t="str">
        <f>"20250615"</f>
        <v>20250615</v>
      </c>
      <c r="E3378" s="1" t="str">
        <f>"南阳农业职业学院"</f>
        <v>南阳农业职业学院</v>
      </c>
      <c r="F3378" s="1" t="str">
        <f>"金融科技应用"</f>
        <v>金融科技应用</v>
      </c>
      <c r="G3378" s="1" t="str">
        <f>"河南省南阳市卧龙区福成金色嘉园一单元2804"</f>
        <v>河南省南阳市卧龙区福成金色嘉园一单元2804</v>
      </c>
      <c r="H3378" s="1" t="str">
        <f t="shared" si="1665"/>
        <v>无</v>
      </c>
      <c r="I3378" s="1" t="str">
        <f>"202209-202506 南阳农业职业学院商学院金融科技应用就读，全日制大专"</f>
        <v>202209-202506 南阳农业职业学院商学院金融科技应用就读，全日制大专</v>
      </c>
    </row>
    <row r="3379" spans="1:9">
      <c r="A3379" s="1" t="str">
        <f>"411327199212150321"</f>
        <v>411327199212150321</v>
      </c>
      <c r="B3379" s="1" t="str">
        <f t="shared" si="1664"/>
        <v>群众</v>
      </c>
      <c r="C3379" s="1" t="str">
        <f t="shared" ref="C3379:C3381" si="1667">"本科"</f>
        <v>本科</v>
      </c>
      <c r="D3379" s="1" t="str">
        <f>"20240612"</f>
        <v>20240612</v>
      </c>
      <c r="E3379" s="1" t="str">
        <f>"河南农业大学"</f>
        <v>河南农业大学</v>
      </c>
      <c r="F3379" s="1" t="str">
        <f>"行政管理"</f>
        <v>行政管理</v>
      </c>
      <c r="G3379" s="1" t="str">
        <f>"内乡县左岸皇朝三号楼二单元"</f>
        <v>内乡县左岸皇朝三号楼二单元</v>
      </c>
      <c r="H3379" s="1" t="str">
        <f t="shared" si="1665"/>
        <v>无</v>
      </c>
      <c r="I3379" s="1" t="str">
        <f>"2010.09-2013.07就读于全日制专科陕西国际商贸学院，宝玉石鉴定与加工技术专业
2013.09-2014.06就读于中国地质大学武汉珠宝学院学习首饰鉴定与设计
2014.06-2016.06武汉质监站（钻石分级实习）
2016.06-2021.07在内乡待业
2022.03-2024.06就读于非全日制河南农业大学，行政管理专业
2021.07-至今内乡县医疗保障局职员"</f>
        <v>2010.09-2013.07就读于全日制专科陕西国际商贸学院，宝玉石鉴定与加工技术专业
2013.09-2014.06就读于中国地质大学武汉珠宝学院学习首饰鉴定与设计
2014.06-2016.06武汉质监站（钻石分级实习）
2016.06-2021.07在内乡待业
2022.03-2024.06就读于非全日制河南农业大学，行政管理专业
2021.07-至今内乡县医疗保障局职员</v>
      </c>
    </row>
    <row r="3380" spans="1:9">
      <c r="A3380" s="1" t="str">
        <f>"411327200202013521"</f>
        <v>411327200202013521</v>
      </c>
      <c r="B3380" s="1" t="str">
        <f t="shared" si="1664"/>
        <v>群众</v>
      </c>
      <c r="C3380" s="1" t="str">
        <f t="shared" si="1667"/>
        <v>本科</v>
      </c>
      <c r="D3380" s="1" t="str">
        <f>"20240614"</f>
        <v>20240614</v>
      </c>
      <c r="E3380" s="1" t="str">
        <f>"信阳农林学院"</f>
        <v>信阳农林学院</v>
      </c>
      <c r="F3380" s="1" t="str">
        <f>"农学"</f>
        <v>农学</v>
      </c>
      <c r="G3380" s="1" t="str">
        <f>"河南省南阳市内乡县城关镇南湖湾"</f>
        <v>河南省南阳市内乡县城关镇南湖湾</v>
      </c>
      <c r="H3380" s="1" t="str">
        <f t="shared" si="1665"/>
        <v>无</v>
      </c>
      <c r="I3380" s="1" t="str">
        <f>"202010-202406 信阳农林学院 农学院 农学就读 属于全日制本科
202406-至今待业"</f>
        <v>202010-202406 信阳农林学院 农学院 农学就读 属于全日制本科
202406-至今待业</v>
      </c>
    </row>
    <row r="3381" spans="1:9">
      <c r="A3381" s="1" t="str">
        <f>"410326200004160013"</f>
        <v>410326200004160013</v>
      </c>
      <c r="B3381" s="1" t="str">
        <f t="shared" si="1666"/>
        <v>共青团员</v>
      </c>
      <c r="C3381" s="1" t="str">
        <f t="shared" si="1667"/>
        <v>本科</v>
      </c>
      <c r="D3381" s="1" t="str">
        <f>"20220701"</f>
        <v>20220701</v>
      </c>
      <c r="E3381" s="1" t="str">
        <f>"平顶山学院"</f>
        <v>平顶山学院</v>
      </c>
      <c r="F3381" s="1" t="str">
        <f>"化学"</f>
        <v>化学</v>
      </c>
      <c r="G3381" s="1" t="str">
        <f>"河南省洛阳市汝阳县城关镇法院家属楼二单元四楼"</f>
        <v>河南省洛阳市汝阳县城关镇法院家属楼二单元四楼</v>
      </c>
      <c r="H3381" s="1" t="str">
        <f t="shared" si="1665"/>
        <v>无</v>
      </c>
      <c r="I3381" s="1" t="str">
        <f>"201509－201807 河南省洛阳市汝阳县实验高中就读
201809－202207 平顶山学院化学与环境工程学院化学专业就读，全日制学历。
202207至今待业"</f>
        <v>201509－201807 河南省洛阳市汝阳县实验高中就读
201809－202207 平顶山学院化学与环境工程学院化学专业就读，全日制学历。
202207至今待业</v>
      </c>
    </row>
    <row r="3382" spans="1:9">
      <c r="A3382" s="1" t="str">
        <f>"411324199810173225"</f>
        <v>411324199810173225</v>
      </c>
      <c r="B3382" s="1" t="str">
        <f t="shared" si="1666"/>
        <v>共青团员</v>
      </c>
      <c r="C3382" s="1" t="str">
        <f>"专科"</f>
        <v>专科</v>
      </c>
      <c r="D3382" s="1" t="str">
        <f>"20180630"</f>
        <v>20180630</v>
      </c>
      <c r="E3382" s="1" t="str">
        <f>"集宁师范学院"</f>
        <v>集宁师范学院</v>
      </c>
      <c r="F3382" s="1" t="str">
        <f>"语文教育"</f>
        <v>语文教育</v>
      </c>
      <c r="G3382" s="1" t="str">
        <f>"河南省南阳市镇平县枣园镇"</f>
        <v>河南省南阳市镇平县枣园镇</v>
      </c>
      <c r="H3382" s="1" t="str">
        <f t="shared" si="1665"/>
        <v>无</v>
      </c>
      <c r="I3382" s="1" t="str">
        <f>"201809-202106集宁师范学院文学院中文系语文教育就读为全日制学历"</f>
        <v>201809-202106集宁师范学院文学院中文系语文教育就读为全日制学历</v>
      </c>
    </row>
    <row r="3383" spans="1:9">
      <c r="A3383" s="1" t="str">
        <f>"411327199803300061"</f>
        <v>411327199803300061</v>
      </c>
      <c r="B3383" s="1" t="str">
        <f>"群众"</f>
        <v>群众</v>
      </c>
      <c r="C3383" s="1" t="str">
        <f t="shared" ref="C3383:C3387" si="1668">"本科"</f>
        <v>本科</v>
      </c>
      <c r="D3383" s="1" t="str">
        <f>"20200701"</f>
        <v>20200701</v>
      </c>
      <c r="E3383" s="1" t="str">
        <f>"郑州师范学院"</f>
        <v>郑州师范学院</v>
      </c>
      <c r="F3383" s="1" t="str">
        <f>"统计学"</f>
        <v>统计学</v>
      </c>
      <c r="G3383" s="1" t="str">
        <f>"内乡县"</f>
        <v>内乡县</v>
      </c>
      <c r="H3383" s="1" t="str">
        <f>"中小学二级教师"</f>
        <v>中小学二级教师</v>
      </c>
      <c r="I3383" s="1" t="str">
        <f>"201609—202007 郑州师范学院数学与统计学院，统计学专业就读
202007—202108 待业
202109—至今内乡县灌涨高级中学 高中数学老师"</f>
        <v>201609—202007 郑州师范学院数学与统计学院，统计学专业就读
202007—202108 待业
202109—至今内乡县灌涨高级中学 高中数学老师</v>
      </c>
    </row>
    <row r="3384" spans="1:9">
      <c r="A3384" s="1" t="str">
        <f>"411381199912055630"</f>
        <v>411381199912055630</v>
      </c>
      <c r="B3384" s="1" t="str">
        <f>"中共党员"</f>
        <v>中共党员</v>
      </c>
      <c r="C3384" s="1" t="str">
        <f t="shared" si="1668"/>
        <v>本科</v>
      </c>
      <c r="D3384" s="1" t="str">
        <f>"20230612"</f>
        <v>20230612</v>
      </c>
      <c r="E3384" s="1" t="str">
        <f>"新乡医学院"</f>
        <v>新乡医学院</v>
      </c>
      <c r="F3384" s="1" t="str">
        <f>"市场营销"</f>
        <v>市场营销</v>
      </c>
      <c r="G3384" s="1" t="str">
        <f>"河南省洛阳市涧西区辛店镇"</f>
        <v>河南省洛阳市涧西区辛店镇</v>
      </c>
      <c r="H3384" s="1" t="str">
        <f>"初级会计资格"</f>
        <v>初级会计资格</v>
      </c>
      <c r="I3384" s="1" t="str">
        <f>"201609-201907 洛阳第五高级中学 学生
201909-202306 新乡医学院  管理学院  市场营销 全日制
202306-202408 华兰生物疫苗股份有限公司  业务代表
202408-今 新安县职业高级中学 教师"</f>
        <v>201609-201907 洛阳第五高级中学 学生
201909-202306 新乡医学院  管理学院  市场营销 全日制
202306-202408 华兰生物疫苗股份有限公司  业务代表
202408-今 新安县职业高级中学 教师</v>
      </c>
    </row>
    <row r="3385" spans="1:9">
      <c r="A3385" s="1" t="str">
        <f>"411330200109191524"</f>
        <v>411330200109191524</v>
      </c>
      <c r="B3385" s="1" t="str">
        <f>"中共党员"</f>
        <v>中共党员</v>
      </c>
      <c r="C3385" s="1" t="str">
        <f t="shared" si="1668"/>
        <v>本科</v>
      </c>
      <c r="D3385" s="1" t="str">
        <f>"2023-06-20"</f>
        <v>2023-06-20</v>
      </c>
      <c r="E3385" s="1" t="str">
        <f>"黄河科技学院"</f>
        <v>黄河科技学院</v>
      </c>
      <c r="F3385" s="1" t="str">
        <f>"经济学"</f>
        <v>经济学</v>
      </c>
      <c r="G3385" s="1" t="str">
        <f>"河南省西峡县城关镇仲景大道世纪花园小区1幢2单元503号"</f>
        <v>河南省西峡县城关镇仲景大道世纪花园小区1幢2单元503号</v>
      </c>
      <c r="H3385" s="1" t="str">
        <f>"会计专业技术资格"</f>
        <v>会计专业技术资格</v>
      </c>
      <c r="I3385" s="1" t="str">
        <f>"201909-202306  黄河科技学院 商学院 经济学专业 就读，全日制学历"</f>
        <v>201909-202306  黄河科技学院 商学院 经济学专业 就读，全日制学历</v>
      </c>
    </row>
    <row r="3386" spans="1:9">
      <c r="A3386" s="1" t="str">
        <f>"41133020021007201X"</f>
        <v>41133020021007201X</v>
      </c>
      <c r="B3386" s="1" t="str">
        <f t="shared" ref="B3386:B3390" si="1669">"共青团员"</f>
        <v>共青团员</v>
      </c>
      <c r="C3386" s="1" t="str">
        <f t="shared" si="1668"/>
        <v>本科</v>
      </c>
      <c r="D3386" s="1" t="str">
        <f>"2025-06-20"</f>
        <v>2025-06-20</v>
      </c>
      <c r="E3386" s="1" t="str">
        <f>"商丘工学院"</f>
        <v>商丘工学院</v>
      </c>
      <c r="F3386" s="1" t="str">
        <f>"计算机科学与技术"</f>
        <v>计算机科学与技术</v>
      </c>
      <c r="G3386" s="1" t="str">
        <f>"河南省南阳市西峡县五里桥镇"</f>
        <v>河南省南阳市西峡县五里桥镇</v>
      </c>
      <c r="H3386" s="1" t="str">
        <f>"计算机程序设计员3级"</f>
        <v>计算机程序设计员3级</v>
      </c>
      <c r="I3386" s="1" t="str">
        <f>"2021年9月至2025年6月在商丘工学院
信息与电子工程学院计算机科学与技术专业就读
全日制本科学历"</f>
        <v>2021年9月至2025年6月在商丘工学院
信息与电子工程学院计算机科学与技术专业就读
全日制本科学历</v>
      </c>
    </row>
    <row r="3387" spans="1:9">
      <c r="A3387" s="1" t="str">
        <f>"41132719990512066X"</f>
        <v>41132719990512066X</v>
      </c>
      <c r="B3387" s="1" t="str">
        <f t="shared" si="1669"/>
        <v>共青团员</v>
      </c>
      <c r="C3387" s="1" t="str">
        <f t="shared" si="1668"/>
        <v>本科</v>
      </c>
      <c r="D3387" s="1" t="str">
        <f>"20220701"</f>
        <v>20220701</v>
      </c>
      <c r="E3387" s="1" t="str">
        <f>"郑州商学院"</f>
        <v>郑州商学院</v>
      </c>
      <c r="F3387" s="1" t="str">
        <f>"财务管理"</f>
        <v>财务管理</v>
      </c>
      <c r="G3387" s="1" t="str">
        <f>"河南省南阳市内乡县湍东镇飞龙大道菊城豪庭"</f>
        <v>河南省南阳市内乡县湍东镇飞龙大道菊城豪庭</v>
      </c>
      <c r="H3387" s="1" t="str">
        <f t="shared" ref="H3387:H3391" si="1670">"无"</f>
        <v>无</v>
      </c>
      <c r="I3387" s="1" t="str">
        <f>"201709-202007河南工程学院会计专业全日制专科就读
202009-202207郑州商学院财务管理专业全日制本科就读
202207-202211在内乡县待业
202211-202507河南聚硕农牧设备有限公司担任出纳、总经理特助职位"</f>
        <v>201709-202007河南工程学院会计专业全日制专科就读
202009-202207郑州商学院财务管理专业全日制本科就读
202207-202211在内乡县待业
202211-202507河南聚硕农牧设备有限公司担任出纳、总经理特助职位</v>
      </c>
    </row>
    <row r="3388" spans="1:9">
      <c r="A3388" s="1" t="str">
        <f>"411327199307042921"</f>
        <v>411327199307042921</v>
      </c>
      <c r="B3388" s="1" t="str">
        <f t="shared" ref="B3388:B3393" si="1671">"群众"</f>
        <v>群众</v>
      </c>
      <c r="C3388" s="1" t="str">
        <f>"专科"</f>
        <v>专科</v>
      </c>
      <c r="D3388" s="1" t="str">
        <f>"20150701"</f>
        <v>20150701</v>
      </c>
      <c r="E3388" s="1" t="str">
        <f>"漯河职业技术学院"</f>
        <v>漯河职业技术学院</v>
      </c>
      <c r="F3388" s="1" t="str">
        <f>"服装设计"</f>
        <v>服装设计</v>
      </c>
      <c r="G3388" s="1" t="str">
        <f>"内乡县城关镇西城花园"</f>
        <v>内乡县城关镇西城花园</v>
      </c>
      <c r="H3388" s="1" t="str">
        <f t="shared" si="1670"/>
        <v>无</v>
      </c>
      <c r="I3388" s="1" t="str">
        <f>"2018年9月至2025年2月在内乡菊潭学校任教"</f>
        <v>2018年9月至2025年2月在内乡菊潭学校任教</v>
      </c>
    </row>
    <row r="3389" spans="1:9">
      <c r="A3389" s="1" t="str">
        <f>"411628199906130627"</f>
        <v>411628199906130627</v>
      </c>
      <c r="B3389" s="1" t="str">
        <f t="shared" si="1669"/>
        <v>共青团员</v>
      </c>
      <c r="C3389" s="1" t="str">
        <f>"硕士研究生"</f>
        <v>硕士研究生</v>
      </c>
      <c r="D3389" s="1" t="str">
        <f>"20250607"</f>
        <v>20250607</v>
      </c>
      <c r="E3389" s="1" t="str">
        <f>"福建农林大学"</f>
        <v>福建农林大学</v>
      </c>
      <c r="F3389" s="1" t="str">
        <f>"资源利用与植物保护"</f>
        <v>资源利用与植物保护</v>
      </c>
      <c r="G3389" s="1" t="str">
        <f>"河南省周口市鹿邑县卫真办事处邓庄行政村孙各"</f>
        <v>河南省周口市鹿邑县卫真办事处邓庄行政村孙各</v>
      </c>
      <c r="H3389" s="1" t="str">
        <f t="shared" si="1670"/>
        <v>无</v>
      </c>
      <c r="I3389" s="1" t="str">
        <f>"201809-202206在河南农业大学植物保护学院制药工程专业就读，是全日制学历；
202209-202506在福建农林大学植物保护学院资源利用与植物保护专业就读，是全日制学历。"</f>
        <v>201809-202206在河南农业大学植物保护学院制药工程专业就读，是全日制学历；
202209-202506在福建农林大学植物保护学院资源利用与植物保护专业就读，是全日制学历。</v>
      </c>
    </row>
    <row r="3390" spans="1:9">
      <c r="A3390" s="1" t="str">
        <f>"410883200212116564"</f>
        <v>410883200212116564</v>
      </c>
      <c r="B3390" s="1" t="str">
        <f t="shared" si="1669"/>
        <v>共青团员</v>
      </c>
      <c r="C3390" s="1" t="str">
        <f>"专科"</f>
        <v>专科</v>
      </c>
      <c r="D3390" s="1" t="str">
        <f>"20250617"</f>
        <v>20250617</v>
      </c>
      <c r="E3390" s="1" t="str">
        <f>"信阳职业技术学院"</f>
        <v>信阳职业技术学院</v>
      </c>
      <c r="F3390" s="1" t="str">
        <f>"医学检验技术"</f>
        <v>医学检验技术</v>
      </c>
      <c r="G3390" s="1" t="str">
        <f>"河南省焦作市孟州市城伯镇"</f>
        <v>河南省焦作市孟州市城伯镇</v>
      </c>
      <c r="H3390" s="1" t="str">
        <f t="shared" si="1670"/>
        <v>无</v>
      </c>
      <c r="I3390" s="1" t="str">
        <f>"202209-202506 在信阳职业技术学院检验学院医学检验技术就读，为全日制学历；
201809-202206在孟州市第五高级中学就读；
201509-201806在城伯镇中心学校就读；
200909-201506在武桥小学就读"</f>
        <v>202209-202506 在信阳职业技术学院检验学院医学检验技术就读，为全日制学历；
201809-202206在孟州市第五高级中学就读；
201509-201806在城伯镇中心学校就读；
200909-201506在武桥小学就读</v>
      </c>
    </row>
    <row r="3391" spans="1:9">
      <c r="A3391" s="1" t="str">
        <f>"411327199906040020"</f>
        <v>411327199906040020</v>
      </c>
      <c r="B3391" s="1" t="str">
        <f t="shared" si="1671"/>
        <v>群众</v>
      </c>
      <c r="C3391" s="1" t="str">
        <f t="shared" ref="C3391:C3396" si="1672">"本科"</f>
        <v>本科</v>
      </c>
      <c r="D3391" s="1" t="str">
        <f>"202107"</f>
        <v>202107</v>
      </c>
      <c r="E3391" s="1" t="str">
        <f>"商丘师范学院"</f>
        <v>商丘师范学院</v>
      </c>
      <c r="F3391" s="1" t="str">
        <f>"法学"</f>
        <v>法学</v>
      </c>
      <c r="G3391" s="1" t="str">
        <f>"河南省南阳市内乡县城关镇东风村东风南路47号"</f>
        <v>河南省南阳市内乡县城关镇东风村东风南路47号</v>
      </c>
      <c r="H3391" s="1" t="str">
        <f t="shared" si="1670"/>
        <v>无</v>
      </c>
      <c r="I3391" s="1" t="str">
        <f>"2017.09——2021.07 商丘师范学院法学院法学 全日制
2021.08——2022.02 内乡待业
2022.03——2023.11 内乡县菊潭高级中学
2023.12——2025.07 内乡待业"</f>
        <v>2017.09——2021.07 商丘师范学院法学院法学 全日制
2021.08——2022.02 内乡待业
2022.03——2023.11 内乡县菊潭高级中学
2023.12——2025.07 内乡待业</v>
      </c>
    </row>
    <row r="3392" spans="1:9">
      <c r="A3392" s="1" t="str">
        <f>"411381200005064547"</f>
        <v>411381200005064547</v>
      </c>
      <c r="B3392" s="1" t="str">
        <f t="shared" si="1671"/>
        <v>群众</v>
      </c>
      <c r="C3392" s="1" t="str">
        <f t="shared" si="1672"/>
        <v>本科</v>
      </c>
      <c r="D3392" s="1" t="str">
        <f>"20240607"</f>
        <v>20240607</v>
      </c>
      <c r="E3392" s="1" t="str">
        <f>"黄河交通学院"</f>
        <v>黄河交通学院</v>
      </c>
      <c r="F3392" s="1" t="str">
        <f>"电子商务"</f>
        <v>电子商务</v>
      </c>
      <c r="G3392" s="1" t="str">
        <f>"河南省南阳市内乡县西关壹加壹对面"</f>
        <v>河南省南阳市内乡县西关壹加壹对面</v>
      </c>
      <c r="H3392" s="1" t="str">
        <f>"电子商务初级证书"</f>
        <v>电子商务初级证书</v>
      </c>
      <c r="I3392" s="1" t="str">
        <f>"2019年9月在郑州升达经贸管理学院就读大专电子商务专业
2022年9月在黄河交通学院就读本科电子商务专业  
全日制"</f>
        <v>2019年9月在郑州升达经贸管理学院就读大专电子商务专业
2022年9月在黄河交通学院就读本科电子商务专业  
全日制</v>
      </c>
    </row>
    <row r="3393" spans="1:9">
      <c r="A3393" s="1" t="str">
        <f>"411327199108144220"</f>
        <v>411327199108144220</v>
      </c>
      <c r="B3393" s="1" t="str">
        <f t="shared" si="1671"/>
        <v>群众</v>
      </c>
      <c r="C3393" s="1" t="str">
        <f t="shared" si="1672"/>
        <v>本科</v>
      </c>
      <c r="D3393" s="1" t="str">
        <f>"20140627"</f>
        <v>20140627</v>
      </c>
      <c r="E3393" s="1" t="str">
        <f>"德州学院"</f>
        <v>德州学院</v>
      </c>
      <c r="F3393" s="1" t="str">
        <f>"生物技术"</f>
        <v>生物技术</v>
      </c>
      <c r="G3393" s="1" t="str">
        <f>"河南省南阳市内乡县余关镇"</f>
        <v>河南省南阳市内乡县余关镇</v>
      </c>
      <c r="H3393" s="1" t="str">
        <f t="shared" ref="H3393:H3402" si="1673">"无"</f>
        <v>无</v>
      </c>
      <c r="I3393" s="1" t="str">
        <f>"201009-201406  德州学院生物技术专业就读，全日制。
201407-201502  待业。
201503-201602  河南中博塑化科技有限公司标本制作员。
201603-201609  内乡县牧原十七场任职。
201610-201806  待业。
201807-202504  余关镇人民政府政府购岗。
202505至今待业。"</f>
        <v>201009-201406  德州学院生物技术专业就读，全日制。
201407-201502  待业。
201503-201602  河南中博塑化科技有限公司标本制作员。
201603-201609  内乡县牧原十七场任职。
201610-201806  待业。
201807-202504  余关镇人民政府政府购岗。
202505至今待业。</v>
      </c>
    </row>
    <row r="3394" spans="1:9">
      <c r="A3394" s="1" t="str">
        <f>"411326200205245516"</f>
        <v>411326200205245516</v>
      </c>
      <c r="B3394" s="1" t="str">
        <f>"共青团员"</f>
        <v>共青团员</v>
      </c>
      <c r="C3394" s="1" t="str">
        <f t="shared" si="1672"/>
        <v>本科</v>
      </c>
      <c r="D3394" s="1" t="str">
        <f>"20250630"</f>
        <v>20250630</v>
      </c>
      <c r="E3394" s="1" t="str">
        <f>"郑州工商学院"</f>
        <v>郑州工商学院</v>
      </c>
      <c r="F3394" s="1" t="str">
        <f>"地理信息科学"</f>
        <v>地理信息科学</v>
      </c>
      <c r="G3394" s="1" t="str">
        <f>"河南省南阳市南召县马市坪乡马市坪村七组17号"</f>
        <v>河南省南阳市南召县马市坪乡马市坪村七组17号</v>
      </c>
      <c r="H3394" s="1" t="str">
        <f>"无人机驾驶员职业技能等级证书三级高级工、CAAC民航局小型多旋翼无人机超视距驾驶员执照"</f>
        <v>无人机驾驶员职业技能等级证书三级高级工、CAAC民航局小型多旋翼无人机超视距驾驶员执照</v>
      </c>
      <c r="I3394" s="1" t="str">
        <f>"202009-202306 河南工业职业技术学院 自动化工程学院 无人机应用技术专业就读  全日制专科学历
202309-202506 郑州工商学院 工学院 地理信息科学专业就读 全日制本科学历"</f>
        <v>202009-202306 河南工业职业技术学院 自动化工程学院 无人机应用技术专业就读  全日制专科学历
202309-202506 郑州工商学院 工学院 地理信息科学专业就读 全日制本科学历</v>
      </c>
    </row>
    <row r="3395" spans="1:9">
      <c r="A3395" s="1" t="str">
        <f>"411327199808010637"</f>
        <v>411327199808010637</v>
      </c>
      <c r="B3395" s="1" t="str">
        <f t="shared" ref="B3395:B3399" si="1674">"群众"</f>
        <v>群众</v>
      </c>
      <c r="C3395" s="1" t="str">
        <f t="shared" si="1672"/>
        <v>本科</v>
      </c>
      <c r="D3395" s="1" t="str">
        <f>"20230701"</f>
        <v>20230701</v>
      </c>
      <c r="E3395" s="1" t="str">
        <f>"河南工学院"</f>
        <v>河南工学院</v>
      </c>
      <c r="F3395" s="1" t="str">
        <f>"材料成型及控制工程专业"</f>
        <v>材料成型及控制工程专业</v>
      </c>
      <c r="G3395" s="1" t="str">
        <f>"河南省内乡县马山口镇郑湾村汪沟"</f>
        <v>河南省内乡县马山口镇郑湾村汪沟</v>
      </c>
      <c r="H3395" s="1" t="str">
        <f>"冲压工"</f>
        <v>冲压工</v>
      </c>
      <c r="I3395" s="1" t="str">
        <f>"201809-202307 河南工学院材料科学与工程学院材料成型及控制工程专业就读，是全日制学历"</f>
        <v>201809-202307 河南工学院材料科学与工程学院材料成型及控制工程专业就读，是全日制学历</v>
      </c>
    </row>
    <row r="3396" spans="1:9">
      <c r="A3396" s="1" t="str">
        <f>"41132720010726201X"</f>
        <v>41132720010726201X</v>
      </c>
      <c r="B3396" s="1" t="str">
        <f t="shared" si="1674"/>
        <v>群众</v>
      </c>
      <c r="C3396" s="1" t="str">
        <f t="shared" si="1672"/>
        <v>本科</v>
      </c>
      <c r="D3396" s="1" t="str">
        <f>"20240701"</f>
        <v>20240701</v>
      </c>
      <c r="E3396" s="1" t="str">
        <f>"河南科技学院"</f>
        <v>河南科技学院</v>
      </c>
      <c r="F3396" s="1" t="str">
        <f>"动物医学"</f>
        <v>动物医学</v>
      </c>
      <c r="G3396" s="1" t="str">
        <f>"河南省南阳市内乡县师岗镇"</f>
        <v>河南省南阳市内乡县师岗镇</v>
      </c>
      <c r="H3396" s="1" t="str">
        <f t="shared" si="1673"/>
        <v>无</v>
      </c>
      <c r="I3396" s="1" t="str">
        <f>"202009-202407在河南科技学院动物科学学院动物医学专业就读，是全日制学历。"</f>
        <v>202009-202407在河南科技学院动物科学学院动物医学专业就读，是全日制学历。</v>
      </c>
    </row>
    <row r="3397" spans="1:9">
      <c r="A3397" s="1" t="str">
        <f>"410423199707309014"</f>
        <v>410423199707309014</v>
      </c>
      <c r="B3397" s="1" t="str">
        <f>"中共党员"</f>
        <v>中共党员</v>
      </c>
      <c r="C3397" s="1" t="str">
        <f t="shared" ref="C3397:C3401" si="1675">"专科"</f>
        <v>专科</v>
      </c>
      <c r="D3397" s="1" t="str">
        <f>"20250101"</f>
        <v>20250101</v>
      </c>
      <c r="E3397" s="1" t="str">
        <f>"郑州信息科技职业学院"</f>
        <v>郑州信息科技职业学院</v>
      </c>
      <c r="F3397" s="1" t="str">
        <f>"建筑工程技术"</f>
        <v>建筑工程技术</v>
      </c>
      <c r="G3397" s="1" t="str">
        <f>"河南省平顶山市鲁山县辛集乡柴庄村"</f>
        <v>河南省平顶山市鲁山县辛集乡柴庄村</v>
      </c>
      <c r="H3397" s="1" t="str">
        <f t="shared" si="1673"/>
        <v>无</v>
      </c>
      <c r="I3397" s="1" t="str">
        <f>"20220224-20250101 郑州信息科技职业学院就读"</f>
        <v>20220224-20250101 郑州信息科技职业学院就读</v>
      </c>
    </row>
    <row r="3398" spans="1:9">
      <c r="A3398" s="1" t="str">
        <f>"411325199906042103"</f>
        <v>411325199906042103</v>
      </c>
      <c r="B3398" s="1" t="str">
        <f>"共青团员"</f>
        <v>共青团员</v>
      </c>
      <c r="C3398" s="1" t="str">
        <f t="shared" ref="C3398:C3402" si="1676">"本科"</f>
        <v>本科</v>
      </c>
      <c r="D3398" s="1" t="str">
        <f>"20210701"</f>
        <v>20210701</v>
      </c>
      <c r="E3398" s="1" t="str">
        <f>"周口师范学院"</f>
        <v>周口师范学院</v>
      </c>
      <c r="F3398" s="1" t="str">
        <f>"网络工程（大数据）"</f>
        <v>网络工程（大数据）</v>
      </c>
      <c r="G3398" s="1" t="str">
        <f>"河南省南阳市内乡县屈庄村三江油坊"</f>
        <v>河南省南阳市内乡县屈庄村三江油坊</v>
      </c>
      <c r="H3398" s="1" t="str">
        <f t="shared" si="1673"/>
        <v>无</v>
      </c>
      <c r="I3398" s="1" t="str">
        <f>"201709-202106  周口师范学院 网络工程（大数据）专业就读，是全日制学历；202107-202208 南阳市内乡县待业；20220901-20231031 南阳铭辰网络科技有限公司；202311-202403 南阳市内乡县待业；202404-20250630 内乡郦都学校；"</f>
        <v>201709-202106  周口师范学院 网络工程（大数据）专业就读，是全日制学历；202107-202208 南阳市内乡县待业；20220901-20231031 南阳铭辰网络科技有限公司；202311-202403 南阳市内乡县待业；202404-20250630 内乡郦都学校；</v>
      </c>
    </row>
    <row r="3399" spans="1:9">
      <c r="A3399" s="1" t="str">
        <f>"41133019990924342X"</f>
        <v>41133019990924342X</v>
      </c>
      <c r="B3399" s="1" t="str">
        <f t="shared" si="1674"/>
        <v>群众</v>
      </c>
      <c r="C3399" s="1" t="str">
        <f t="shared" si="1675"/>
        <v>专科</v>
      </c>
      <c r="D3399" s="1" t="str">
        <f>"20220701"</f>
        <v>20220701</v>
      </c>
      <c r="E3399" s="1" t="str">
        <f>"辽宁理工职业大学"</f>
        <v>辽宁理工职业大学</v>
      </c>
      <c r="F3399" s="1" t="str">
        <f>"物流管理"</f>
        <v>物流管理</v>
      </c>
      <c r="G3399" s="1" t="str">
        <f>"河南省南阳市西峡县西坪镇"</f>
        <v>河南省南阳市西峡县西坪镇</v>
      </c>
      <c r="H3399" s="1" t="str">
        <f t="shared" si="1673"/>
        <v>无</v>
      </c>
      <c r="I3399" s="1" t="str">
        <f>"202003-202207 辽宁理工职业大学就读物流管理专业，非全日制
202210-202212 西峡县西坪镇人民政府
202302-至今 西峡县众德集团"</f>
        <v>202003-202207 辽宁理工职业大学就读物流管理专业，非全日制
202210-202212 西峡县西坪镇人民政府
202302-至今 西峡县众德集团</v>
      </c>
    </row>
    <row r="3400" spans="1:9">
      <c r="A3400" s="1" t="str">
        <f>"411327200101021514"</f>
        <v>411327200101021514</v>
      </c>
      <c r="B3400" s="1" t="str">
        <f t="shared" ref="B3400:B3407" si="1677">"共青团员"</f>
        <v>共青团员</v>
      </c>
      <c r="C3400" s="1" t="str">
        <f t="shared" si="1676"/>
        <v>本科</v>
      </c>
      <c r="D3400" s="1" t="str">
        <f>"20250701"</f>
        <v>20250701</v>
      </c>
      <c r="E3400" s="1" t="str">
        <f>"黄河交通学院"</f>
        <v>黄河交通学院</v>
      </c>
      <c r="F3400" s="1" t="str">
        <f>"审计学"</f>
        <v>审计学</v>
      </c>
      <c r="G3400" s="1" t="str">
        <f>"河南省南阳市内乡县赵店乡"</f>
        <v>河南省南阳市内乡县赵店乡</v>
      </c>
      <c r="H3400" s="1" t="str">
        <f t="shared" si="1673"/>
        <v>无</v>
      </c>
      <c r="I3400" s="1" t="str">
        <f>"201909-202106 黄河交通学院 就读 全日制本科
202109-202309 参军入伍
202309-202507 黄河交通学院 经济管理学院审计学专业就读 全日制本科"</f>
        <v>201909-202106 黄河交通学院 就读 全日制本科
202109-202309 参军入伍
202309-202507 黄河交通学院 经济管理学院审计学专业就读 全日制本科</v>
      </c>
    </row>
    <row r="3401" spans="1:9">
      <c r="A3401" s="1" t="str">
        <f>"411323199504092615"</f>
        <v>411323199504092615</v>
      </c>
      <c r="B3401" s="1" t="str">
        <f>"中共党员"</f>
        <v>中共党员</v>
      </c>
      <c r="C3401" s="1" t="str">
        <f t="shared" si="1675"/>
        <v>专科</v>
      </c>
      <c r="D3401" s="1" t="str">
        <f>"20200630"</f>
        <v>20200630</v>
      </c>
      <c r="E3401" s="1" t="str">
        <f>"武警特种警察学院"</f>
        <v>武警特种警察学院</v>
      </c>
      <c r="F3401" s="1" t="str">
        <f>"武警搜排爆技术"</f>
        <v>武警搜排爆技术</v>
      </c>
      <c r="G3401" s="1" t="str">
        <f>"河南省南阳市淅川县金河镇李家湾村"</f>
        <v>河南省南阳市淅川县金河镇李家湾村</v>
      </c>
      <c r="H3401" s="1" t="str">
        <f t="shared" si="1673"/>
        <v>无</v>
      </c>
      <c r="I3401" s="1" t="str">
        <f>"201509-201708服役武警贵州省总队黔东南州支队
201709-202006武警特种警察学院学员七大队搜排爆专业就读
202007-202309服役武警海警总队第四支队
202310至今灵活就业"</f>
        <v>201509-201708服役武警贵州省总队黔东南州支队
201709-202006武警特种警察学院学员七大队搜排爆专业就读
202007-202309服役武警海警总队第四支队
202310至今灵活就业</v>
      </c>
    </row>
    <row r="3402" spans="1:9">
      <c r="A3402" s="1" t="str">
        <f>"411381199203064219"</f>
        <v>411381199203064219</v>
      </c>
      <c r="B3402" s="1" t="str">
        <f>"群众"</f>
        <v>群众</v>
      </c>
      <c r="C3402" s="1" t="str">
        <f t="shared" si="1676"/>
        <v>本科</v>
      </c>
      <c r="D3402" s="1" t="str">
        <f>"20140701"</f>
        <v>20140701</v>
      </c>
      <c r="E3402" s="1" t="str">
        <f>"郑州华信学院"</f>
        <v>郑州华信学院</v>
      </c>
      <c r="F3402" s="1" t="str">
        <f>"土木工程"</f>
        <v>土木工程</v>
      </c>
      <c r="G3402" s="1" t="str">
        <f>"河南省邓州市十林镇河南村河南"</f>
        <v>河南省邓州市十林镇河南村河南</v>
      </c>
      <c r="H3402" s="1" t="str">
        <f t="shared" si="1673"/>
        <v>无</v>
      </c>
      <c r="I3402" s="1" t="str">
        <f>"201009-201407郑州华信学院土木工程专业就读，全日制。
201408-201805待业
201805-201810易融普惠信息服务有限公司工作
201811-201904待业
201905-202109平安普惠信息服务有限公司工作
202110-202405深圳橙信发展有限公司工作
202406-今待业"</f>
        <v>201009-201407郑州华信学院土木工程专业就读，全日制。
201408-201805待业
201805-201810易融普惠信息服务有限公司工作
201811-201904待业
201905-202109平安普惠信息服务有限公司工作
202110-202405深圳橙信发展有限公司工作
202406-今待业</v>
      </c>
    </row>
    <row r="3403" spans="1:9">
      <c r="A3403" s="1" t="str">
        <f>"411327200005011519"</f>
        <v>411327200005011519</v>
      </c>
      <c r="B3403" s="1" t="str">
        <f>"群众"</f>
        <v>群众</v>
      </c>
      <c r="C3403" s="1" t="str">
        <f t="shared" ref="C3403:C3408" si="1678">"专科"</f>
        <v>专科</v>
      </c>
      <c r="D3403" s="1" t="str">
        <f>"20210701"</f>
        <v>20210701</v>
      </c>
      <c r="E3403" s="1" t="str">
        <f>"信阳农林学院"</f>
        <v>信阳农林学院</v>
      </c>
      <c r="F3403" s="1" t="str">
        <f>"园艺技术"</f>
        <v>园艺技术</v>
      </c>
      <c r="G3403" s="1" t="str">
        <f>"河南省南阳市内乡县城关镇丽都大道老城郊乡政府院内"</f>
        <v>河南省南阳市内乡县城关镇丽都大道老城郊乡政府院内</v>
      </c>
      <c r="H3403" s="1" t="str">
        <f>"监理员证"</f>
        <v>监理员证</v>
      </c>
      <c r="I3403" s="1" t="str">
        <f>"201809-202107  信阳农林学院就读。
201809-202107  信阳农林,园艺学院，园艺技术专业就读，全日制专科学历。"</f>
        <v>201809-202107  信阳农林学院就读。
201809-202107  信阳农林,园艺学院，园艺技术专业就读，全日制专科学历。</v>
      </c>
    </row>
    <row r="3404" spans="1:9">
      <c r="A3404" s="1" t="str">
        <f>"410704200102282018"</f>
        <v>410704200102282018</v>
      </c>
      <c r="B3404" s="1" t="str">
        <f t="shared" si="1677"/>
        <v>共青团员</v>
      </c>
      <c r="C3404" s="1" t="str">
        <f t="shared" ref="C3404:C3407" si="1679">"本科"</f>
        <v>本科</v>
      </c>
      <c r="D3404" s="1" t="str">
        <f>"20240619"</f>
        <v>20240619</v>
      </c>
      <c r="E3404" s="1" t="str">
        <f>"商丘学院"</f>
        <v>商丘学院</v>
      </c>
      <c r="F3404" s="1" t="str">
        <f>"经济学"</f>
        <v>经济学</v>
      </c>
      <c r="G3404" s="1" t="str">
        <f>"河南省新乡市凤泉区大块镇块村营村"</f>
        <v>河南省新乡市凤泉区大块镇块村营村</v>
      </c>
      <c r="H3404" s="1" t="str">
        <f t="shared" ref="H3404:H3407" si="1680">"无"</f>
        <v>无</v>
      </c>
      <c r="I3404" s="1" t="str">
        <f>"202009-202407 商丘学院就读
201709-202007 新乡市第十二中学"</f>
        <v>202009-202407 商丘学院就读
201709-202007 新乡市第十二中学</v>
      </c>
    </row>
    <row r="3405" spans="1:9">
      <c r="A3405" s="1" t="str">
        <f>"411327200112300068"</f>
        <v>411327200112300068</v>
      </c>
      <c r="B3405" s="1" t="str">
        <f t="shared" si="1677"/>
        <v>共青团员</v>
      </c>
      <c r="C3405" s="1" t="str">
        <f t="shared" si="1679"/>
        <v>本科</v>
      </c>
      <c r="D3405" s="1" t="str">
        <f>"20230701"</f>
        <v>20230701</v>
      </c>
      <c r="E3405" s="1" t="str">
        <f>"郑州师范学院"</f>
        <v>郑州师范学院</v>
      </c>
      <c r="F3405" s="1" t="str">
        <f>"物理学(绿色能源方向）"</f>
        <v>物理学(绿色能源方向）</v>
      </c>
      <c r="G3405" s="1" t="str">
        <f>"北关新华书店斜对面"</f>
        <v>北关新华书店斜对面</v>
      </c>
      <c r="H3405" s="1" t="str">
        <f t="shared" si="1680"/>
        <v>无</v>
      </c>
      <c r="I3405" s="1" t="str">
        <f>"20190901-20230701   郑州师范学院就读 物理学(绿色能源方向）"</f>
        <v>20190901-20230701   郑州师范学院就读 物理学(绿色能源方向）</v>
      </c>
    </row>
    <row r="3406" spans="1:9">
      <c r="A3406" s="1" t="str">
        <f>"411327199712014967"</f>
        <v>411327199712014967</v>
      </c>
      <c r="B3406" s="1" t="str">
        <f t="shared" si="1677"/>
        <v>共青团员</v>
      </c>
      <c r="C3406" s="1" t="str">
        <f t="shared" si="1678"/>
        <v>专科</v>
      </c>
      <c r="D3406" s="1" t="str">
        <f>"20190701"</f>
        <v>20190701</v>
      </c>
      <c r="E3406" s="1" t="str">
        <f>"河南信息统计职业学院"</f>
        <v>河南信息统计职业学院</v>
      </c>
      <c r="F3406" s="1" t="str">
        <f>"计算机信息管理"</f>
        <v>计算机信息管理</v>
      </c>
      <c r="G3406" s="1" t="str">
        <f>"河南省南阳市内乡县城关镇"</f>
        <v>河南省南阳市内乡县城关镇</v>
      </c>
      <c r="H3406" s="1" t="str">
        <f t="shared" si="1680"/>
        <v>无</v>
      </c>
      <c r="I3406" s="1" t="str">
        <f>"201609-201907在河南信息统计职业学院，信息工程系，计算机信息管理专业就读。"</f>
        <v>201609-201907在河南信息统计职业学院，信息工程系，计算机信息管理专业就读。</v>
      </c>
    </row>
    <row r="3407" spans="1:9">
      <c r="A3407" s="1" t="str">
        <f>"411327199909022960"</f>
        <v>411327199909022960</v>
      </c>
      <c r="B3407" s="1" t="str">
        <f t="shared" si="1677"/>
        <v>共青团员</v>
      </c>
      <c r="C3407" s="1" t="str">
        <f t="shared" si="1679"/>
        <v>本科</v>
      </c>
      <c r="D3407" s="1" t="str">
        <f>"20240606"</f>
        <v>20240606</v>
      </c>
      <c r="E3407" s="1" t="str">
        <f>"信阳学院"</f>
        <v>信阳学院</v>
      </c>
      <c r="F3407" s="1" t="str">
        <f>"教育学"</f>
        <v>教育学</v>
      </c>
      <c r="G3407" s="1" t="str">
        <f>"内乡县梨园山庄"</f>
        <v>内乡县梨园山庄</v>
      </c>
      <c r="H3407" s="1" t="str">
        <f t="shared" si="1680"/>
        <v>无</v>
      </c>
      <c r="I3407" s="1" t="str">
        <f>"202009-202406信阳学院 就读教育学院全日制教育学专业 "</f>
        <v>202009-202406信阳学院 就读教育学院全日制教育学专业 </v>
      </c>
    </row>
    <row r="3408" ht="108" spans="1:9">
      <c r="A3408" s="1" t="str">
        <f>"330382200005258515"</f>
        <v>330382200005258515</v>
      </c>
      <c r="B3408" s="1" t="str">
        <f t="shared" ref="B3408:B3414" si="1681">"群众"</f>
        <v>群众</v>
      </c>
      <c r="C3408" s="1" t="str">
        <f t="shared" si="1678"/>
        <v>专科</v>
      </c>
      <c r="D3408" s="1" t="str">
        <f>"20210620"</f>
        <v>20210620</v>
      </c>
      <c r="E3408" s="1" t="str">
        <f>"长沙理工大学"</f>
        <v>长沙理工大学</v>
      </c>
      <c r="F3408" s="1" t="str">
        <f>"汽车检测与维修技术"</f>
        <v>汽车检测与维修技术</v>
      </c>
      <c r="G3408" s="1" t="str">
        <f>"浙江省乐清市虹霞路47-2号"</f>
        <v>浙江省乐清市虹霞路47-2号</v>
      </c>
      <c r="H3408" s="1" t="str">
        <f>"汽车维修工 三级/高级工"</f>
        <v>汽车维修工 三级/高级工</v>
      </c>
      <c r="I3408" s="3" t="s">
        <v>263</v>
      </c>
    </row>
    <row r="3409" spans="1:9">
      <c r="A3409" s="1" t="str">
        <f>"411327199602140030"</f>
        <v>411327199602140030</v>
      </c>
      <c r="B3409" s="1" t="str">
        <f t="shared" si="1681"/>
        <v>群众</v>
      </c>
      <c r="C3409" s="1" t="str">
        <f t="shared" ref="C3409:C3413" si="1682">"本科"</f>
        <v>本科</v>
      </c>
      <c r="D3409" s="1" t="str">
        <f>"20250701"</f>
        <v>20250701</v>
      </c>
      <c r="E3409" s="1" t="str">
        <f>"南阳师范学院"</f>
        <v>南阳师范学院</v>
      </c>
      <c r="F3409" s="1" t="str">
        <f>"法学"</f>
        <v>法学</v>
      </c>
      <c r="G3409" s="1" t="str">
        <f>"县衙居委会186号"</f>
        <v>县衙居委会186号</v>
      </c>
      <c r="H3409" s="1" t="str">
        <f t="shared" ref="H3409:H3413" si="1683">"无"</f>
        <v>无</v>
      </c>
      <c r="I3409" s="1" t="str">
        <f>"201509-201707 郑州航空工业管理学院 计算机信息管理 全日制就读
201707-201808 待业
201808-202001 内乡县行政审批中心公共业务部
20207-202302 内乡县司法局 
202302-今 内乡县先进制造业开发区发展投资有限公司
202305-202507 南阳师范学院 法学专业就读 非全日制"</f>
        <v>201509-201707 郑州航空工业管理学院 计算机信息管理 全日制就读
201707-201808 待业
201808-202001 内乡县行政审批中心公共业务部
20207-202302 内乡县司法局 
202302-今 内乡县先进制造业开发区发展投资有限公司
202305-202507 南阳师范学院 法学专业就读 非全日制</v>
      </c>
    </row>
    <row r="3410" spans="1:9">
      <c r="A3410" s="1" t="str">
        <f>"411327200203020029"</f>
        <v>411327200203020029</v>
      </c>
      <c r="B3410" s="1" t="str">
        <f>"共青团员"</f>
        <v>共青团员</v>
      </c>
      <c r="C3410" s="1" t="str">
        <f t="shared" si="1682"/>
        <v>本科</v>
      </c>
      <c r="D3410" s="1" t="str">
        <f>"20240710"</f>
        <v>20240710</v>
      </c>
      <c r="E3410" s="1" t="str">
        <f>"昆明传媒学院"</f>
        <v>昆明传媒学院</v>
      </c>
      <c r="F3410" s="1" t="str">
        <f>"学前教育"</f>
        <v>学前教育</v>
      </c>
      <c r="G3410" s="1" t="str">
        <f>"内乡县城关镇"</f>
        <v>内乡县城关镇</v>
      </c>
      <c r="H3410" s="1" t="str">
        <f>"教师资格证中职专业课（学前教育）"</f>
        <v>教师资格证中职专业课（学前教育）</v>
      </c>
      <c r="I3410" s="1" t="str">
        <f>"202009—202407昆明传媒学院 教育学院学前教育专业就读  本科全日制
202407—至今  家中待业"</f>
        <v>202009—202407昆明传媒学院 教育学院学前教育专业就读  本科全日制
202407—至今  家中待业</v>
      </c>
    </row>
    <row r="3411" spans="1:9">
      <c r="A3411" s="1" t="str">
        <f>"411327199903294527"</f>
        <v>411327199903294527</v>
      </c>
      <c r="B3411" s="1" t="str">
        <f t="shared" si="1681"/>
        <v>群众</v>
      </c>
      <c r="C3411" s="1" t="str">
        <f t="shared" si="1682"/>
        <v>本科</v>
      </c>
      <c r="D3411" s="1" t="str">
        <f>"20210701"</f>
        <v>20210701</v>
      </c>
      <c r="E3411" s="1" t="str">
        <f>"洛阳理工学院"</f>
        <v>洛阳理工学院</v>
      </c>
      <c r="F3411" s="1" t="str">
        <f>"会计学"</f>
        <v>会计学</v>
      </c>
      <c r="G3411" s="1" t="str">
        <f>"河南省南阳市内乡县赵店乡聂岗村别西组"</f>
        <v>河南省南阳市内乡县赵店乡聂岗村别西组</v>
      </c>
      <c r="H3411" s="1" t="str">
        <f>"初级会计证"</f>
        <v>初级会计证</v>
      </c>
      <c r="I3411" s="1" t="str">
        <f>"201709-202107在洛阳理工学院会计学院会计学专业就读，全日制本科学历；202107-202212在家待业；202212至今在内乡县医药公司就业。
"</f>
        <v>201709-202107在洛阳理工学院会计学院会计学专业就读，全日制本科学历；202107-202212在家待业；202212至今在内乡县医药公司就业。
</v>
      </c>
    </row>
    <row r="3412" spans="1:9">
      <c r="A3412" s="1" t="str">
        <f>"411327200309231553"</f>
        <v>411327200309231553</v>
      </c>
      <c r="B3412" s="1" t="str">
        <f t="shared" si="1681"/>
        <v>群众</v>
      </c>
      <c r="C3412" s="1" t="str">
        <f t="shared" si="1682"/>
        <v>本科</v>
      </c>
      <c r="D3412" s="1" t="str">
        <f>"20250607"</f>
        <v>20250607</v>
      </c>
      <c r="E3412" s="1" t="str">
        <f>"新乡学院"</f>
        <v>新乡学院</v>
      </c>
      <c r="F3412" s="1" t="str">
        <f>"体育教育"</f>
        <v>体育教育</v>
      </c>
      <c r="G3412" s="1" t="str">
        <f>"河南省南阳市内乡县王店镇马堂村"</f>
        <v>河南省南阳市内乡县王店镇马堂村</v>
      </c>
      <c r="H3412" s="1" t="str">
        <f t="shared" si="1683"/>
        <v>无</v>
      </c>
      <c r="I3412" s="1" t="str">
        <f>"202109-202506在新乡学院体育学院体育教育专业就读"</f>
        <v>202109-202506在新乡学院体育学院体育教育专业就读</v>
      </c>
    </row>
    <row r="3413" spans="1:9">
      <c r="A3413" s="1" t="str">
        <f>"41132420000711001X"</f>
        <v>41132420000711001X</v>
      </c>
      <c r="B3413" s="1" t="str">
        <f t="shared" si="1681"/>
        <v>群众</v>
      </c>
      <c r="C3413" s="1" t="str">
        <f t="shared" si="1682"/>
        <v>本科</v>
      </c>
      <c r="D3413" s="1" t="str">
        <f>"20220701"</f>
        <v>20220701</v>
      </c>
      <c r="E3413" s="1" t="str">
        <f>"郑州师范学院"</f>
        <v>郑州师范学院</v>
      </c>
      <c r="F3413" s="1" t="str">
        <f>"软件工程"</f>
        <v>软件工程</v>
      </c>
      <c r="G3413" s="1" t="str">
        <f>"河南省南阳市镇平县星港阳光城"</f>
        <v>河南省南阳市镇平县星港阳光城</v>
      </c>
      <c r="H3413" s="1" t="str">
        <f t="shared" si="1683"/>
        <v>无</v>
      </c>
      <c r="I3413" s="1" t="str">
        <f>"201809-202207 郑州师范学院就读
202207-202407 数字郑州科技有限公司 软件测试工程师
202408-至今 待业"</f>
        <v>201809-202207 郑州师范学院就读
202207-202407 数字郑州科技有限公司 软件测试工程师
202408-至今 待业</v>
      </c>
    </row>
    <row r="3414" spans="1:9">
      <c r="A3414" s="1" t="str">
        <f>"411327199412130616"</f>
        <v>411327199412130616</v>
      </c>
      <c r="B3414" s="1" t="str">
        <f t="shared" si="1681"/>
        <v>群众</v>
      </c>
      <c r="C3414" s="1" t="str">
        <f>"专科"</f>
        <v>专科</v>
      </c>
      <c r="D3414" s="1" t="str">
        <f>"2016-07-01"</f>
        <v>2016-07-01</v>
      </c>
      <c r="E3414" s="1" t="str">
        <f>"商丘职业技术学院"</f>
        <v>商丘职业技术学院</v>
      </c>
      <c r="F3414" s="1" t="str">
        <f>"会计电算化"</f>
        <v>会计电算化</v>
      </c>
      <c r="G3414" s="1" t="str">
        <f>"内乡县天春苑1号楼1单元1902"</f>
        <v>内乡县天春苑1号楼1单元1902</v>
      </c>
      <c r="H3414" s="1" t="str">
        <f>"初级会计证"</f>
        <v>初级会计证</v>
      </c>
      <c r="I3414" s="1" t="str">
        <f>"2013.9-2016.7在商丘职业技术学院经贸系会计电算化专业就读"</f>
        <v>2013.9-2016.7在商丘职业技术学院经贸系会计电算化专业就读</v>
      </c>
    </row>
    <row r="3415" spans="1:9">
      <c r="A3415" s="1" t="str">
        <f>"411327200205243912"</f>
        <v>411327200205243912</v>
      </c>
      <c r="B3415" s="1" t="str">
        <f>"共青团员"</f>
        <v>共青团员</v>
      </c>
      <c r="C3415" s="1" t="str">
        <f t="shared" ref="C3415:C3420" si="1684">"本科"</f>
        <v>本科</v>
      </c>
      <c r="D3415" s="1" t="str">
        <f>"20250630"</f>
        <v>20250630</v>
      </c>
      <c r="E3415" s="1" t="str">
        <f>"新乡学院"</f>
        <v>新乡学院</v>
      </c>
      <c r="F3415" s="1" t="str">
        <f>"车辆工程"</f>
        <v>车辆工程</v>
      </c>
      <c r="G3415" s="1" t="str">
        <f>"河南省南阳市内乡县"</f>
        <v>河南省南阳市内乡县</v>
      </c>
      <c r="H3415" s="1" t="str">
        <f t="shared" ref="H3415:H3419" si="1685">"无"</f>
        <v>无</v>
      </c>
      <c r="I3415" s="1" t="str">
        <f>"202309-202506在新乡学院机电工程院系车辆工程专业就读，是全日制学历。"</f>
        <v>202309-202506在新乡学院机电工程院系车辆工程专业就读，是全日制学历。</v>
      </c>
    </row>
    <row r="3416" spans="1:9">
      <c r="A3416" s="1" t="str">
        <f>"41132719971002204X"</f>
        <v>41132719971002204X</v>
      </c>
      <c r="B3416" s="1" t="str">
        <f t="shared" ref="B3416:B3420" si="1686">"中共党员"</f>
        <v>中共党员</v>
      </c>
      <c r="C3416" s="1" t="str">
        <f t="shared" si="1684"/>
        <v>本科</v>
      </c>
      <c r="D3416" s="1" t="str">
        <f>"20200701"</f>
        <v>20200701</v>
      </c>
      <c r="E3416" s="1" t="str">
        <f>"河南牧业经济学院"</f>
        <v>河南牧业经济学院</v>
      </c>
      <c r="F3416" s="1" t="str">
        <f>"酿酒工程"</f>
        <v>酿酒工程</v>
      </c>
      <c r="G3416" s="1" t="str">
        <f>"河南省内乡县城关镇第六小学对面"</f>
        <v>河南省内乡县城关镇第六小学对面</v>
      </c>
      <c r="H3416" s="1" t="str">
        <f>"初级酿酒师"</f>
        <v>初级酿酒师</v>
      </c>
      <c r="I3416" s="1" t="str">
        <f>"201609-202007 河南牧业经济学院 食品与生物工程学院 酿酒工程专业就读 全日制本科
202007-202105 日立中央空调智慧馆
202106-至今 内乡县气象局 "</f>
        <v>201609-202007 河南牧业经济学院 食品与生物工程学院 酿酒工程专业就读 全日制本科
202007-202105 日立中央空调智慧馆
202106-至今 内乡县气象局 </v>
      </c>
    </row>
    <row r="3417" spans="1:9">
      <c r="A3417" s="1" t="str">
        <f>"411524200109060026"</f>
        <v>411524200109060026</v>
      </c>
      <c r="B3417" s="1" t="str">
        <f t="shared" si="1686"/>
        <v>中共党员</v>
      </c>
      <c r="C3417" s="1" t="str">
        <f t="shared" si="1684"/>
        <v>本科</v>
      </c>
      <c r="D3417" s="1" t="str">
        <f>"20230701"</f>
        <v>20230701</v>
      </c>
      <c r="E3417" s="1" t="str">
        <f>"平顶山学院"</f>
        <v>平顶山学院</v>
      </c>
      <c r="F3417" s="1" t="str">
        <f>"戏剧影视文学"</f>
        <v>戏剧影视文学</v>
      </c>
      <c r="G3417" s="1" t="str">
        <f>"河南省信阳市平桥区前进街道政衡学府"</f>
        <v>河南省信阳市平桥区前进街道政衡学府</v>
      </c>
      <c r="H3417" s="1" t="str">
        <f t="shared" si="1685"/>
        <v>无</v>
      </c>
      <c r="I3417" s="1" t="str">
        <f>"201909-202307在平顶山学院文学院戏剧影视文学专业就读，全日制学历；202307-至今待业"</f>
        <v>201909-202307在平顶山学院文学院戏剧影视文学专业就读，全日制学历；202307-至今待业</v>
      </c>
    </row>
    <row r="3418" spans="1:9">
      <c r="A3418" s="1" t="str">
        <f>"411302199306154254"</f>
        <v>411302199306154254</v>
      </c>
      <c r="B3418" s="1" t="str">
        <f t="shared" ref="B3418:B3422" si="1687">"群众"</f>
        <v>群众</v>
      </c>
      <c r="C3418" s="1" t="str">
        <f t="shared" si="1684"/>
        <v>本科</v>
      </c>
      <c r="D3418" s="1" t="str">
        <f>"20250707"</f>
        <v>20250707</v>
      </c>
      <c r="E3418" s="1" t="str">
        <f>"西安石油大学"</f>
        <v>西安石油大学</v>
      </c>
      <c r="F3418" s="1" t="str">
        <f>"土木工程"</f>
        <v>土木工程</v>
      </c>
      <c r="G3418" s="1" t="str">
        <f>"河南省南阳市宛城区伏牛路书林苑"</f>
        <v>河南省南阳市宛城区伏牛路书林苑</v>
      </c>
      <c r="H3418" s="1" t="str">
        <f t="shared" si="1685"/>
        <v>无</v>
      </c>
      <c r="I3418" s="1" t="str">
        <f>"201209-201506 郑州铁路职业技术学院  全日制专科   音乐表演专业
201506-201606  灵活就业 地点南阳
201606-至今  南阳市高新区城市管理和综合执法局
202309-202507  西安石油大学  专升本  土木工程"</f>
        <v>201209-201506 郑州铁路职业技术学院  全日制专科   音乐表演专业
201506-201606  灵活就业 地点南阳
201606-至今  南阳市高新区城市管理和综合执法局
202309-202507  西安石油大学  专升本  土木工程</v>
      </c>
    </row>
    <row r="3419" spans="1:9">
      <c r="A3419" s="1" t="str">
        <f>"411327199905193527"</f>
        <v>411327199905193527</v>
      </c>
      <c r="B3419" s="1" t="str">
        <f t="shared" si="1687"/>
        <v>群众</v>
      </c>
      <c r="C3419" s="1" t="str">
        <f t="shared" si="1684"/>
        <v>本科</v>
      </c>
      <c r="D3419" s="1" t="str">
        <f>"20250607"</f>
        <v>20250607</v>
      </c>
      <c r="E3419" s="1" t="str">
        <f>"商丘学院"</f>
        <v>商丘学院</v>
      </c>
      <c r="F3419" s="1" t="str">
        <f>"小学教育"</f>
        <v>小学教育</v>
      </c>
      <c r="G3419" s="1" t="str">
        <f>"内乡县城关镇范蠡大街"</f>
        <v>内乡县城关镇范蠡大街</v>
      </c>
      <c r="H3419" s="1" t="str">
        <f t="shared" si="1685"/>
        <v>无</v>
      </c>
      <c r="I3419" s="1" t="str">
        <f>"201709-202006 南阳理工学院师范学院小学教育就读 是全日制学历
202304-202507 商丘学院继续教育学院小学教育就读 非全日制学历
202009-202406 灌涨镇初级中学担任教师
202409-至今 灌涨镇社区中心小学担任教师
"</f>
        <v>201709-202006 南阳理工学院师范学院小学教育就读 是全日制学历
202304-202507 商丘学院继续教育学院小学教育就读 非全日制学历
202009-202406 灌涨镇初级中学担任教师
202409-至今 灌涨镇社区中心小学担任教师
</v>
      </c>
    </row>
    <row r="3420" spans="1:9">
      <c r="A3420" s="1" t="str">
        <f>"411302200109076192"</f>
        <v>411302200109076192</v>
      </c>
      <c r="B3420" s="1" t="str">
        <f t="shared" si="1686"/>
        <v>中共党员</v>
      </c>
      <c r="C3420" s="1" t="str">
        <f t="shared" si="1684"/>
        <v>本科</v>
      </c>
      <c r="D3420" s="1" t="str">
        <f>"20250607"</f>
        <v>20250607</v>
      </c>
      <c r="E3420" s="1" t="str">
        <f>"新疆财经大学"</f>
        <v>新疆财经大学</v>
      </c>
      <c r="F3420" s="1" t="str">
        <f>"金融工程"</f>
        <v>金融工程</v>
      </c>
      <c r="G3420" s="1" t="str">
        <f>"河南省南阳市宛城区黄台岗镇禹王村"</f>
        <v>河南省南阳市宛城区黄台岗镇禹王村</v>
      </c>
      <c r="H3420" s="1" t="str">
        <f>"大学生英语四六级，普通话二乙"</f>
        <v>大学生英语四六级，普通话二乙</v>
      </c>
      <c r="I3420" s="1" t="str">
        <f>"202109-202507在新疆财经大学金融工程专业就读，全日制学历
202009-202107在南阳市五中就读
201809-202007在南阳市二中就读
"</f>
        <v>202109-202507在新疆财经大学金融工程专业就读，全日制学历
202009-202107在南阳市五中就读
201809-202007在南阳市二中就读
</v>
      </c>
    </row>
    <row r="3421" spans="1:9">
      <c r="A3421" s="1" t="str">
        <f>"41132720030719295X"</f>
        <v>41132720030719295X</v>
      </c>
      <c r="B3421" s="1" t="str">
        <f t="shared" si="1687"/>
        <v>群众</v>
      </c>
      <c r="C3421" s="1" t="str">
        <f t="shared" ref="C3421:C3426" si="1688">"专科"</f>
        <v>专科</v>
      </c>
      <c r="D3421" s="1" t="str">
        <f>"20250701"</f>
        <v>20250701</v>
      </c>
      <c r="E3421" s="1" t="str">
        <f>"商丘职业技术学院"</f>
        <v>商丘职业技术学院</v>
      </c>
      <c r="F3421" s="1" t="str">
        <f>"动物医学"</f>
        <v>动物医学</v>
      </c>
      <c r="G3421" s="1" t="str">
        <f>"南阳市内乡县瓦亭镇平安大道27号"</f>
        <v>南阳市内乡县瓦亭镇平安大道27号</v>
      </c>
      <c r="H3421" s="1" t="str">
        <f t="shared" ref="H3421:H3426" si="1689">"无"</f>
        <v>无</v>
      </c>
      <c r="I3421" s="1" t="str">
        <f>"202209-202506 商丘职业技术学院动物医学专业 就读 是全日制学历"</f>
        <v>202209-202506 商丘职业技术学院动物医学专业 就读 是全日制学历</v>
      </c>
    </row>
    <row r="3422" spans="1:9">
      <c r="A3422" s="1" t="str">
        <f>"411324199812280032"</f>
        <v>411324199812280032</v>
      </c>
      <c r="B3422" s="1" t="str">
        <f t="shared" si="1687"/>
        <v>群众</v>
      </c>
      <c r="C3422" s="1" t="str">
        <f t="shared" si="1688"/>
        <v>专科</v>
      </c>
      <c r="D3422" s="1" t="str">
        <f>"2018.07"</f>
        <v>2018.07</v>
      </c>
      <c r="E3422" s="1" t="str">
        <f>"河南建筑职业技术学院"</f>
        <v>河南建筑职业技术学院</v>
      </c>
      <c r="F3422" s="1" t="str">
        <f>"建设工程管理"</f>
        <v>建设工程管理</v>
      </c>
      <c r="G3422" s="1" t="str">
        <f>"河南省镇平县"</f>
        <v>河南省镇平县</v>
      </c>
      <c r="H3422" s="1" t="str">
        <f t="shared" si="1689"/>
        <v>无</v>
      </c>
      <c r="I3422" s="1" t="str">
        <f>"201309-201806:河南建筑职业技术学院管理系建设工程管理专业就读（全日制学历）"</f>
        <v>201309-201806:河南建筑职业技术学院管理系建设工程管理专业就读（全日制学历）</v>
      </c>
    </row>
    <row r="3423" spans="1:9">
      <c r="A3423" s="1" t="str">
        <f>"411327200001032048"</f>
        <v>411327200001032048</v>
      </c>
      <c r="B3423" s="1" t="str">
        <f>"共青团员"</f>
        <v>共青团员</v>
      </c>
      <c r="C3423" s="1" t="str">
        <f t="shared" ref="C3423:C3429" si="1690">"本科"</f>
        <v>本科</v>
      </c>
      <c r="D3423" s="1" t="str">
        <f>"20230701"</f>
        <v>20230701</v>
      </c>
      <c r="E3423" s="1" t="str">
        <f>"郑州工商学院"</f>
        <v>郑州工商学院</v>
      </c>
      <c r="F3423" s="1" t="str">
        <f>"英语"</f>
        <v>英语</v>
      </c>
      <c r="G3423" s="1" t="str">
        <f>"河南省南阳市内乡县师岗镇"</f>
        <v>河南省南阳市内乡县师岗镇</v>
      </c>
      <c r="H3423" s="1" t="str">
        <f t="shared" si="1689"/>
        <v>无</v>
      </c>
      <c r="I3423" s="1" t="str">
        <f>"201909-202307在郑州工商学院人文艺术学院英语专业就读，是全日制本科；202309-2025-07在内乡郦都学校教学"</f>
        <v>201909-202307在郑州工商学院人文艺术学院英语专业就读，是全日制本科；202309-2025-07在内乡郦都学校教学</v>
      </c>
    </row>
    <row r="3424" spans="1:9">
      <c r="A3424" s="1" t="str">
        <f>"412825199504253766"</f>
        <v>412825199504253766</v>
      </c>
      <c r="B3424" s="1" t="str">
        <f t="shared" ref="B3424:B3427" si="1691">"群众"</f>
        <v>群众</v>
      </c>
      <c r="C3424" s="1" t="str">
        <f t="shared" si="1690"/>
        <v>本科</v>
      </c>
      <c r="D3424" s="1" t="str">
        <f>"20190701"</f>
        <v>20190701</v>
      </c>
      <c r="E3424" s="1" t="str">
        <f>"北京第二外国语学院  "</f>
        <v>北京第二外国语学院  </v>
      </c>
      <c r="F3424" s="1" t="str">
        <f>"会展经济与管理"</f>
        <v>会展经济与管理</v>
      </c>
      <c r="G3424" s="1" t="str">
        <f>"河南省郑州市航空港区翠湖苑"</f>
        <v>河南省郑州市航空港区翠湖苑</v>
      </c>
      <c r="H3424" s="1" t="str">
        <f t="shared" si="1689"/>
        <v>无</v>
      </c>
      <c r="I3424" s="1" t="str">
        <f>"201509-201906  北京第二外国语学院  旅游科学学院                               会展经济与管理专业  全日制学历
201906-至今  待业"</f>
        <v>201509-201906  北京第二外国语学院  旅游科学学院                               会展经济与管理专业  全日制学历
201906-至今  待业</v>
      </c>
    </row>
    <row r="3425" spans="1:9">
      <c r="A3425" s="1" t="str">
        <f>"411302199912165746"</f>
        <v>411302199912165746</v>
      </c>
      <c r="B3425" s="1" t="str">
        <f t="shared" si="1691"/>
        <v>群众</v>
      </c>
      <c r="C3425" s="1" t="str">
        <f>"硕士研究生"</f>
        <v>硕士研究生</v>
      </c>
      <c r="D3425" s="1" t="str">
        <f>"20250630"</f>
        <v>20250630</v>
      </c>
      <c r="E3425" s="1" t="str">
        <f>"扬州大学"</f>
        <v>扬州大学</v>
      </c>
      <c r="F3425" s="1" t="str">
        <f>"思想政治教育"</f>
        <v>思想政治教育</v>
      </c>
      <c r="G3425" s="1" t="str">
        <f>"河南省南阳市宛城区新店乡贾庄村大边庄12组90号"</f>
        <v>河南省南阳市宛城区新店乡贾庄村大边庄12组90号</v>
      </c>
      <c r="H3425" s="1" t="str">
        <f t="shared" si="1689"/>
        <v>无</v>
      </c>
      <c r="I3425" s="1" t="str">
        <f>"201809-202206 郑州师范学院 商务英语专业 全日制
202209-202506 扬州大学 思想政治教育专业 全日制"</f>
        <v>201809-202206 郑州师范学院 商务英语专业 全日制
202209-202506 扬州大学 思想政治教育专业 全日制</v>
      </c>
    </row>
    <row r="3426" spans="1:9">
      <c r="A3426" s="1" t="str">
        <f>"411324200210306026"</f>
        <v>411324200210306026</v>
      </c>
      <c r="B3426" s="1" t="str">
        <f t="shared" si="1691"/>
        <v>群众</v>
      </c>
      <c r="C3426" s="1" t="str">
        <f t="shared" si="1688"/>
        <v>专科</v>
      </c>
      <c r="D3426" s="1" t="str">
        <f>"2323.07"</f>
        <v>2323.07</v>
      </c>
      <c r="E3426" s="1" t="str">
        <f>"郑州幼儿师范高等专科学校"</f>
        <v>郑州幼儿师范高等专科学校</v>
      </c>
      <c r="F3426" s="1" t="str">
        <f>"小学科学教育专业"</f>
        <v>小学科学教育专业</v>
      </c>
      <c r="G3426" s="1" t="str">
        <f>"河南省南阳市镇平县"</f>
        <v>河南省南阳市镇平县</v>
      </c>
      <c r="H3426" s="1" t="str">
        <f t="shared" si="1689"/>
        <v>无</v>
      </c>
      <c r="I3426" s="1" t="str">
        <f>"202009-202307 郑州幼儿师范高等专科学校就读"</f>
        <v>202009-202307 郑州幼儿师范高等专科学校就读</v>
      </c>
    </row>
    <row r="3427" spans="1:9">
      <c r="A3427" s="1" t="str">
        <f>"412827199608048882"</f>
        <v>412827199608048882</v>
      </c>
      <c r="B3427" s="1" t="str">
        <f t="shared" si="1691"/>
        <v>群众</v>
      </c>
      <c r="C3427" s="1" t="str">
        <f t="shared" si="1690"/>
        <v>本科</v>
      </c>
      <c r="D3427" s="1" t="str">
        <f>"2020-01-01"</f>
        <v>2020-01-01</v>
      </c>
      <c r="E3427" s="1" t="str">
        <f>"新乡医学院"</f>
        <v>新乡医学院</v>
      </c>
      <c r="F3427" s="1" t="str">
        <f>"药学"</f>
        <v>药学</v>
      </c>
      <c r="G3427" s="1" t="str">
        <f>"驻马店市天地惠城西区"</f>
        <v>驻马店市天地惠城西区</v>
      </c>
      <c r="H3427" s="1" t="str">
        <f>"药学初级（士）资格证"</f>
        <v>药学初级（士）资格证</v>
      </c>
      <c r="I3427" s="1" t="str">
        <f>"201009-201306 驻马店市卫生学校（全日制）药剂学专业 就读
201303-201601 新乡医学院（非全日制）药学专业 就读
201601-201703 居家待业
201703-202001 新乡医学院（非全日制）药学专业 就读"</f>
        <v>201009-201306 驻马店市卫生学校（全日制）药剂学专业 就读
201303-201601 新乡医学院（非全日制）药学专业 就读
201601-201703 居家待业
201703-202001 新乡医学院（非全日制）药学专业 就读</v>
      </c>
    </row>
    <row r="3428" spans="1:9">
      <c r="A3428" s="1" t="str">
        <f>"411327200111161537"</f>
        <v>411327200111161537</v>
      </c>
      <c r="B3428" s="1" t="str">
        <f t="shared" ref="B3428:B3433" si="1692">"共青团员"</f>
        <v>共青团员</v>
      </c>
      <c r="C3428" s="1" t="str">
        <f t="shared" si="1690"/>
        <v>本科</v>
      </c>
      <c r="D3428" s="1" t="str">
        <f>"20240701"</f>
        <v>20240701</v>
      </c>
      <c r="E3428" s="1" t="str">
        <f>"河南科技学院"</f>
        <v>河南科技学院</v>
      </c>
      <c r="F3428" s="1" t="str">
        <f>"动物科学"</f>
        <v>动物科学</v>
      </c>
      <c r="G3428" s="1" t="str">
        <f>"河南省南阳市内乡县湍东镇龙园村"</f>
        <v>河南省南阳市内乡县湍东镇龙园村</v>
      </c>
      <c r="H3428" s="1" t="str">
        <f>"动物疫病防治员"</f>
        <v>动物疫病防治员</v>
      </c>
      <c r="I3428" s="1" t="str">
        <f>"202009-202407河南科技学院就读
2020年9月至2024年7月在河南科技学院动物科技学院动物科学就读，是全日制本科学历"</f>
        <v>202009-202407河南科技学院就读
2020年9月至2024年7月在河南科技学院动物科技学院动物科学就读，是全日制本科学历</v>
      </c>
    </row>
    <row r="3429" spans="1:9">
      <c r="A3429" s="1" t="str">
        <f>"411323199612265317"</f>
        <v>411323199612265317</v>
      </c>
      <c r="B3429" s="1" t="str">
        <f t="shared" ref="B3429:B3432" si="1693">"群众"</f>
        <v>群众</v>
      </c>
      <c r="C3429" s="1" t="str">
        <f t="shared" si="1690"/>
        <v>本科</v>
      </c>
      <c r="D3429" s="1" t="str">
        <f>"20250709"</f>
        <v>20250709</v>
      </c>
      <c r="E3429" s="1" t="str">
        <f>"西安工业大学"</f>
        <v>西安工业大学</v>
      </c>
      <c r="F3429" s="1" t="str">
        <f>"经济学"</f>
        <v>经济学</v>
      </c>
      <c r="G3429" s="1" t="str">
        <f>"河南省南阳市淅川县楚都广场"</f>
        <v>河南省南阳市淅川县楚都广场</v>
      </c>
      <c r="H3429" s="1" t="str">
        <f t="shared" ref="H3429:H3442" si="1694">"无"</f>
        <v>无</v>
      </c>
      <c r="I3429" s="1" t="str">
        <f>"20120301-20140701 郑州大学酒店管理成人专科毕业
2015-20191201 淅川县星光大道传媒有限公司
201912-202502 淅川县香花镇人民政府扶贫办公室信息员，香花专职消防救援队
20230324-20250709 西安工业大学经济学成人本科毕业"</f>
        <v>20120301-20140701 郑州大学酒店管理成人专科毕业
2015-20191201 淅川县星光大道传媒有限公司
201912-202502 淅川县香花镇人民政府扶贫办公室信息员，香花专职消防救援队
20230324-20250709 西安工业大学经济学成人本科毕业</v>
      </c>
    </row>
    <row r="3430" spans="1:9">
      <c r="A3430" s="1" t="str">
        <f>"411323200210040030"</f>
        <v>411323200210040030</v>
      </c>
      <c r="B3430" s="1" t="str">
        <f t="shared" si="1692"/>
        <v>共青团员</v>
      </c>
      <c r="C3430" s="1" t="str">
        <f>"专科"</f>
        <v>专科</v>
      </c>
      <c r="D3430" s="1" t="str">
        <f>"20230701"</f>
        <v>20230701</v>
      </c>
      <c r="E3430" s="1" t="str">
        <f>"河南医学高等专科学校"</f>
        <v>河南医学高等专科学校</v>
      </c>
      <c r="F3430" s="1" t="str">
        <f>"临床医学"</f>
        <v>临床医学</v>
      </c>
      <c r="G3430" s="1" t="str">
        <f>"淅川县"</f>
        <v>淅川县</v>
      </c>
      <c r="H3430" s="1" t="str">
        <f t="shared" si="1694"/>
        <v>无</v>
      </c>
      <c r="I3430" s="1" t="str">
        <f>"202010-202307在河南医学高等专科学校医学系临川医学专业就读是全日制
202307-202507在淅川县公务交通用车服务有限公司工作"</f>
        <v>202010-202307在河南医学高等专科学校医学系临川医学专业就读是全日制
202307-202507在淅川县公务交通用车服务有限公司工作</v>
      </c>
    </row>
    <row r="3431" spans="1:9">
      <c r="A3431" s="1" t="str">
        <f>"410482200206195915"</f>
        <v>410482200206195915</v>
      </c>
      <c r="B3431" s="1" t="str">
        <f t="shared" si="1693"/>
        <v>群众</v>
      </c>
      <c r="C3431" s="1" t="str">
        <f t="shared" ref="C3431:C3437" si="1695">"本科"</f>
        <v>本科</v>
      </c>
      <c r="D3431" s="1" t="str">
        <f>"2025-7-1"</f>
        <v>2025-7-1</v>
      </c>
      <c r="E3431" s="1" t="str">
        <f>"郑州商学院"</f>
        <v>郑州商学院</v>
      </c>
      <c r="F3431" s="1" t="str">
        <f>"汉语言文学"</f>
        <v>汉语言文学</v>
      </c>
      <c r="G3431" s="1" t="str">
        <f>"河南省汝州市国玺幼儿园"</f>
        <v>河南省汝州市国玺幼儿园</v>
      </c>
      <c r="H3431" s="1" t="str">
        <f t="shared" si="1694"/>
        <v>无</v>
      </c>
      <c r="I3431" s="1" t="str">
        <f>"202109-202507 郑州商学院汉语言文学专业全日制学历 就读"</f>
        <v>202109-202507 郑州商学院汉语言文学专业全日制学历 就读</v>
      </c>
    </row>
    <row r="3432" spans="1:9">
      <c r="A3432" s="1" t="str">
        <f>"511623199603262405"</f>
        <v>511623199603262405</v>
      </c>
      <c r="B3432" s="1" t="str">
        <f t="shared" si="1693"/>
        <v>群众</v>
      </c>
      <c r="C3432" s="1" t="str">
        <f t="shared" si="1695"/>
        <v>本科</v>
      </c>
      <c r="D3432" s="1" t="str">
        <f>"20190620"</f>
        <v>20190620</v>
      </c>
      <c r="E3432" s="1" t="str">
        <f>"宜宾学院"</f>
        <v>宜宾学院</v>
      </c>
      <c r="F3432" s="1" t="str">
        <f>"社会工作"</f>
        <v>社会工作</v>
      </c>
      <c r="G3432" s="1" t="str">
        <f>"重庆市沙坪坝区永盛路西城科景1栋1单元"</f>
        <v>重庆市沙坪坝区永盛路西城科景1栋1单元</v>
      </c>
      <c r="H3432" s="1" t="str">
        <f t="shared" si="1694"/>
        <v>无</v>
      </c>
      <c r="I3432" s="1" t="str">
        <f>"201109--201506    四川广安市友谊中学学习（高中）
201509--201906   四川宜宾学院 社会工作专业学习（全日制本科）
201907--202403   重庆缜准科技有限公司员工 
202404--今   待业"</f>
        <v>201109--201506    四川广安市友谊中学学习（高中）
201509--201906   四川宜宾学院 社会工作专业学习（全日制本科）
201907--202403   重庆缜准科技有限公司员工 
202404--今   待业</v>
      </c>
    </row>
    <row r="3433" spans="1:9">
      <c r="A3433" s="1" t="str">
        <f>"411327199906220347"</f>
        <v>411327199906220347</v>
      </c>
      <c r="B3433" s="1" t="str">
        <f t="shared" si="1692"/>
        <v>共青团员</v>
      </c>
      <c r="C3433" s="1" t="str">
        <f t="shared" si="1695"/>
        <v>本科</v>
      </c>
      <c r="D3433" s="1" t="str">
        <f>"20220701"</f>
        <v>20220701</v>
      </c>
      <c r="E3433" s="1" t="str">
        <f>"河南农业大学"</f>
        <v>河南农业大学</v>
      </c>
      <c r="F3433" s="1" t="str">
        <f>"行政管理（农村社区管理）"</f>
        <v>行政管理（农村社区管理）</v>
      </c>
      <c r="G3433" s="1" t="str">
        <f>"河南省南阳市内乡县"</f>
        <v>河南省南阳市内乡县</v>
      </c>
      <c r="H3433" s="1" t="str">
        <f t="shared" si="1694"/>
        <v>无</v>
      </c>
      <c r="I3433" s="1" t="str">
        <f>"201809—202207 河南农业大学许昌校区行政管理专业就读 全日制
202208—202401 待就业
202401—至今      内乡复兴学校教师"</f>
        <v>201809—202207 河南农业大学许昌校区行政管理专业就读 全日制
202208—202401 待就业
202401—至今      内乡复兴学校教师</v>
      </c>
    </row>
    <row r="3434" spans="1:9">
      <c r="A3434" s="1" t="str">
        <f>"411522200002204533"</f>
        <v>411522200002204533</v>
      </c>
      <c r="B3434" s="1" t="str">
        <f t="shared" ref="B3434:B3440" si="1696">"群众"</f>
        <v>群众</v>
      </c>
      <c r="C3434" s="1" t="str">
        <f t="shared" si="1695"/>
        <v>本科</v>
      </c>
      <c r="D3434" s="1" t="str">
        <f>"20230615"</f>
        <v>20230615</v>
      </c>
      <c r="E3434" s="1" t="str">
        <f>"商丘工学院"</f>
        <v>商丘工学院</v>
      </c>
      <c r="F3434" s="1" t="str">
        <f>"金融学"</f>
        <v>金融学</v>
      </c>
      <c r="G3434" s="1" t="str">
        <f>"河南省郑州市宁馨苑小区"</f>
        <v>河南省郑州市宁馨苑小区</v>
      </c>
      <c r="H3434" s="1" t="str">
        <f t="shared" si="1694"/>
        <v>无</v>
      </c>
      <c r="I3434" s="1" t="str">
        <f>"201909-202306于商丘工学院经济与管理学院金融学专业就读"</f>
        <v>201909-202306于商丘工学院经济与管理学院金融学专业就读</v>
      </c>
    </row>
    <row r="3435" spans="1:9">
      <c r="A3435" s="1" t="str">
        <f>"410182199509090318"</f>
        <v>410182199509090318</v>
      </c>
      <c r="B3435" s="1" t="str">
        <f>"中共党员"</f>
        <v>中共党员</v>
      </c>
      <c r="C3435" s="1" t="str">
        <f t="shared" si="1695"/>
        <v>本科</v>
      </c>
      <c r="D3435" s="1" t="str">
        <f>"20180622"</f>
        <v>20180622</v>
      </c>
      <c r="E3435" s="1" t="str">
        <f>"山东财经大学东方学院"</f>
        <v>山东财经大学东方学院</v>
      </c>
      <c r="F3435" s="1" t="str">
        <f>"人力资源管理"</f>
        <v>人力资源管理</v>
      </c>
      <c r="G3435" s="1" t="str">
        <f>"郑州市郑东新区中豪汇景湾小区"</f>
        <v>郑州市郑东新区中豪汇景湾小区</v>
      </c>
      <c r="H3435" s="1" t="str">
        <f t="shared" si="1694"/>
        <v>无</v>
      </c>
      <c r="I3435" s="1" t="str">
        <f>"201409-201806 山东财经大学东方学院工商管理系人力资源管理专业就读 全日制学历
201807-202011 在郑州市城市职业学院人事处担任助理职务
202012-至今在郑州市二七区淮河路街道办事处政通路社区担任两委委员一职"</f>
        <v>201409-201806 山东财经大学东方学院工商管理系人力资源管理专业就读 全日制学历
201807-202011 在郑州市城市职业学院人事处担任助理职务
202012-至今在郑州市二七区淮河路街道办事处政通路社区担任两委委员一职</v>
      </c>
    </row>
    <row r="3436" spans="1:9">
      <c r="A3436" s="1" t="str">
        <f>"411381200011034221"</f>
        <v>411381200011034221</v>
      </c>
      <c r="B3436" s="1" t="str">
        <f>"中共党员"</f>
        <v>中共党员</v>
      </c>
      <c r="C3436" s="1" t="str">
        <f t="shared" si="1695"/>
        <v>本科</v>
      </c>
      <c r="D3436" s="1" t="str">
        <f>"20240620"</f>
        <v>20240620</v>
      </c>
      <c r="E3436" s="1" t="str">
        <f>"黄河科技学院"</f>
        <v>黄河科技学院</v>
      </c>
      <c r="F3436" s="1" t="str">
        <f>"学前教育"</f>
        <v>学前教育</v>
      </c>
      <c r="G3436" s="1" t="str">
        <f>"河南省南阳市邓州市十林镇王河村"</f>
        <v>河南省南阳市邓州市十林镇王河村</v>
      </c>
      <c r="H3436" s="1" t="str">
        <f t="shared" si="1694"/>
        <v>无</v>
      </c>
      <c r="I3436" s="1" t="str">
        <f>"2019.09-2022.06郑州城市职业学院 文化教育学院 学前教育
2022.09-2024.06黄河科技学院 职业技术学院学前教育"</f>
        <v>2019.09-2022.06郑州城市职业学院 文化教育学院 学前教育
2022.09-2024.06黄河科技学院 职业技术学院学前教育</v>
      </c>
    </row>
    <row r="3437" spans="1:9">
      <c r="A3437" s="1" t="str">
        <f>"411327200304250042"</f>
        <v>411327200304250042</v>
      </c>
      <c r="B3437" s="1" t="str">
        <f>"共青团员"</f>
        <v>共青团员</v>
      </c>
      <c r="C3437" s="1" t="str">
        <f t="shared" si="1695"/>
        <v>本科</v>
      </c>
      <c r="D3437" s="1" t="str">
        <f>"202506015"</f>
        <v>202506015</v>
      </c>
      <c r="E3437" s="1" t="str">
        <f>"许昌学院"</f>
        <v>许昌学院</v>
      </c>
      <c r="F3437" s="1" t="str">
        <f>"工商管理"</f>
        <v>工商管理</v>
      </c>
      <c r="G3437" s="1" t="str">
        <f>"河南省南阳市内乡县城关镇利德桂花苑"</f>
        <v>河南省南阳市内乡县城关镇利德桂花苑</v>
      </c>
      <c r="H3437" s="1" t="str">
        <f t="shared" si="1694"/>
        <v>无</v>
      </c>
      <c r="I3437" s="1" t="str">
        <f>"202109-202506许昌学院国际教育学院工商管理专业就读，全日制"</f>
        <v>202109-202506许昌学院国际教育学院工商管理专业就读，全日制</v>
      </c>
    </row>
    <row r="3438" spans="1:9">
      <c r="A3438" s="1" t="str">
        <f>"411327199504150622"</f>
        <v>411327199504150622</v>
      </c>
      <c r="B3438" s="1" t="str">
        <f t="shared" si="1696"/>
        <v>群众</v>
      </c>
      <c r="C3438" s="1" t="str">
        <f>"专科"</f>
        <v>专科</v>
      </c>
      <c r="D3438" s="1" t="str">
        <f>"20200701"</f>
        <v>20200701</v>
      </c>
      <c r="E3438" s="1" t="str">
        <f>"南阳职业学院"</f>
        <v>南阳职业学院</v>
      </c>
      <c r="F3438" s="1" t="str">
        <f>"软件技术"</f>
        <v>软件技术</v>
      </c>
      <c r="G3438" s="1" t="str">
        <f>"内乡县城关镇维多利亚小区"</f>
        <v>内乡县城关镇维多利亚小区</v>
      </c>
      <c r="H3438" s="1" t="str">
        <f t="shared" si="1694"/>
        <v>无</v>
      </c>
      <c r="I3438" s="1" t="str">
        <f>"201809-202007 南阳职业学院软件技术专业就读，全日制"</f>
        <v>201809-202007 南阳职业学院软件技术专业就读，全日制</v>
      </c>
    </row>
    <row r="3439" spans="1:9">
      <c r="A3439" s="1" t="str">
        <f>"411327199902021113"</f>
        <v>411327199902021113</v>
      </c>
      <c r="B3439" s="1" t="str">
        <f t="shared" si="1696"/>
        <v>群众</v>
      </c>
      <c r="C3439" s="1" t="str">
        <f t="shared" ref="C3439:C3446" si="1697">"本科"</f>
        <v>本科</v>
      </c>
      <c r="D3439" s="1" t="str">
        <f>"2021.07"</f>
        <v>2021.07</v>
      </c>
      <c r="E3439" s="1" t="str">
        <f>"河南师范大学新联学院"</f>
        <v>河南师范大学新联学院</v>
      </c>
      <c r="F3439" s="1" t="str">
        <f>"文化产业管理"</f>
        <v>文化产业管理</v>
      </c>
      <c r="G3439" s="1" t="str">
        <f>"南阳市内乡县赤眉镇陈湾村"</f>
        <v>南阳市内乡县赤眉镇陈湾村</v>
      </c>
      <c r="H3439" s="1" t="str">
        <f t="shared" si="1694"/>
        <v>无</v>
      </c>
      <c r="I3439" s="1" t="str">
        <f>"2017.9-2021.7 河南师范大学新联学院文化产业管理专业就读
2021.7-2022.10 在家待业
2022.10-至今 在南阳市内乡县宏达集团工作"</f>
        <v>2017.9-2021.7 河南师范大学新联学院文化产业管理专业就读
2021.7-2022.10 在家待业
2022.10-至今 在南阳市内乡县宏达集团工作</v>
      </c>
    </row>
    <row r="3440" spans="1:9">
      <c r="A3440" s="1" t="str">
        <f>"411324199711261916"</f>
        <v>411324199711261916</v>
      </c>
      <c r="B3440" s="1" t="str">
        <f t="shared" si="1696"/>
        <v>群众</v>
      </c>
      <c r="C3440" s="1" t="str">
        <f t="shared" si="1697"/>
        <v>本科</v>
      </c>
      <c r="D3440" s="1" t="str">
        <f>"20200615"</f>
        <v>20200615</v>
      </c>
      <c r="E3440" s="1" t="str">
        <f>"浙江水利水电学院"</f>
        <v>浙江水利水电学院</v>
      </c>
      <c r="F3440" s="1" t="str">
        <f>"测绘工程"</f>
        <v>测绘工程</v>
      </c>
      <c r="G3440" s="1" t="str">
        <f>"镇平县晁陂镇吕营村100号"</f>
        <v>镇平县晁陂镇吕营村100号</v>
      </c>
      <c r="H3440" s="1" t="str">
        <f t="shared" si="1694"/>
        <v>无</v>
      </c>
      <c r="I3440" s="1" t="str">
        <f>"201609-202006 浙江水利水电学院，测绘与市政工程院系 ，测绘工程专业就读。全日制学历
202007-202105 浙江交工宏途交通建设有限公司任技术员。
202105-202405 浙江天苑景观建设有限公司任工程专员。
202405-至今 在河南省镇平县待业。"</f>
        <v>201609-202006 浙江水利水电学院，测绘与市政工程院系 ，测绘工程专业就读。全日制学历
202007-202105 浙江交工宏途交通建设有限公司任技术员。
202105-202405 浙江天苑景观建设有限公司任工程专员。
202405-至今 在河南省镇平县待业。</v>
      </c>
    </row>
    <row r="3441" spans="1:9">
      <c r="A3441" s="1" t="str">
        <f>"411222199707105525"</f>
        <v>411222199707105525</v>
      </c>
      <c r="B3441" s="1" t="str">
        <f t="shared" ref="B3441:B3444" si="1698">"中共党员"</f>
        <v>中共党员</v>
      </c>
      <c r="C3441" s="1" t="str">
        <f t="shared" si="1697"/>
        <v>本科</v>
      </c>
      <c r="D3441" s="1" t="str">
        <f>"20200701"</f>
        <v>20200701</v>
      </c>
      <c r="E3441" s="1" t="str">
        <f>"河南牧业经济学院"</f>
        <v>河南牧业经济学院</v>
      </c>
      <c r="F3441" s="1" t="str">
        <f>"食品质量与安全"</f>
        <v>食品质量与安全</v>
      </c>
      <c r="G3441" s="1" t="str">
        <f>"河南省三门峡市陕州区王家后乡柴洼村"</f>
        <v>河南省三门峡市陕州区王家后乡柴洼村</v>
      </c>
      <c r="H3441" s="1" t="str">
        <f t="shared" si="1694"/>
        <v>无</v>
      </c>
      <c r="I3441" s="1" t="str">
        <f>"201609-202007 河南牧业经济学院食品与生物工程学院食品质量与安全专业就读，全日制学历
202008-202105 牧原食品股份有限公司 计划专员
202109-202207 陕州外国语学校 数学教师
202209-202308 三门峡市伯阳学校 数学教师
202309-202410 待业
202411-202505 河南汇多滋饮品股份有限公司 研发助理
202506-至今 待业"</f>
        <v>201609-202007 河南牧业经济学院食品与生物工程学院食品质量与安全专业就读，全日制学历
202008-202105 牧原食品股份有限公司 计划专员
202109-202207 陕州外国语学校 数学教师
202209-202308 三门峡市伯阳学校 数学教师
202309-202410 待业
202411-202505 河南汇多滋饮品股份有限公司 研发助理
202506-至今 待业</v>
      </c>
    </row>
    <row r="3442" spans="1:9">
      <c r="A3442" s="1" t="str">
        <f>"411327199902080033"</f>
        <v>411327199902080033</v>
      </c>
      <c r="B3442" s="1" t="str">
        <f t="shared" si="1698"/>
        <v>中共党员</v>
      </c>
      <c r="C3442" s="1" t="str">
        <f t="shared" si="1697"/>
        <v>本科</v>
      </c>
      <c r="D3442" s="1" t="str">
        <f>"20240607"</f>
        <v>20240607</v>
      </c>
      <c r="E3442" s="1" t="str">
        <f>"郑州科技学院"</f>
        <v>郑州科技学院</v>
      </c>
      <c r="F3442" s="1" t="str">
        <f>"轨道交通信号与控制"</f>
        <v>轨道交通信号与控制</v>
      </c>
      <c r="G3442" s="1" t="str">
        <f>"河南省南阳市内乡县湍东镇屈庄梁洼99号"</f>
        <v>河南省南阳市内乡县湍东镇屈庄梁洼99号</v>
      </c>
      <c r="H3442" s="1" t="str">
        <f t="shared" si="1694"/>
        <v>无</v>
      </c>
      <c r="I3442" s="1" t="str">
        <f>"201909-202206 在西安交通工程学院 交通运输学院就读 是全日制
202209-202406 在郑州科技学院 电子与电气学院 是全日制 "</f>
        <v>201909-202206 在西安交通工程学院 交通运输学院就读 是全日制
202209-202406 在郑州科技学院 电子与电气学院 是全日制 </v>
      </c>
    </row>
    <row r="3443" spans="1:9">
      <c r="A3443" s="1" t="str">
        <f>"411327199810290340"</f>
        <v>411327199810290340</v>
      </c>
      <c r="B3443" s="1" t="str">
        <f t="shared" ref="B3443:B3447" si="1699">"群众"</f>
        <v>群众</v>
      </c>
      <c r="C3443" s="1" t="str">
        <f t="shared" si="1697"/>
        <v>本科</v>
      </c>
      <c r="D3443" s="1" t="str">
        <f>"2021.06.10"</f>
        <v>2021.06.10</v>
      </c>
      <c r="E3443" s="1" t="str">
        <f>"黄河科技学院"</f>
        <v>黄河科技学院</v>
      </c>
      <c r="F3443" s="1" t="str">
        <f>"法学"</f>
        <v>法学</v>
      </c>
      <c r="G3443" s="1" t="str">
        <f>"河南省内乡县白云小区"</f>
        <v>河南省内乡县白云小区</v>
      </c>
      <c r="H3443" s="1" t="str">
        <f>"午"</f>
        <v>午</v>
      </c>
      <c r="I3443" s="1" t="str">
        <f>"201609-201906  河南检察职业学院  检察事务 全日制
201909-202106  黄河科技学院   法学  全日制"</f>
        <v>201609-201906  河南检察职业学院  检察事务 全日制
201909-202106  黄河科技学院   法学  全日制</v>
      </c>
    </row>
    <row r="3444" spans="1:9">
      <c r="A3444" s="1" t="str">
        <f>"410481199404270021"</f>
        <v>410481199404270021</v>
      </c>
      <c r="B3444" s="1" t="str">
        <f t="shared" si="1698"/>
        <v>中共党员</v>
      </c>
      <c r="C3444" s="1" t="str">
        <f t="shared" si="1697"/>
        <v>本科</v>
      </c>
      <c r="D3444" s="1" t="str">
        <f>"20240701"</f>
        <v>20240701</v>
      </c>
      <c r="E3444" s="1" t="str">
        <f>"武汉科技大学"</f>
        <v>武汉科技大学</v>
      </c>
      <c r="F3444" s="1" t="str">
        <f>"会计学"</f>
        <v>会计学</v>
      </c>
      <c r="G3444" s="1" t="str">
        <f>"河南省平顶山市舞钢市垭口祥和花园"</f>
        <v>河南省平顶山市舞钢市垭口祥和花园</v>
      </c>
      <c r="H3444" s="1" t="str">
        <f t="shared" ref="H3444:H3450" si="1700">"无"</f>
        <v>无</v>
      </c>
      <c r="I3444" s="1" t="str">
        <f>"2013年9月--2016年7月  信阳农林学院就读，会计电算化，全日制大专
2016年7月--2017年3月  舞钢市真源制衣厂  工作
2017年4月--2018年10月  郑州兴之达财务有限公司  工作
2018年11月---2023年7月  舞钢市红山街道办事处  工作
2022年3月---2024年7   武汉科技大学，会计学，非全日制
2023年8月---至今  待业"</f>
        <v>2013年9月--2016年7月  信阳农林学院就读，会计电算化，全日制大专
2016年7月--2017年3月  舞钢市真源制衣厂  工作
2017年4月--2018年10月  郑州兴之达财务有限公司  工作
2018年11月---2023年7月  舞钢市红山街道办事处  工作
2022年3月---2024年7   武汉科技大学，会计学，非全日制
2023年8月---至今  待业</v>
      </c>
    </row>
    <row r="3445" spans="1:9">
      <c r="A3445" s="1" t="str">
        <f>"411327200209084963"</f>
        <v>411327200209084963</v>
      </c>
      <c r="B3445" s="1" t="str">
        <f t="shared" si="1699"/>
        <v>群众</v>
      </c>
      <c r="C3445" s="1" t="str">
        <f t="shared" si="1697"/>
        <v>本科</v>
      </c>
      <c r="D3445" s="1" t="str">
        <f>"20250701"</f>
        <v>20250701</v>
      </c>
      <c r="E3445" s="1" t="str">
        <f>"郑州师范学院"</f>
        <v>郑州师范学院</v>
      </c>
      <c r="F3445" s="1" t="str">
        <f>"科学教育"</f>
        <v>科学教育</v>
      </c>
      <c r="G3445" s="1" t="str">
        <f>"河南省南阳市内乡县灌涨镇前马村"</f>
        <v>河南省南阳市内乡县灌涨镇前马村</v>
      </c>
      <c r="H3445" s="1" t="str">
        <f t="shared" si="1700"/>
        <v>无</v>
      </c>
      <c r="I3445" s="1" t="str">
        <f>"202109-202507 郑州师范学院化学化工学院科学教育专业就读 全日制"</f>
        <v>202109-202507 郑州师范学院化学化工学院科学教育专业就读 全日制</v>
      </c>
    </row>
    <row r="3446" spans="1:9">
      <c r="A3446" s="1" t="str">
        <f>"41132719940714006X"</f>
        <v>41132719940714006X</v>
      </c>
      <c r="B3446" s="1" t="str">
        <f t="shared" si="1699"/>
        <v>群众</v>
      </c>
      <c r="C3446" s="1" t="str">
        <f t="shared" si="1697"/>
        <v>本科</v>
      </c>
      <c r="D3446" s="1" t="str">
        <f>"20180701"</f>
        <v>20180701</v>
      </c>
      <c r="E3446" s="1" t="str">
        <f>"黄河科技学院"</f>
        <v>黄河科技学院</v>
      </c>
      <c r="F3446" s="1" t="str">
        <f>"会计学"</f>
        <v>会计学</v>
      </c>
      <c r="G3446" s="1" t="str">
        <f>"内乡县丽都国际小区一期一号楼"</f>
        <v>内乡县丽都国际小区一期一号楼</v>
      </c>
      <c r="H3446" s="1" t="str">
        <f t="shared" si="1700"/>
        <v>无</v>
      </c>
      <c r="I3446" s="1" t="str">
        <f>"201309-201407 黄河科技学院民族学院预科班
201409-201807 黄科科技学院商学院 会计学
201807-201912 河南利安达税务师事务所 注册会计师助理
201912-201506 南阳村镇银行 客户经理"</f>
        <v>201309-201407 黄河科技学院民族学院预科班
201409-201807 黄科科技学院商学院 会计学
201807-201912 河南利安达税务师事务所 注册会计师助理
201912-201506 南阳村镇银行 客户经理</v>
      </c>
    </row>
    <row r="3447" spans="1:9">
      <c r="A3447" s="1" t="str">
        <f>"412926199509112091"</f>
        <v>412926199509112091</v>
      </c>
      <c r="B3447" s="1" t="str">
        <f t="shared" si="1699"/>
        <v>群众</v>
      </c>
      <c r="C3447" s="1" t="str">
        <f>"专科"</f>
        <v>专科</v>
      </c>
      <c r="D3447" s="1" t="str">
        <f>"201807"</f>
        <v>201807</v>
      </c>
      <c r="E3447" s="1" t="str">
        <f>"开封文化艺术职业技术学院"</f>
        <v>开封文化艺术职业技术学院</v>
      </c>
      <c r="F3447" s="1" t="str">
        <f>"机电一体化"</f>
        <v>机电一体化</v>
      </c>
      <c r="G3447" s="1" t="str">
        <f>"河南省南阳市内乡县师岗镇建设西路86号"</f>
        <v>河南省南阳市内乡县师岗镇建设西路86号</v>
      </c>
      <c r="H3447" s="1" t="str">
        <f t="shared" si="1700"/>
        <v>无</v>
      </c>
      <c r="I3447" s="1" t="str">
        <f>"201609-201807  开封文化艺术职业技术学院 机电一体化专业就读 "</f>
        <v>201609-201807  开封文化艺术职业技术学院 机电一体化专业就读 </v>
      </c>
    </row>
    <row r="3448" spans="1:9">
      <c r="A3448" s="1" t="str">
        <f>"411123199901305011"</f>
        <v>411123199901305011</v>
      </c>
      <c r="B3448" s="1" t="str">
        <f>"中共党员"</f>
        <v>中共党员</v>
      </c>
      <c r="C3448" s="1" t="str">
        <f t="shared" ref="C3448:C3452" si="1701">"硕士研究生"</f>
        <v>硕士研究生</v>
      </c>
      <c r="D3448" s="1" t="str">
        <f>"20250621"</f>
        <v>20250621</v>
      </c>
      <c r="E3448" s="1" t="str">
        <f>"沈阳工业大学"</f>
        <v>沈阳工业大学</v>
      </c>
      <c r="F3448" s="1" t="str">
        <f>"金融"</f>
        <v>金融</v>
      </c>
      <c r="G3448" s="1" t="str">
        <f>"河南省漯河市召陵区万金镇"</f>
        <v>河南省漯河市召陵区万金镇</v>
      </c>
      <c r="H3448" s="1" t="str">
        <f t="shared" si="1700"/>
        <v>无</v>
      </c>
      <c r="I3448" s="1" t="str">
        <f>"201809-202206 辽宁工业大学经济管理学院工商管理专业 全日制
202207-202307 河南省漯河市召陵区待业
202308-202506 沈阳工业大学经济学院金融专业 全日制"</f>
        <v>201809-202206 辽宁工业大学经济管理学院工商管理专业 全日制
202207-202307 河南省漯河市召陵区待业
202308-202506 沈阳工业大学经济学院金融专业 全日制</v>
      </c>
    </row>
    <row r="3449" spans="1:9">
      <c r="A3449" s="1" t="str">
        <f>"411327200204231127"</f>
        <v>411327200204231127</v>
      </c>
      <c r="B3449" s="1" t="str">
        <f t="shared" ref="B3449:B3454" si="1702">"共青团员"</f>
        <v>共青团员</v>
      </c>
      <c r="C3449" s="1" t="str">
        <f t="shared" ref="C3449:C3458" si="1703">"本科"</f>
        <v>本科</v>
      </c>
      <c r="D3449" s="1" t="str">
        <f>"20240701"</f>
        <v>20240701</v>
      </c>
      <c r="E3449" s="1" t="str">
        <f>"河南科技学院"</f>
        <v>河南科技学院</v>
      </c>
      <c r="F3449" s="1" t="str">
        <f t="shared" ref="F3449:F3454" si="1704">"汉语言文学"</f>
        <v>汉语言文学</v>
      </c>
      <c r="G3449" s="1" t="str">
        <f>"河南省南阳市内乡县城关镇渚阳大街南三巷"</f>
        <v>河南省南阳市内乡县城关镇渚阳大街南三巷</v>
      </c>
      <c r="H3449" s="1" t="str">
        <f t="shared" si="1700"/>
        <v>无</v>
      </c>
      <c r="I3449" s="1" t="str">
        <f>"202009-202407 河南科技学院文法学院汉语言文学专业就读，是全日制学历
202407-至今 在家待业"</f>
        <v>202009-202407 河南科技学院文法学院汉语言文学专业就读，是全日制学历
202407-至今 在家待业</v>
      </c>
    </row>
    <row r="3450" spans="1:9">
      <c r="A3450" s="1" t="str">
        <f>"411330199903011564"</f>
        <v>411330199903011564</v>
      </c>
      <c r="B3450" s="1" t="str">
        <f t="shared" si="1702"/>
        <v>共青团员</v>
      </c>
      <c r="C3450" s="1" t="str">
        <f t="shared" si="1703"/>
        <v>本科</v>
      </c>
      <c r="D3450" s="1" t="str">
        <f>"20240708"</f>
        <v>20240708</v>
      </c>
      <c r="E3450" s="1" t="str">
        <f>"西安工程大学"</f>
        <v>西安工程大学</v>
      </c>
      <c r="F3450" s="1" t="str">
        <f t="shared" si="1704"/>
        <v>汉语言文学</v>
      </c>
      <c r="G3450" s="1" t="str">
        <f>"河南省南阳市西峡县仲景路恒安都市家园"</f>
        <v>河南省南阳市西峡县仲景路恒安都市家园</v>
      </c>
      <c r="H3450" s="1" t="str">
        <f t="shared" si="1700"/>
        <v>无</v>
      </c>
      <c r="I3450" s="1" t="str">
        <f>"201809—-202106信阳职业技术学院语言与传媒学院小学教育专业就读 全日制
202203—202407西安工程大学继续教育学院汉语言文学专业 ，非全日制"</f>
        <v>201809—-202106信阳职业技术学院语言与传媒学院小学教育专业就读 全日制
202203—202407西安工程大学继续教育学院汉语言文学专业 ，非全日制</v>
      </c>
    </row>
    <row r="3451" spans="1:9">
      <c r="A3451" s="1" t="str">
        <f>"411325199908036022"</f>
        <v>411325199908036022</v>
      </c>
      <c r="B3451" s="1" t="str">
        <f>"中共党员"</f>
        <v>中共党员</v>
      </c>
      <c r="C3451" s="1" t="str">
        <f t="shared" si="1701"/>
        <v>硕士研究生</v>
      </c>
      <c r="D3451" s="1" t="str">
        <f>"20250615"</f>
        <v>20250615</v>
      </c>
      <c r="E3451" s="1" t="str">
        <f>"兰州财经大学"</f>
        <v>兰州财经大学</v>
      </c>
      <c r="F3451" s="1" t="str">
        <f>"金融"</f>
        <v>金融</v>
      </c>
      <c r="G3451" s="1" t="str">
        <f>"河南省南阳市唐河县文峰路石碑道星港鑫苑"</f>
        <v>河南省南阳市唐河县文峰路石碑道星港鑫苑</v>
      </c>
      <c r="H3451" s="1" t="str">
        <f>"银行从业资格证书、初级会计资格证书"</f>
        <v>银行从业资格证书、初级会计资格证书</v>
      </c>
      <c r="I3451" s="1" t="str">
        <f>"201709-202106 郑州师范学院经济与管理学院投资学 全日制
202107-2022.08 南阳市待业
2022.09-2025.06 兰州财经大学金融学院金融专业 全日制"</f>
        <v>201709-202106 郑州师范学院经济与管理学院投资学 全日制
202107-2022.08 南阳市待业
2022.09-2025.06 兰州财经大学金融学院金融专业 全日制</v>
      </c>
    </row>
    <row r="3452" spans="1:9">
      <c r="A3452" s="1" t="str">
        <f>"410526199910049064"</f>
        <v>410526199910049064</v>
      </c>
      <c r="B3452" s="1" t="str">
        <f t="shared" si="1702"/>
        <v>共青团员</v>
      </c>
      <c r="C3452" s="1" t="str">
        <f t="shared" si="1701"/>
        <v>硕士研究生</v>
      </c>
      <c r="D3452" s="1" t="str">
        <f>"20240607"</f>
        <v>20240607</v>
      </c>
      <c r="E3452" s="1" t="str">
        <f>"兰州财经大学"</f>
        <v>兰州财经大学</v>
      </c>
      <c r="F3452" s="1" t="str">
        <f>"应用统计"</f>
        <v>应用统计</v>
      </c>
      <c r="G3452" s="1" t="str">
        <f>"河南省安阳市滑县王庄镇刘草滩村"</f>
        <v>河南省安阳市滑县王庄镇刘草滩村</v>
      </c>
      <c r="H3452" s="1" t="str">
        <f t="shared" ref="H3452:H3454" si="1705">"无"</f>
        <v>无</v>
      </c>
      <c r="I3452" s="1" t="str">
        <f>"201709-202107 信阳师范学院数学与统计学院应用统计学专业就读，全日制学历；202109-202406 兰州财经大学统计与数据科学学院应用统计硕士专业就读，全日制学历。"</f>
        <v>201709-202107 信阳师范学院数学与统计学院应用统计学专业就读，全日制学历；202109-202406 兰州财经大学统计与数据科学学院应用统计硕士专业就读，全日制学历。</v>
      </c>
    </row>
    <row r="3453" spans="1:9">
      <c r="A3453" s="1" t="str">
        <f>"412826199810156020"</f>
        <v>412826199810156020</v>
      </c>
      <c r="B3453" s="1" t="str">
        <f t="shared" si="1702"/>
        <v>共青团员</v>
      </c>
      <c r="C3453" s="1" t="str">
        <f t="shared" si="1703"/>
        <v>本科</v>
      </c>
      <c r="D3453" s="1" t="str">
        <f>"20220701"</f>
        <v>20220701</v>
      </c>
      <c r="E3453" s="1" t="str">
        <f>"郑州工程技术学院"</f>
        <v>郑州工程技术学院</v>
      </c>
      <c r="F3453" s="1" t="str">
        <f>"酒店管理"</f>
        <v>酒店管理</v>
      </c>
      <c r="G3453" s="1" t="str">
        <f>"河南省驻马店市驿城区水屯镇"</f>
        <v>河南省驻马店市驿城区水屯镇</v>
      </c>
      <c r="H3453" s="1" t="str">
        <f t="shared" si="1705"/>
        <v>无</v>
      </c>
      <c r="I3453" s="1" t="str">
        <f>"201709-202007 济源职业技术学院  高速铁路客运乘务专业就读
202009-202207 郑州工程技术学院  酒店管理专业就读
202207-至今 驻马店市驿城区水屯镇人民政府工作 "</f>
        <v>201709-202007 济源职业技术学院  高速铁路客运乘务专业就读
202009-202207 郑州工程技术学院  酒店管理专业就读
202207-至今 驻马店市驿城区水屯镇人民政府工作 </v>
      </c>
    </row>
    <row r="3454" spans="1:9">
      <c r="A3454" s="1" t="str">
        <f>"412821200205234426"</f>
        <v>412821200205234426</v>
      </c>
      <c r="B3454" s="1" t="str">
        <f t="shared" si="1702"/>
        <v>共青团员</v>
      </c>
      <c r="C3454" s="1" t="str">
        <f t="shared" si="1703"/>
        <v>本科</v>
      </c>
      <c r="D3454" s="1" t="str">
        <f>"20230701"</f>
        <v>20230701</v>
      </c>
      <c r="E3454" s="1" t="str">
        <f>"信阳学院"</f>
        <v>信阳学院</v>
      </c>
      <c r="F3454" s="1" t="str">
        <f t="shared" si="1704"/>
        <v>汉语言文学</v>
      </c>
      <c r="G3454" s="1" t="str">
        <f>"河南省驻马店市确山县任店镇"</f>
        <v>河南省驻马店市确山县任店镇</v>
      </c>
      <c r="H3454" s="1" t="str">
        <f t="shared" si="1705"/>
        <v>无</v>
      </c>
      <c r="I3454" s="1" t="str">
        <f>"201909-202307   信阳学院 就读   文学院   汉语言文学   全日制本科
202307-至今   待业"</f>
        <v>201909-202307   信阳学院 就读   文学院   汉语言文学   全日制本科
202307-至今   待业</v>
      </c>
    </row>
    <row r="3455" spans="1:9">
      <c r="A3455" s="1" t="str">
        <f>"411327199901034545"</f>
        <v>411327199901034545</v>
      </c>
      <c r="B3455" s="1" t="str">
        <f t="shared" ref="B3455:B3459" si="1706">"群众"</f>
        <v>群众</v>
      </c>
      <c r="C3455" s="1" t="str">
        <f t="shared" si="1703"/>
        <v>本科</v>
      </c>
      <c r="D3455" s="1" t="str">
        <f>"20210730"</f>
        <v>20210730</v>
      </c>
      <c r="E3455" s="1" t="str">
        <f t="shared" ref="E3455:E3457" si="1707">"新乡学院"</f>
        <v>新乡学院</v>
      </c>
      <c r="F3455" s="1" t="str">
        <f>"人力资源管理"</f>
        <v>人力资源管理</v>
      </c>
      <c r="G3455" s="1" t="str">
        <f>"湍东镇菊潭毓秀园"</f>
        <v>湍东镇菊潭毓秀园</v>
      </c>
      <c r="H3455" s="1" t="str">
        <f>"人力资源管理师四级"</f>
        <v>人力资源管理师四级</v>
      </c>
      <c r="I3455" s="1" t="str">
        <f>"201709-202106 新乡学院管理学院人力资源管理专业就读，全日制学历
202107-至今  待业"</f>
        <v>201709-202106 新乡学院管理学院人力资源管理专业就读，全日制学历
202107-至今  待业</v>
      </c>
    </row>
    <row r="3456" spans="1:9">
      <c r="A3456" s="1" t="str">
        <f>"41132719990423063X"</f>
        <v>41132719990423063X</v>
      </c>
      <c r="B3456" s="1" t="str">
        <f t="shared" ref="B3456:B3461" si="1708">"共青团员"</f>
        <v>共青团员</v>
      </c>
      <c r="C3456" s="1" t="str">
        <f t="shared" si="1703"/>
        <v>本科</v>
      </c>
      <c r="D3456" s="1" t="str">
        <f>"20220610"</f>
        <v>20220610</v>
      </c>
      <c r="E3456" s="1" t="str">
        <f t="shared" si="1707"/>
        <v>新乡学院</v>
      </c>
      <c r="F3456" s="1" t="str">
        <f>"计算机科学与技术"</f>
        <v>计算机科学与技术</v>
      </c>
      <c r="G3456" s="1" t="str">
        <f>"内乡县马山口镇高杆灯南200米北锐翔网吧"</f>
        <v>内乡县马山口镇高杆灯南200米北锐翔网吧</v>
      </c>
      <c r="H3456" s="1" t="str">
        <f t="shared" ref="H3456:H3467" si="1709">"无"</f>
        <v>无</v>
      </c>
      <c r="I3456" s="1" t="str">
        <f>"201709-202006 河南信息统计职业学院 大数据应用系 大数据技术与应用专业  就读 全日制学历
202010-202206 新乡学院 计算机与信息工程学院 计算机科学与技术专业 就读 全日制学历
202207-202302 牧原实业集团有限公司 就业
202303-至今 内乡县马山口镇 待业"</f>
        <v>201709-202006 河南信息统计职业学院 大数据应用系 大数据技术与应用专业  就读 全日制学历
202010-202206 新乡学院 计算机与信息工程学院 计算机科学与技术专业 就读 全日制学历
202207-202302 牧原实业集团有限公司 就业
202303-至今 内乡县马山口镇 待业</v>
      </c>
    </row>
    <row r="3457" spans="1:9">
      <c r="A3457" s="1" t="str">
        <f>"411221199910201524"</f>
        <v>411221199910201524</v>
      </c>
      <c r="B3457" s="1" t="str">
        <f t="shared" si="1708"/>
        <v>共青团员</v>
      </c>
      <c r="C3457" s="1" t="str">
        <f t="shared" si="1703"/>
        <v>本科</v>
      </c>
      <c r="D3457" s="1" t="str">
        <f>"20220610"</f>
        <v>20220610</v>
      </c>
      <c r="E3457" s="1" t="str">
        <f t="shared" si="1707"/>
        <v>新乡学院</v>
      </c>
      <c r="F3457" s="1" t="str">
        <f>"汉语言文学专业"</f>
        <v>汉语言文学专业</v>
      </c>
      <c r="G3457" s="1" t="str">
        <f>"河南省三门峡市渑池县仰韶镇锦绣花苑三期"</f>
        <v>河南省三门峡市渑池县仰韶镇锦绣花苑三期</v>
      </c>
      <c r="H3457" s="1" t="str">
        <f>" 高中语文教师资格证"</f>
        <v> 高中语文教师资格证</v>
      </c>
      <c r="I3457" s="1" t="str">
        <f>" 201809-202206 新乡学院汉语言文学专业 就读 全日制。"</f>
        <v> 201809-202206 新乡学院汉语言文学专业 就读 全日制。</v>
      </c>
    </row>
    <row r="3458" spans="1:9">
      <c r="A3458" s="1" t="str">
        <f>"411326200210071522"</f>
        <v>411326200210071522</v>
      </c>
      <c r="B3458" s="1" t="str">
        <f t="shared" si="1706"/>
        <v>群众</v>
      </c>
      <c r="C3458" s="1" t="str">
        <f t="shared" si="1703"/>
        <v>本科</v>
      </c>
      <c r="D3458" s="1" t="str">
        <f>"20250607"</f>
        <v>20250607</v>
      </c>
      <c r="E3458" s="1" t="str">
        <f>"郑州科技学院"</f>
        <v>郑州科技学院</v>
      </c>
      <c r="F3458" s="1" t="str">
        <f>"动画专业"</f>
        <v>动画专业</v>
      </c>
      <c r="G3458" s="1" t="str">
        <f>"河南省南阳市宛城区如意广场小区"</f>
        <v>河南省南阳市宛城区如意广场小区</v>
      </c>
      <c r="H3458" s="1" t="str">
        <f t="shared" si="1709"/>
        <v>无</v>
      </c>
      <c r="I3458" s="1" t="str">
        <f>"202009-202306于郑州幼儿师范高等专科学校就读艺术设计专业是全日制学历；202309-202506于郑州科技学院就读动画专业是全日制学历。"</f>
        <v>202009-202306于郑州幼儿师范高等专科学校就读艺术设计专业是全日制学历；202309-202506于郑州科技学院就读动画专业是全日制学历。</v>
      </c>
    </row>
    <row r="3459" spans="1:9">
      <c r="A3459" s="1" t="str">
        <f>"411381199612137415"</f>
        <v>411381199612137415</v>
      </c>
      <c r="B3459" s="1" t="str">
        <f t="shared" si="1706"/>
        <v>群众</v>
      </c>
      <c r="C3459" s="1" t="str">
        <f>"专科"</f>
        <v>专科</v>
      </c>
      <c r="D3459" s="1" t="str">
        <f>"20180623"</f>
        <v>20180623</v>
      </c>
      <c r="E3459" s="1" t="str">
        <f>"河南机电职业学院"</f>
        <v>河南机电职业学院</v>
      </c>
      <c r="F3459" s="1" t="str">
        <f>"机电一体化"</f>
        <v>机电一体化</v>
      </c>
      <c r="G3459" s="1" t="str">
        <f>"河南省南阳市邓州市小杨营乡"</f>
        <v>河南省南阳市邓州市小杨营乡</v>
      </c>
      <c r="H3459" s="1" t="str">
        <f t="shared" si="1709"/>
        <v>无</v>
      </c>
      <c r="I3459" s="1" t="str">
        <f>"201509-201806
在河南机电职业学院机电学院机电一体化专业就读全日制"</f>
        <v>201509-201806
在河南机电职业学院机电学院机电一体化专业就读全日制</v>
      </c>
    </row>
    <row r="3460" spans="1:9">
      <c r="A3460" s="1" t="str">
        <f>"411327200202261541"</f>
        <v>411327200202261541</v>
      </c>
      <c r="B3460" s="1" t="str">
        <f t="shared" si="1708"/>
        <v>共青团员</v>
      </c>
      <c r="C3460" s="1" t="str">
        <f t="shared" ref="C3460:C3465" si="1710">"本科"</f>
        <v>本科</v>
      </c>
      <c r="D3460" s="1" t="str">
        <f>"20240701"</f>
        <v>20240701</v>
      </c>
      <c r="E3460" s="1" t="str">
        <f>"许昌学院"</f>
        <v>许昌学院</v>
      </c>
      <c r="F3460" s="1" t="str">
        <f>"电子商务"</f>
        <v>电子商务</v>
      </c>
      <c r="G3460" s="1" t="str">
        <f>"河南省南阳市内乡县湍东镇"</f>
        <v>河南省南阳市内乡县湍东镇</v>
      </c>
      <c r="H3460" s="1" t="str">
        <f t="shared" si="1709"/>
        <v>无</v>
      </c>
      <c r="I3460" s="1" t="str">
        <f>"202009-202407  许昌学院商学院电子商务专业就读，全日制学历
202407-202502  内乡县待业
202502-202507  内乡综合体就业"</f>
        <v>202009-202407  许昌学院商学院电子商务专业就读，全日制学历
202407-202502  内乡县待业
202502-202507  内乡综合体就业</v>
      </c>
    </row>
    <row r="3461" spans="1:9">
      <c r="A3461" s="1" t="str">
        <f>"411327200101234974"</f>
        <v>411327200101234974</v>
      </c>
      <c r="B3461" s="1" t="str">
        <f t="shared" si="1708"/>
        <v>共青团员</v>
      </c>
      <c r="C3461" s="1" t="str">
        <f t="shared" si="1710"/>
        <v>本科</v>
      </c>
      <c r="D3461" s="1" t="str">
        <f>"20230630"</f>
        <v>20230630</v>
      </c>
      <c r="E3461" s="1" t="str">
        <f>"南京信息工程大学"</f>
        <v>南京信息工程大学</v>
      </c>
      <c r="F3461" s="1" t="str">
        <f>"汉语国际教育"</f>
        <v>汉语国际教育</v>
      </c>
      <c r="G3461" s="1" t="str">
        <f>"河南省内乡县灌涨镇杨洼村侯东74号"</f>
        <v>河南省内乡县灌涨镇杨洼村侯东74号</v>
      </c>
      <c r="H3461" s="1" t="str">
        <f t="shared" si="1709"/>
        <v>无</v>
      </c>
      <c r="I3461" s="1" t="str">
        <f>"201909-202303 南京信息工程大学 汉语国际教育就读 全日制学历
202303-202503 31672部队 服役
202503-202507 河南省南阳市内乡县待业"</f>
        <v>201909-202303 南京信息工程大学 汉语国际教育就读 全日制学历
202303-202503 31672部队 服役
202503-202507 河南省南阳市内乡县待业</v>
      </c>
    </row>
    <row r="3462" spans="1:9">
      <c r="A3462" s="1" t="str">
        <f>"411327199904122532"</f>
        <v>411327199904122532</v>
      </c>
      <c r="B3462" s="1" t="str">
        <f t="shared" ref="B3462:B3469" si="1711">"群众"</f>
        <v>群众</v>
      </c>
      <c r="C3462" s="1" t="str">
        <f t="shared" si="1710"/>
        <v>本科</v>
      </c>
      <c r="D3462" s="1" t="str">
        <f>"2023-07-01"</f>
        <v>2023-07-01</v>
      </c>
      <c r="E3462" s="1" t="str">
        <f>"河南科技学院"</f>
        <v>河南科技学院</v>
      </c>
      <c r="F3462" s="1" t="str">
        <f>"农业资源与环境"</f>
        <v>农业资源与环境</v>
      </c>
      <c r="G3462" s="1" t="str">
        <f>"河南省南阳市内乡县城关镇南关幸福小区"</f>
        <v>河南省南阳市内乡县城关镇南关幸福小区</v>
      </c>
      <c r="H3462" s="1" t="str">
        <f t="shared" si="1709"/>
        <v>无</v>
      </c>
      <c r="I3462" s="1" t="str">
        <f>"2019年09月至2023年06月在 河南科技学院 资源与环境学院 农业资源与环境专业 就读，全日制学历。2023年06月至2024年02月在内乡县待业。2024年03月至2025年07月在河南派斯帝赛德农业科技有限公司任职农药登记残留试验田间试验员。"</f>
        <v>2019年09月至2023年06月在 河南科技学院 资源与环境学院 农业资源与环境专业 就读，全日制学历。2023年06月至2024年02月在内乡县待业。2024年03月至2025年07月在河南派斯帝赛德农业科技有限公司任职农药登记残留试验田间试验员。</v>
      </c>
    </row>
    <row r="3463" spans="1:9">
      <c r="A3463" s="1" t="str">
        <f>"411326199911213313"</f>
        <v>411326199911213313</v>
      </c>
      <c r="B3463" s="1" t="str">
        <f>"中共党员"</f>
        <v>中共党员</v>
      </c>
      <c r="C3463" s="1" t="str">
        <f t="shared" si="1710"/>
        <v>本科</v>
      </c>
      <c r="D3463" s="1" t="str">
        <f>"20220701"</f>
        <v>20220701</v>
      </c>
      <c r="E3463" s="1" t="str">
        <f>"商丘学院"</f>
        <v>商丘学院</v>
      </c>
      <c r="F3463" s="1" t="str">
        <f>"环境设计"</f>
        <v>环境设计</v>
      </c>
      <c r="G3463" s="1" t="str">
        <f>"河南省南阳市南召县石门乡山根村岗顶组50号"</f>
        <v>河南省南阳市南召县石门乡山根村岗顶组50号</v>
      </c>
      <c r="H3463" s="1" t="str">
        <f t="shared" si="1709"/>
        <v>无</v>
      </c>
      <c r="I3463" s="1" t="str">
        <f>"201809-202207 商丘学院艺术与传媒系环境设计专业就读 全日制
202208-202212 郑州森林装饰工程有限公司就业 
202301-至今 镇平县城乡建设开发有限公司就业"</f>
        <v>201809-202207 商丘学院艺术与传媒系环境设计专业就读 全日制
202208-202212 郑州森林装饰工程有限公司就业 
202301-至今 镇平县城乡建设开发有限公司就业</v>
      </c>
    </row>
    <row r="3464" spans="1:9">
      <c r="A3464" s="1" t="str">
        <f>"411303200105166744"</f>
        <v>411303200105166744</v>
      </c>
      <c r="B3464" s="1" t="str">
        <f>"中共党员"</f>
        <v>中共党员</v>
      </c>
      <c r="C3464" s="1" t="str">
        <f t="shared" si="1710"/>
        <v>本科</v>
      </c>
      <c r="D3464" s="1" t="str">
        <f>"20230620"</f>
        <v>20230620</v>
      </c>
      <c r="E3464" s="1" t="str">
        <f>"龙岩学院"</f>
        <v>龙岩学院</v>
      </c>
      <c r="F3464" s="1" t="str">
        <f>"投资学"</f>
        <v>投资学</v>
      </c>
      <c r="G3464" s="1" t="str">
        <f>"河南省南阳市卧龙区车站南路港达小区989号"</f>
        <v>河南省南阳市卧龙区车站南路港达小区989号</v>
      </c>
      <c r="H3464" s="1" t="str">
        <f t="shared" si="1709"/>
        <v>无</v>
      </c>
      <c r="I3464" s="1" t="str">
        <f>"201909-202306 龙岩学院经济与管理学院投资学专业就读 全日制本科
202306-至今 待业"</f>
        <v>201909-202306 龙岩学院经济与管理学院投资学专业就读 全日制本科
202306-至今 待业</v>
      </c>
    </row>
    <row r="3465" spans="1:9">
      <c r="A3465" s="1" t="str">
        <f>"411328200112100038"</f>
        <v>411328200112100038</v>
      </c>
      <c r="B3465" s="1" t="str">
        <f>"共青团员"</f>
        <v>共青团员</v>
      </c>
      <c r="C3465" s="1" t="str">
        <f t="shared" si="1710"/>
        <v>本科</v>
      </c>
      <c r="D3465" s="1" t="str">
        <f>"20230703"</f>
        <v>20230703</v>
      </c>
      <c r="E3465" s="1" t="str">
        <f>"西安医学院"</f>
        <v>西安医学院</v>
      </c>
      <c r="F3465" s="1" t="str">
        <f>"公共事业管理"</f>
        <v>公共事业管理</v>
      </c>
      <c r="G3465" s="1" t="str">
        <f>"河南省南阳市新野县城郊乡胡营村"</f>
        <v>河南省南阳市新野县城郊乡胡营村</v>
      </c>
      <c r="H3465" s="1" t="str">
        <f t="shared" si="1709"/>
        <v>无</v>
      </c>
      <c r="I3465" s="1" t="str">
        <f>"201909-202307 西安医学院 卫生管理学院 公共事业管理专业就读；全日制学历
202307至今 在河南省南阳市新野县胡营村待业"</f>
        <v>201909-202307 西安医学院 卫生管理学院 公共事业管理专业就读；全日制学历
202307至今 在河南省南阳市新野县胡营村待业</v>
      </c>
    </row>
    <row r="3466" spans="1:9">
      <c r="A3466" s="1" t="str">
        <f>"411327200012291571"</f>
        <v>411327200012291571</v>
      </c>
      <c r="B3466" s="1" t="str">
        <f t="shared" si="1711"/>
        <v>群众</v>
      </c>
      <c r="C3466" s="1" t="str">
        <f>"专科"</f>
        <v>专科</v>
      </c>
      <c r="D3466" s="1" t="str">
        <f>"2022-07-01"</f>
        <v>2022-07-01</v>
      </c>
      <c r="E3466" s="1" t="str">
        <f>"三门峡职业技术学院"</f>
        <v>三门峡职业技术学院</v>
      </c>
      <c r="F3466" s="1" t="str">
        <f>"电气自动化技术"</f>
        <v>电气自动化技术</v>
      </c>
      <c r="G3466" s="1" t="str">
        <f>"河南省南阳市内乡县湍东镇"</f>
        <v>河南省南阳市内乡县湍东镇</v>
      </c>
      <c r="H3466" s="1" t="str">
        <f t="shared" si="1709"/>
        <v>无</v>
      </c>
      <c r="I3466" s="1" t="str">
        <f>"2019年09月01日至2022年07月01日在三门峡职业技术学院电气自动化专业就读，是全日制学历"</f>
        <v>2019年09月01日至2022年07月01日在三门峡职业技术学院电气自动化专业就读，是全日制学历</v>
      </c>
    </row>
    <row r="3467" spans="1:9">
      <c r="A3467" s="1" t="str">
        <f>"412725199709015037"</f>
        <v>412725199709015037</v>
      </c>
      <c r="B3467" s="1" t="str">
        <f t="shared" si="1711"/>
        <v>群众</v>
      </c>
      <c r="C3467" s="1" t="str">
        <f t="shared" ref="C3467:C3474" si="1712">"本科"</f>
        <v>本科</v>
      </c>
      <c r="D3467" s="1" t="str">
        <f>"20240610"</f>
        <v>20240610</v>
      </c>
      <c r="E3467" s="1" t="str">
        <f>"河南大学"</f>
        <v>河南大学</v>
      </c>
      <c r="F3467" s="1" t="str">
        <f>"计算机科学与技术"</f>
        <v>计算机科学与技术</v>
      </c>
      <c r="G3467" s="1" t="str">
        <f>"河南省周口市鹿邑县辛集镇"</f>
        <v>河南省周口市鹿邑县辛集镇</v>
      </c>
      <c r="H3467" s="1" t="str">
        <f t="shared" si="1709"/>
        <v>无</v>
      </c>
      <c r="I3467" s="1" t="str">
        <f>"202203-202406 河南大学  计算机与信息工程学院 非全日制学历
202209-至今  深圳典盛实业发展有限公司
"</f>
        <v>202203-202406 河南大学  计算机与信息工程学院 非全日制学历
202209-至今  深圳典盛实业发展有限公司
</v>
      </c>
    </row>
    <row r="3468" spans="1:9">
      <c r="A3468" s="1" t="str">
        <f>"411327199710050315"</f>
        <v>411327199710050315</v>
      </c>
      <c r="B3468" s="1" t="str">
        <f t="shared" si="1711"/>
        <v>群众</v>
      </c>
      <c r="C3468" s="1" t="str">
        <f t="shared" si="1712"/>
        <v>本科</v>
      </c>
      <c r="D3468" s="1" t="str">
        <f>"20200701"</f>
        <v>20200701</v>
      </c>
      <c r="E3468" s="1" t="str">
        <f>"商丘学院"</f>
        <v>商丘学院</v>
      </c>
      <c r="F3468" s="1" t="str">
        <f>"会计学"</f>
        <v>会计学</v>
      </c>
      <c r="G3468" s="1" t="str">
        <f>"河南省南阳市内乡县大桥乡南王村"</f>
        <v>河南省南阳市内乡县大桥乡南王村</v>
      </c>
      <c r="H3468" s="1" t="str">
        <f>"中级会计证书"</f>
        <v>中级会计证书</v>
      </c>
      <c r="I3468" s="1" t="str">
        <f>"20160901-20200701 商丘学院，财经系，会计学专业就读，是全日制学历。"</f>
        <v>20160901-20200701 商丘学院，财经系，会计学专业就读，是全日制学历。</v>
      </c>
    </row>
    <row r="3469" spans="1:9">
      <c r="A3469" s="1" t="str">
        <f>"412824199807212244"</f>
        <v>412824199807212244</v>
      </c>
      <c r="B3469" s="1" t="str">
        <f t="shared" si="1711"/>
        <v>群众</v>
      </c>
      <c r="C3469" s="1" t="str">
        <f>"专科"</f>
        <v>专科</v>
      </c>
      <c r="D3469" s="1" t="str">
        <f>"20220701"</f>
        <v>20220701</v>
      </c>
      <c r="E3469" s="1" t="str">
        <f>"南阳理工学院"</f>
        <v>南阳理工学院</v>
      </c>
      <c r="F3469" s="1" t="str">
        <f>"小学教育"</f>
        <v>小学教育</v>
      </c>
      <c r="G3469" s="1" t="str">
        <f>"河南省南阳市宛城区都市春天"</f>
        <v>河南省南阳市宛城区都市春天</v>
      </c>
      <c r="H3469" s="1" t="str">
        <f t="shared" ref="H3469:H3474" si="1713">"无"</f>
        <v>无</v>
      </c>
      <c r="I3469" s="1" t="str">
        <f>"2020.03-2022.07 南阳理工学院 小学教育就读，非全日制
2022.08-至今待业"</f>
        <v>2020.03-2022.07 南阳理工学院 小学教育就读，非全日制
2022.08-至今待业</v>
      </c>
    </row>
    <row r="3470" spans="1:9">
      <c r="A3470" s="1" t="str">
        <f>"411330200201244035"</f>
        <v>411330200201244035</v>
      </c>
      <c r="B3470" s="1" t="str">
        <f t="shared" ref="B3470:B3473" si="1714">"共青团员"</f>
        <v>共青团员</v>
      </c>
      <c r="C3470" s="1" t="str">
        <f t="shared" si="1712"/>
        <v>本科</v>
      </c>
      <c r="D3470" s="1" t="str">
        <f>"20250701"</f>
        <v>20250701</v>
      </c>
      <c r="E3470" s="1" t="str">
        <f>"河南科技学院"</f>
        <v>河南科技学院</v>
      </c>
      <c r="F3470" s="1" t="str">
        <f>"数据科学与大数据技术"</f>
        <v>数据科学与大数据技术</v>
      </c>
      <c r="G3470" s="1" t="str">
        <f>"河南省西峡县"</f>
        <v>河南省西峡县</v>
      </c>
      <c r="H3470" s="1" t="str">
        <f t="shared" si="1713"/>
        <v>无</v>
      </c>
      <c r="I3470" s="1" t="str">
        <f>"202109-202507 河南科技学院 计算机科学与技术学院 数据科学与大数据技术专业就读 全日制本科"</f>
        <v>202109-202507 河南科技学院 计算机科学与技术学院 数据科学与大数据技术专业就读 全日制本科</v>
      </c>
    </row>
    <row r="3471" ht="121.5" spans="1:9">
      <c r="A3471" s="1" t="str">
        <f>"411327199807151112"</f>
        <v>411327199807151112</v>
      </c>
      <c r="B3471" s="1" t="str">
        <f t="shared" si="1714"/>
        <v>共青团员</v>
      </c>
      <c r="C3471" s="1" t="str">
        <f t="shared" si="1712"/>
        <v>本科</v>
      </c>
      <c r="D3471" s="1" t="str">
        <f>"20230701"</f>
        <v>20230701</v>
      </c>
      <c r="E3471" s="1" t="str">
        <f>"郑州工业应用技术学院"</f>
        <v>郑州工业应用技术学院</v>
      </c>
      <c r="F3471" s="1" t="str">
        <f>"土木工程"</f>
        <v>土木工程</v>
      </c>
      <c r="G3471" s="1" t="str">
        <f>"河南省南阳市内乡县赤眉镇"</f>
        <v>河南省南阳市内乡县赤眉镇</v>
      </c>
      <c r="H3471" s="1" t="str">
        <f>"室内装饰设计师（三级/高级工）、制图员、CAD工程师"</f>
        <v>室内装饰设计师（三级/高级工）、制图员、CAD工程师</v>
      </c>
      <c r="I3471" s="3" t="s">
        <v>264</v>
      </c>
    </row>
    <row r="3472" spans="1:9">
      <c r="A3472" s="1" t="str">
        <f>"411330199806104021"</f>
        <v>411330199806104021</v>
      </c>
      <c r="B3472" s="1" t="str">
        <f t="shared" ref="B3472:B3475" si="1715">"群众"</f>
        <v>群众</v>
      </c>
      <c r="C3472" s="1" t="str">
        <f t="shared" si="1712"/>
        <v>本科</v>
      </c>
      <c r="D3472" s="1" t="str">
        <f>"20200701"</f>
        <v>20200701</v>
      </c>
      <c r="E3472" s="1" t="str">
        <f>"黄淮学院"</f>
        <v>黄淮学院</v>
      </c>
      <c r="F3472" s="1" t="str">
        <f>"旅游管理"</f>
        <v>旅游管理</v>
      </c>
      <c r="G3472" s="1" t="str">
        <f>"河南省南阳市西峡县五里桥镇"</f>
        <v>河南省南阳市西峡县五里桥镇</v>
      </c>
      <c r="H3472" s="1" t="str">
        <f>"全国导游资格证书"</f>
        <v>全国导游资格证书</v>
      </c>
      <c r="I3472" s="1" t="str">
        <f>"2016年09月-2020年07月 黄淮学院 经济与管理学院 旅游管理专业就读 全日制学历 
2020年10月-2023年03月，杭州慕锐科技有限公司任职招聘专员
2023年04月-至今，西峡待业"</f>
        <v>2016年09月-2020年07月 黄淮学院 经济与管理学院 旅游管理专业就读 全日制学历 
2020年10月-2023年03月，杭州慕锐科技有限公司任职招聘专员
2023年04月-至今，西峡待业</v>
      </c>
    </row>
    <row r="3473" spans="1:9">
      <c r="A3473" s="1" t="str">
        <f>"411326200202020039"</f>
        <v>411326200202020039</v>
      </c>
      <c r="B3473" s="1" t="str">
        <f t="shared" si="1714"/>
        <v>共青团员</v>
      </c>
      <c r="C3473" s="1" t="str">
        <f t="shared" si="1712"/>
        <v>本科</v>
      </c>
      <c r="D3473" s="1" t="str">
        <f>"20240625"</f>
        <v>20240625</v>
      </c>
      <c r="E3473" s="1" t="str">
        <f>"郑州西亚斯学院"</f>
        <v>郑州西亚斯学院</v>
      </c>
      <c r="F3473" s="1" t="str">
        <f>"汉语言文学"</f>
        <v>汉语言文学</v>
      </c>
      <c r="G3473" s="1" t="str">
        <f>"河南省南阳市南召县联通公司家属院"</f>
        <v>河南省南阳市南召县联通公司家属院</v>
      </c>
      <c r="H3473" s="1" t="str">
        <f t="shared" si="1713"/>
        <v>无</v>
      </c>
      <c r="I3473" s="1" t="str">
        <f>"202009-202406 郑州西亚斯学院文法学院汉语言文学专业就读 全日制"</f>
        <v>202009-202406 郑州西亚斯学院文法学院汉语言文学专业就读 全日制</v>
      </c>
    </row>
    <row r="3474" spans="1:9">
      <c r="A3474" s="1" t="str">
        <f>"411302199507121811"</f>
        <v>411302199507121811</v>
      </c>
      <c r="B3474" s="1" t="str">
        <f t="shared" si="1715"/>
        <v>群众</v>
      </c>
      <c r="C3474" s="1" t="str">
        <f t="shared" si="1712"/>
        <v>本科</v>
      </c>
      <c r="D3474" s="1" t="str">
        <f>"20210720"</f>
        <v>20210720</v>
      </c>
      <c r="E3474" s="1" t="str">
        <f>"国家开放大学"</f>
        <v>国家开放大学</v>
      </c>
      <c r="F3474" s="1" t="str">
        <f>"计算机科学与技术"</f>
        <v>计算机科学与技术</v>
      </c>
      <c r="G3474" s="1" t="str">
        <f>"河南省南阳市宛城区白河镇白河村二组"</f>
        <v>河南省南阳市宛城区白河镇白河村二组</v>
      </c>
      <c r="H3474" s="1" t="str">
        <f t="shared" si="1713"/>
        <v>无</v>
      </c>
      <c r="I3474" s="1" t="str">
        <f>"201501-202203就职于上海机场集团有限公司
201509-201801郑州大学工商企业管理管理专业就读否全日制学历
201809-202107国家开放大学计算机科学与技术专业就读否全日制学历
202203-202303河南省南阳市宛城区待业
202303至今就职于南阳市公安局警务辅助人员"</f>
        <v>201501-202203就职于上海机场集团有限公司
201509-201801郑州大学工商企业管理管理专业就读否全日制学历
201809-202107国家开放大学计算机科学与技术专业就读否全日制学历
202203-202303河南省南阳市宛城区待业
202303至今就职于南阳市公安局警务辅助人员</v>
      </c>
    </row>
    <row r="3475" spans="1:9">
      <c r="A3475" s="1" t="str">
        <f>"412726200306106219"</f>
        <v>412726200306106219</v>
      </c>
      <c r="B3475" s="1" t="str">
        <f t="shared" si="1715"/>
        <v>群众</v>
      </c>
      <c r="C3475" s="1" t="str">
        <f>"专科"</f>
        <v>专科</v>
      </c>
      <c r="D3475" s="1" t="str">
        <f>"20250701"</f>
        <v>20250701</v>
      </c>
      <c r="E3475" s="1" t="str">
        <f>"郑州旅游职业学院"</f>
        <v>郑州旅游职业学院</v>
      </c>
      <c r="F3475" s="1" t="str">
        <f>"旅游管理"</f>
        <v>旅游管理</v>
      </c>
      <c r="G3475" s="1" t="str">
        <f>"河南省周口市郸城县钱店镇"</f>
        <v>河南省周口市郸城县钱店镇</v>
      </c>
      <c r="H3475" s="1" t="str">
        <f>"导游资格证书   导游证"</f>
        <v>导游资格证书   导游证</v>
      </c>
      <c r="I3475" s="1" t="str">
        <f>"202209-202507郑州旅游职业学院 旅游管理学院旅游管理专业就读 属于全日制学历"</f>
        <v>202209-202507郑州旅游职业学院 旅游管理学院旅游管理专业就读 属于全日制学历</v>
      </c>
    </row>
    <row r="3476" spans="1:9">
      <c r="A3476" s="1" t="str">
        <f>"411224199412232810"</f>
        <v>411224199412232810</v>
      </c>
      <c r="B3476" s="1" t="str">
        <f t="shared" ref="B3476:B3480" si="1716">"共青团员"</f>
        <v>共青团员</v>
      </c>
      <c r="C3476" s="1" t="str">
        <f t="shared" ref="C3476:C3478" si="1717">"本科"</f>
        <v>本科</v>
      </c>
      <c r="D3476" s="1" t="str">
        <f>"2018.07"</f>
        <v>2018.07</v>
      </c>
      <c r="E3476" s="1" t="str">
        <f>"郑州师范学院"</f>
        <v>郑州师范学院</v>
      </c>
      <c r="F3476" s="1" t="str">
        <f>"汉语国际教育"</f>
        <v>汉语国际教育</v>
      </c>
      <c r="G3476" s="1" t="str">
        <f>"三门峡市卢氏县五里川镇南峪沟村二组"</f>
        <v>三门峡市卢氏县五里川镇南峪沟村二组</v>
      </c>
      <c r="H3476" s="1" t="str">
        <f>"高中语文教师资格证"</f>
        <v>高中语文教师资格证</v>
      </c>
      <c r="I3476" s="1" t="str">
        <f>"2014.09-2018.07,在郑州师范学院，文学院，中文系，汉语国际教育专业学习，全日制本科
2018.09-2020.07,在卢氏县五里川中学代课，教六年级数学
2020.09-2022.07,在卢氏县朱阳关中学代课，教六年级数学，语文
2022.09-2023.07,在卢氏县五里川中学代课，教七年级数学
2023.09-至今，   复习备考，待业在家
"</f>
        <v>2014.09-2018.07,在郑州师范学院，文学院，中文系，汉语国际教育专业学习，全日制本科
2018.09-2020.07,在卢氏县五里川中学代课，教六年级数学
2020.09-2022.07,在卢氏县朱阳关中学代课，教六年级数学，语文
2022.09-2023.07,在卢氏县五里川中学代课，教七年级数学
2023.09-至今，   复习备考，待业在家
</v>
      </c>
    </row>
    <row r="3477" spans="1:9">
      <c r="A3477" s="1" t="str">
        <f>"411327200007080040"</f>
        <v>411327200007080040</v>
      </c>
      <c r="B3477" s="1" t="str">
        <f>"群众"</f>
        <v>群众</v>
      </c>
      <c r="C3477" s="1" t="str">
        <f t="shared" si="1717"/>
        <v>本科</v>
      </c>
      <c r="D3477" s="1" t="str">
        <f>"2022-07-01"</f>
        <v>2022-07-01</v>
      </c>
      <c r="E3477" s="1" t="str">
        <f>"河南科技职业大学"</f>
        <v>河南科技职业大学</v>
      </c>
      <c r="F3477" s="1" t="str">
        <f>"护理"</f>
        <v>护理</v>
      </c>
      <c r="G3477" s="1" t="str">
        <f>"河南省南阳市内乡县城关镇酸枣园"</f>
        <v>河南省南阳市内乡县城关镇酸枣园</v>
      </c>
      <c r="H3477" s="1" t="str">
        <f>"护师资格证"</f>
        <v>护师资格证</v>
      </c>
      <c r="I3477" s="1" t="str">
        <f>"2017.09—2019.07在河南应用技术职业学院学习。
2020.09—2020.07在河南科技职业大学学习。"</f>
        <v>2017.09—2019.07在河南应用技术职业学院学习。
2020.09—2020.07在河南科技职业大学学习。</v>
      </c>
    </row>
    <row r="3478" spans="1:9">
      <c r="A3478" s="1" t="str">
        <f>"411327200007203549"</f>
        <v>411327200007203549</v>
      </c>
      <c r="B3478" s="1" t="str">
        <f>"群众"</f>
        <v>群众</v>
      </c>
      <c r="C3478" s="1" t="str">
        <f t="shared" si="1717"/>
        <v>本科</v>
      </c>
      <c r="D3478" s="1" t="str">
        <f>"20250620"</f>
        <v>20250620</v>
      </c>
      <c r="E3478" s="1" t="str">
        <f>"河南财政金融学院"</f>
        <v>河南财政金融学院</v>
      </c>
      <c r="F3478" s="1" t="str">
        <f>"资产评估"</f>
        <v>资产评估</v>
      </c>
      <c r="G3478" s="1" t="str">
        <f>"河南省南阳市内乡县东湖家园五号楼二单元四楼西"</f>
        <v>河南省南阳市内乡县东湖家园五号楼二单元四楼西</v>
      </c>
      <c r="H3478" s="1" t="str">
        <f>"四级、计算机二级"</f>
        <v>四级、计算机二级</v>
      </c>
      <c r="I3478" s="1" t="str">
        <f>"202109-202506在河南财政金融学院财政税务系资产评估专业就读，是全日制"</f>
        <v>202109-202506在河南财政金融学院财政税务系资产评估专业就读，是全日制</v>
      </c>
    </row>
    <row r="3479" spans="1:9">
      <c r="A3479" s="1" t="str">
        <f>"411327200004090024"</f>
        <v>411327200004090024</v>
      </c>
      <c r="B3479" s="1" t="str">
        <f t="shared" si="1716"/>
        <v>共青团员</v>
      </c>
      <c r="C3479" s="1" t="str">
        <f>"硕士研究生"</f>
        <v>硕士研究生</v>
      </c>
      <c r="D3479" s="1" t="str">
        <f>"20250630"</f>
        <v>20250630</v>
      </c>
      <c r="E3479" s="1" t="str">
        <f>"西北大学"</f>
        <v>西北大学</v>
      </c>
      <c r="F3479" s="1" t="str">
        <f>"环境科学与工程"</f>
        <v>环境科学与工程</v>
      </c>
      <c r="G3479" s="1" t="str">
        <f>"河南省南阳市内乡县城关镇北园村"</f>
        <v>河南省南阳市内乡县城关镇北园村</v>
      </c>
      <c r="H3479" s="1" t="str">
        <f t="shared" ref="H3479:H3485" si="1718">"无"</f>
        <v>无</v>
      </c>
      <c r="I3479" s="1" t="str">
        <f>"201809-202206 河南师范大学环境学院环境科学专业就读 全日制
202209-202506 西北大学城市与环境学院环境科学与工程专业就读 全日制"</f>
        <v>201809-202206 河南师范大学环境学院环境科学专业就读 全日制
202209-202506 西北大学城市与环境学院环境科学与工程专业就读 全日制</v>
      </c>
    </row>
    <row r="3480" spans="1:9">
      <c r="A3480" s="1" t="str">
        <f>"411327200011071526"</f>
        <v>411327200011071526</v>
      </c>
      <c r="B3480" s="1" t="str">
        <f t="shared" si="1716"/>
        <v>共青团员</v>
      </c>
      <c r="C3480" s="1" t="str">
        <f t="shared" ref="C3480:C3483" si="1719">"本科"</f>
        <v>本科</v>
      </c>
      <c r="D3480" s="1" t="str">
        <f>"2022-07-01"</f>
        <v>2022-07-01</v>
      </c>
      <c r="E3480" s="1" t="str">
        <f>"河南工学院"</f>
        <v>河南工学院</v>
      </c>
      <c r="F3480" s="1" t="str">
        <f>"机器人工程"</f>
        <v>机器人工程</v>
      </c>
      <c r="G3480" s="1" t="str">
        <f>"河南省南阳市内乡县湍东镇盆窑村"</f>
        <v>河南省南阳市内乡县湍东镇盆窑村</v>
      </c>
      <c r="H3480" s="1" t="str">
        <f>"工业机器人系统操作员 三级/高级工"</f>
        <v>工业机器人系统操作员 三级/高级工</v>
      </c>
      <c r="I3480" s="1" t="str">
        <f>"201809-202207河南工学院 智能学院 就读
202207-至今 南阳市内乡县待业"</f>
        <v>201809-202207河南工学院 智能学院 就读
202207-至今 南阳市内乡县待业</v>
      </c>
    </row>
    <row r="3481" spans="1:9">
      <c r="A3481" s="1" t="str">
        <f>"412821200108070220"</f>
        <v>412821200108070220</v>
      </c>
      <c r="B3481" s="1" t="str">
        <f>"中共党员"</f>
        <v>中共党员</v>
      </c>
      <c r="C3481" s="1" t="str">
        <f t="shared" si="1719"/>
        <v>本科</v>
      </c>
      <c r="D3481" s="1" t="str">
        <f>"20230701"</f>
        <v>20230701</v>
      </c>
      <c r="E3481" s="1" t="str">
        <f>"河南师范大学"</f>
        <v>河南师范大学</v>
      </c>
      <c r="F3481" s="1" t="str">
        <f>"行政管理"</f>
        <v>行政管理</v>
      </c>
      <c r="G3481" s="1" t="str">
        <f>"河南省南阳市卧龙区百里奚路西岗小区"</f>
        <v>河南省南阳市卧龙区百里奚路西岗小区</v>
      </c>
      <c r="H3481" s="1" t="str">
        <f t="shared" si="1718"/>
        <v>无</v>
      </c>
      <c r="I3481" s="1" t="str">
        <f>"201909-202307河南师范大学政治与公共管理学院行政管理专业就读
202307后待业"</f>
        <v>201909-202307河南师范大学政治与公共管理学院行政管理专业就读
202307后待业</v>
      </c>
    </row>
    <row r="3482" spans="1:9">
      <c r="A3482" s="1" t="str">
        <f>"411324199002165235"</f>
        <v>411324199002165235</v>
      </c>
      <c r="B3482" s="1" t="str">
        <f>"中共党员"</f>
        <v>中共党员</v>
      </c>
      <c r="C3482" s="1" t="str">
        <f t="shared" si="1719"/>
        <v>本科</v>
      </c>
      <c r="D3482" s="1" t="str">
        <f>"20220701"</f>
        <v>20220701</v>
      </c>
      <c r="E3482" s="1" t="str">
        <f>"南阳师范学院"</f>
        <v>南阳师范学院</v>
      </c>
      <c r="F3482" s="1" t="str">
        <f>"法学"</f>
        <v>法学</v>
      </c>
      <c r="G3482" s="1" t="str">
        <f>"镇平县石佛寺镇社会管理服务中心"</f>
        <v>镇平县石佛寺镇社会管理服务中心</v>
      </c>
      <c r="H3482" s="1" t="str">
        <f t="shared" si="1718"/>
        <v>无</v>
      </c>
      <c r="I3482" s="1" t="str">
        <f>"2011/07 - 2011/09   步步高手机销售
2012/07 - 2012/09   广州华南畜牧设备有限公司
2013/07 - 2013/09   百兴食品有限公司
2013/12 - 2015/03   郑州创实不动产营销策划有限公司
2015/05 - 至今      石佛寺镇党政办公室"</f>
        <v>2011/07 - 2011/09   步步高手机销售
2012/07 - 2012/09   广州华南畜牧设备有限公司
2013/07 - 2013/09   百兴食品有限公司
2013/12 - 2015/03   郑州创实不动产营销策划有限公司
2015/05 - 至今      石佛寺镇党政办公室</v>
      </c>
    </row>
    <row r="3483" spans="1:9">
      <c r="A3483" s="1" t="str">
        <f>"411327200008060324"</f>
        <v>411327200008060324</v>
      </c>
      <c r="B3483" s="1" t="str">
        <f t="shared" ref="B3483:B3487" si="1720">"共青团员"</f>
        <v>共青团员</v>
      </c>
      <c r="C3483" s="1" t="str">
        <f t="shared" si="1719"/>
        <v>本科</v>
      </c>
      <c r="D3483" s="1" t="str">
        <f>"20230719"</f>
        <v>20230719</v>
      </c>
      <c r="E3483" s="1" t="str">
        <f>"上海理工大学"</f>
        <v>上海理工大学</v>
      </c>
      <c r="F3483" s="1" t="str">
        <f>"税收学"</f>
        <v>税收学</v>
      </c>
      <c r="G3483" s="1" t="str">
        <f>"河南省南阳市内乡县大桥乡"</f>
        <v>河南省南阳市内乡县大桥乡</v>
      </c>
      <c r="H3483" s="1" t="str">
        <f t="shared" si="1718"/>
        <v>无</v>
      </c>
      <c r="I3483" s="1" t="str">
        <f>"20190901-20230719 上海理工大学管理学院税收学就读，是全日制学历。"</f>
        <v>20190901-20230719 上海理工大学管理学院税收学就读，是全日制学历。</v>
      </c>
    </row>
    <row r="3484" spans="1:9">
      <c r="A3484" s="1" t="str">
        <f>"411327199612150654"</f>
        <v>411327199612150654</v>
      </c>
      <c r="B3484" s="1" t="str">
        <f t="shared" ref="B3484:B3489" si="1721">"群众"</f>
        <v>群众</v>
      </c>
      <c r="C3484" s="1" t="str">
        <f t="shared" ref="C3484:C3488" si="1722">"专科"</f>
        <v>专科</v>
      </c>
      <c r="D3484" s="1" t="str">
        <f>"20180701"</f>
        <v>20180701</v>
      </c>
      <c r="E3484" s="1" t="str">
        <f>"郑州工业应用技术学院"</f>
        <v>郑州工业应用技术学院</v>
      </c>
      <c r="F3484" s="1" t="str">
        <f>"汽车运用技术"</f>
        <v>汽车运用技术</v>
      </c>
      <c r="G3484" s="1" t="str">
        <f>"内乡县马山口镇河西村"</f>
        <v>内乡县马山口镇河西村</v>
      </c>
      <c r="H3484" s="1" t="str">
        <f t="shared" si="1718"/>
        <v>无</v>
      </c>
      <c r="I3484" s="1" t="str">
        <f>"201509-201807 郑州工业应用技术学院  机电工程学院 汽车运用技术 就读                                                                                            
201807-202108 灵活就业                                                           
202109-202507  在南阳市翔丞人力资源服务有限公司工作"</f>
        <v>201509-201807 郑州工业应用技术学院  机电工程学院 汽车运用技术 就读                                                                                            
201807-202108 灵活就业                                                           
202109-202507  在南阳市翔丞人力资源服务有限公司工作</v>
      </c>
    </row>
    <row r="3485" spans="1:9">
      <c r="A3485" s="1" t="str">
        <f>"411302200204170179"</f>
        <v>411302200204170179</v>
      </c>
      <c r="B3485" s="1" t="str">
        <f t="shared" si="1720"/>
        <v>共青团员</v>
      </c>
      <c r="C3485" s="1" t="str">
        <f t="shared" ref="C3485:C3490" si="1723">"本科"</f>
        <v>本科</v>
      </c>
      <c r="D3485" s="1" t="str">
        <f>"20250701"</f>
        <v>20250701</v>
      </c>
      <c r="E3485" s="1" t="str">
        <f>"郑州升达经贸管理学院"</f>
        <v>郑州升达经贸管理学院</v>
      </c>
      <c r="F3485" s="1" t="str">
        <f>"环境设计"</f>
        <v>环境设计</v>
      </c>
      <c r="G3485" s="1" t="str">
        <f>"河南省南阳市宛城区独山大道中段1056号"</f>
        <v>河南省南阳市宛城区独山大道中段1056号</v>
      </c>
      <c r="H3485" s="1" t="str">
        <f t="shared" si="1718"/>
        <v>无</v>
      </c>
      <c r="I3485" s="1" t="str">
        <f>"202109-202506在郑州升达经贸管理学院艺术学院环境设计专业就读，是全日制学历。"</f>
        <v>202109-202506在郑州升达经贸管理学院艺术学院环境设计专业就读，是全日制学历。</v>
      </c>
    </row>
    <row r="3486" spans="1:9">
      <c r="A3486" s="1" t="str">
        <f>"411327200206240027"</f>
        <v>411327200206240027</v>
      </c>
      <c r="B3486" s="1" t="str">
        <f t="shared" si="1721"/>
        <v>群众</v>
      </c>
      <c r="C3486" s="1" t="str">
        <f t="shared" si="1723"/>
        <v>本科</v>
      </c>
      <c r="D3486" s="1" t="str">
        <f>"20230701"</f>
        <v>20230701</v>
      </c>
      <c r="E3486" s="1" t="str">
        <f>"郑州航空工业管理学院"</f>
        <v>郑州航空工业管理学院</v>
      </c>
      <c r="F3486" s="1" t="str">
        <f>"会计学"</f>
        <v>会计学</v>
      </c>
      <c r="G3486" s="1" t="str">
        <f>"南阳市宛城区东关街道明伦商圣苑"</f>
        <v>南阳市宛城区东关街道明伦商圣苑</v>
      </c>
      <c r="H3486" s="1" t="str">
        <f>"初级会计证"</f>
        <v>初级会计证</v>
      </c>
      <c r="I3486" s="1" t="str">
        <f>"201909-202307   郑州航空工业管理学院就读"</f>
        <v>201909-202307   郑州航空工业管理学院就读</v>
      </c>
    </row>
    <row r="3487" spans="1:9">
      <c r="A3487" s="1" t="str">
        <f>"411330200111060064"</f>
        <v>411330200111060064</v>
      </c>
      <c r="B3487" s="1" t="str">
        <f t="shared" si="1720"/>
        <v>共青团员</v>
      </c>
      <c r="C3487" s="1" t="str">
        <f t="shared" si="1722"/>
        <v>专科</v>
      </c>
      <c r="D3487" s="1" t="str">
        <f>"20240630"</f>
        <v>20240630</v>
      </c>
      <c r="E3487" s="1" t="str">
        <f>"闽西职业技术学院"</f>
        <v>闽西职业技术学院</v>
      </c>
      <c r="F3487" s="1" t="str">
        <f>"软件技术"</f>
        <v>软件技术</v>
      </c>
      <c r="G3487" s="1" t="str">
        <f>"河南省南阳市西峡县丹水镇黄营村南庄组217号"</f>
        <v>河南省南阳市西峡县丹水镇黄营村南庄组217号</v>
      </c>
      <c r="H3487" s="1" t="str">
        <f t="shared" ref="H3487:H3489" si="1724">"无"</f>
        <v>无</v>
      </c>
      <c r="I3487" s="1" t="str">
        <f>"202109-202406在闽西职业技术学院软件工程学院软件技术专业就读
202407-202507在河南省南阳市西峡县丹水水镇待业"</f>
        <v>202109-202406在闽西职业技术学院软件工程学院软件技术专业就读
202407-202507在河南省南阳市西峡县丹水水镇待业</v>
      </c>
    </row>
    <row r="3488" spans="1:9">
      <c r="A3488" s="1" t="str">
        <f>"411324199902204519"</f>
        <v>411324199902204519</v>
      </c>
      <c r="B3488" s="1" t="str">
        <f>"中共党员"</f>
        <v>中共党员</v>
      </c>
      <c r="C3488" s="1" t="str">
        <f t="shared" si="1722"/>
        <v>专科</v>
      </c>
      <c r="D3488" s="1" t="str">
        <f>"20220607"</f>
        <v>20220607</v>
      </c>
      <c r="E3488" s="1" t="str">
        <f>"河南科技职业大学"</f>
        <v>河南科技职业大学</v>
      </c>
      <c r="F3488" s="1" t="str">
        <f>"计算机应用技术"</f>
        <v>计算机应用技术</v>
      </c>
      <c r="G3488" s="1" t="str">
        <f>"河南省南阳市镇平县融奥星城"</f>
        <v>河南省南阳市镇平县融奥星城</v>
      </c>
      <c r="H3488" s="1" t="str">
        <f t="shared" si="1724"/>
        <v>无</v>
      </c>
      <c r="I3488" s="1" t="str">
        <f>"201709--201909    参军入伍
201909--202206     河南科技职业大学    计算机学院  计算机应用技术  专业就读   是全日制学历
202206-202304   待业在家
202304-202506   郑州航空工业管理学院   法学院就读     函授   "</f>
        <v>201709--201909    参军入伍
201909--202206     河南科技职业大学    计算机学院  计算机应用技术  专业就读   是全日制学历
202206-202304   待业在家
202304-202506   郑州航空工业管理学院   法学院就读     函授   </v>
      </c>
    </row>
    <row r="3489" spans="1:9">
      <c r="A3489" s="1" t="str">
        <f>"411327200206091199"</f>
        <v>411327200206091199</v>
      </c>
      <c r="B3489" s="1" t="str">
        <f t="shared" si="1721"/>
        <v>群众</v>
      </c>
      <c r="C3489" s="1" t="str">
        <f t="shared" si="1723"/>
        <v>本科</v>
      </c>
      <c r="D3489" s="1" t="str">
        <f>"20240710"</f>
        <v>20240710</v>
      </c>
      <c r="E3489" s="1" t="str">
        <f>"南京审计大学"</f>
        <v>南京审计大学</v>
      </c>
      <c r="F3489" s="1" t="str">
        <f>"会计学（CMA方向）"</f>
        <v>会计学（CMA方向）</v>
      </c>
      <c r="G3489" s="1" t="str">
        <f>"河南省内乡县湍东镇水岸豪庭"</f>
        <v>河南省内乡县湍东镇水岸豪庭</v>
      </c>
      <c r="H3489" s="1" t="str">
        <f t="shared" si="1724"/>
        <v>无</v>
      </c>
      <c r="I3489" s="1" t="str">
        <f>"202009-202407就读于南京审计大学社会审计学院会计学专业就读全日制学历"</f>
        <v>202009-202407就读于南京审计大学社会审计学院会计学专业就读全日制学历</v>
      </c>
    </row>
    <row r="3490" spans="1:9">
      <c r="A3490" s="1" t="str">
        <f>"411327200211030032"</f>
        <v>411327200211030032</v>
      </c>
      <c r="B3490" s="1" t="str">
        <f>"共青团员"</f>
        <v>共青团员</v>
      </c>
      <c r="C3490" s="1" t="str">
        <f t="shared" si="1723"/>
        <v>本科</v>
      </c>
      <c r="D3490" s="1" t="str">
        <f>"20240701"</f>
        <v>20240701</v>
      </c>
      <c r="E3490" s="1" t="str">
        <f>"河南科技学院"</f>
        <v>河南科技学院</v>
      </c>
      <c r="F3490" s="1" t="str">
        <f>"法学"</f>
        <v>法学</v>
      </c>
      <c r="G3490" s="1" t="str">
        <f>"河南省南阳市内乡县西关宏达南路"</f>
        <v>河南省南阳市内乡县西关宏达南路</v>
      </c>
      <c r="H3490" s="1" t="str">
        <f>"中华人民共和国法律职业资格证书C证"</f>
        <v>中华人民共和国法律职业资格证书C证</v>
      </c>
      <c r="I3490" s="1" t="str">
        <f>"202009-202407 河南科技学院文法学院法学专业就读，是全日制学历
202407-202411 河南省南阳市内乡县待业
202411-至今 河南大法律师事务所实习"</f>
        <v>202009-202407 河南科技学院文法学院法学专业就读，是全日制学历
202407-202411 河南省南阳市内乡县待业
202411-至今 河南大法律师事务所实习</v>
      </c>
    </row>
    <row r="3491" spans="1:9">
      <c r="A3491" s="1" t="str">
        <f>"411327200310022927"</f>
        <v>411327200310022927</v>
      </c>
      <c r="B3491" s="1" t="str">
        <f t="shared" ref="B3491:B3495" si="1725">"群众"</f>
        <v>群众</v>
      </c>
      <c r="C3491" s="1" t="str">
        <f t="shared" ref="C3491:C3497" si="1726">"专科"</f>
        <v>专科</v>
      </c>
      <c r="D3491" s="1" t="str">
        <f>"2025-07-01"</f>
        <v>2025-07-01</v>
      </c>
      <c r="E3491" s="1" t="str">
        <f>"三门峡职业技术学院"</f>
        <v>三门峡职业技术学院</v>
      </c>
      <c r="F3491" s="1" t="str">
        <f>"医学影像技术"</f>
        <v>医学影像技术</v>
      </c>
      <c r="G3491" s="1" t="str">
        <f>"河南省南阳市内乡县左岸皇朝"</f>
        <v>河南省南阳市内乡县左岸皇朝</v>
      </c>
      <c r="H3491" s="1" t="str">
        <f t="shared" ref="H3491:H3497" si="1727">"无"</f>
        <v>无</v>
      </c>
      <c r="I3491" s="1" t="str">
        <f>"202209-202506三门峡职业技术学院医学影像技术专业就读是全日制学历202506-至今南阳高新医院学习"</f>
        <v>202209-202506三门峡职业技术学院医学影像技术专业就读是全日制学历202506-至今南阳高新医院学习</v>
      </c>
    </row>
    <row r="3492" spans="1:9">
      <c r="A3492" s="1" t="str">
        <f>"41152619950923132X"</f>
        <v>41152619950923132X</v>
      </c>
      <c r="B3492" s="1" t="str">
        <f t="shared" si="1725"/>
        <v>群众</v>
      </c>
      <c r="C3492" s="1" t="str">
        <f>"硕士研究生"</f>
        <v>硕士研究生</v>
      </c>
      <c r="D3492" s="1" t="str">
        <f>"20230620"</f>
        <v>20230620</v>
      </c>
      <c r="E3492" s="1" t="str">
        <f>"北华大学"</f>
        <v>北华大学</v>
      </c>
      <c r="F3492" s="1" t="str">
        <f>"森林培育"</f>
        <v>森林培育</v>
      </c>
      <c r="G3492" s="1" t="str">
        <f>"江苏省常州市武进区卢家新园1栋甲单元1202"</f>
        <v>江苏省常州市武进区卢家新园1栋甲单元1202</v>
      </c>
      <c r="H3492" s="1" t="str">
        <f t="shared" si="1727"/>
        <v>无</v>
      </c>
      <c r="I3492" s="1" t="str">
        <f>"201509-201907 信阳农林学院 就读；
201907-202009 待业；
202009-202306 北华大学 就读；
202306-至今 待业。"</f>
        <v>201509-201907 信阳农林学院 就读；
201907-202009 待业；
202009-202306 北华大学 就读；
202306-至今 待业。</v>
      </c>
    </row>
    <row r="3493" spans="1:9">
      <c r="A3493" s="1" t="str">
        <f>"411521200107210925"</f>
        <v>411521200107210925</v>
      </c>
      <c r="B3493" s="1" t="str">
        <f t="shared" ref="B3493:B3498" si="1728">"共青团员"</f>
        <v>共青团员</v>
      </c>
      <c r="C3493" s="1" t="str">
        <f>"本科"</f>
        <v>本科</v>
      </c>
      <c r="D3493" s="1" t="str">
        <f>"20220614"</f>
        <v>20220614</v>
      </c>
      <c r="E3493" s="1" t="str">
        <f>"云南民族大学"</f>
        <v>云南民族大学</v>
      </c>
      <c r="F3493" s="1" t="str">
        <f>"建筑电气与智能化"</f>
        <v>建筑电气与智能化</v>
      </c>
      <c r="G3493" s="1" t="str">
        <f>"河南省信阳市竹竿镇黄湖村赵东组"</f>
        <v>河南省信阳市竹竿镇黄湖村赵东组</v>
      </c>
      <c r="H3493" s="1" t="str">
        <f>"英语四级证书、英语六级证书"</f>
        <v>英语四级证书、英语六级证书</v>
      </c>
      <c r="I3493" s="1" t="str">
        <f>"20180901-20220614在云南民族大学建筑电气与智能化专业就读，20220718-20250714在南阳市牧原集团工作。"</f>
        <v>20180901-20220614在云南民族大学建筑电气与智能化专业就读，20220718-20250714在南阳市牧原集团工作。</v>
      </c>
    </row>
    <row r="3494" spans="1:9">
      <c r="A3494" s="1" t="str">
        <f>"411326200309200603"</f>
        <v>411326200309200603</v>
      </c>
      <c r="B3494" s="1" t="str">
        <f t="shared" si="1725"/>
        <v>群众</v>
      </c>
      <c r="C3494" s="1" t="str">
        <f t="shared" si="1726"/>
        <v>专科</v>
      </c>
      <c r="D3494" s="1" t="str">
        <f>"20240607"</f>
        <v>20240607</v>
      </c>
      <c r="E3494" s="1" t="str">
        <f>"南阳农业职业学院"</f>
        <v>南阳农业职业学院</v>
      </c>
      <c r="F3494" s="1" t="str">
        <f>"园林技术"</f>
        <v>园林技术</v>
      </c>
      <c r="G3494" s="1" t="str">
        <f>"河南省淅川县龙城街道"</f>
        <v>河南省淅川县龙城街道</v>
      </c>
      <c r="H3494" s="1" t="str">
        <f t="shared" si="1727"/>
        <v>无</v>
      </c>
      <c r="I3494" s="1" t="str">
        <f>"201909-202405南阳农业职业学院就读园林技术专业，全日制专科
202406至今待业"</f>
        <v>201909-202405南阳农业职业学院就读园林技术专业，全日制专科
202406至今待业</v>
      </c>
    </row>
    <row r="3495" spans="1:9">
      <c r="A3495" s="1" t="str">
        <f>"372928199911061210"</f>
        <v>372928199911061210</v>
      </c>
      <c r="B3495" s="1" t="str">
        <f t="shared" si="1725"/>
        <v>群众</v>
      </c>
      <c r="C3495" s="1" t="str">
        <f t="shared" si="1726"/>
        <v>专科</v>
      </c>
      <c r="D3495" s="1" t="str">
        <f>"20190607"</f>
        <v>20190607</v>
      </c>
      <c r="E3495" s="1" t="str">
        <f>"青岛恒星科技学院"</f>
        <v>青岛恒星科技学院</v>
      </c>
      <c r="F3495" s="1" t="str">
        <f>"机电一体化技术"</f>
        <v>机电一体化技术</v>
      </c>
      <c r="G3495" s="1" t="str">
        <f>"山东省菏泽市郓城县郓州街道宋江名都"</f>
        <v>山东省菏泽市郓城县郓州街道宋江名都</v>
      </c>
      <c r="H3495" s="1" t="str">
        <f t="shared" si="1727"/>
        <v>无</v>
      </c>
      <c r="I3495" s="1" t="str">
        <f>"201609-201906 青岛恒星科技学院 就读
201909-202409 火箭军工程大学     服役
202409-至今                                     待业"</f>
        <v>201609-201906 青岛恒星科技学院 就读
201909-202409 火箭军工程大学     服役
202409-至今                                     待业</v>
      </c>
    </row>
    <row r="3496" spans="1:9">
      <c r="A3496" s="1" t="str">
        <f>"411327200212263516"</f>
        <v>411327200212263516</v>
      </c>
      <c r="B3496" s="1" t="str">
        <f t="shared" si="1728"/>
        <v>共青团员</v>
      </c>
      <c r="C3496" s="1" t="str">
        <f t="shared" si="1726"/>
        <v>专科</v>
      </c>
      <c r="D3496" s="1" t="str">
        <f>"20230701"</f>
        <v>20230701</v>
      </c>
      <c r="E3496" s="1" t="str">
        <f>"信阳师范大学"</f>
        <v>信阳师范大学</v>
      </c>
      <c r="F3496" s="1" t="str">
        <f>"软件技术"</f>
        <v>软件技术</v>
      </c>
      <c r="G3496" s="1" t="str">
        <f>"河南省南阳市板场乡冯庄村柴营17"</f>
        <v>河南省南阳市板场乡冯庄村柴营17</v>
      </c>
      <c r="H3496" s="1" t="str">
        <f t="shared" si="1727"/>
        <v>无</v>
      </c>
      <c r="I3496" s="1" t="str">
        <f>"202109-202303信阳师范大学计算机与信息技术学院软件技术专业就读是全日制学历202303-202503在65316部队当兵"</f>
        <v>202109-202303信阳师范大学计算机与信息技术学院软件技术专业就读是全日制学历202303-202503在65316部队当兵</v>
      </c>
    </row>
    <row r="3497" spans="1:9">
      <c r="A3497" s="1" t="str">
        <f>"411327200105013976"</f>
        <v>411327200105013976</v>
      </c>
      <c r="B3497" s="1" t="str">
        <f t="shared" si="1728"/>
        <v>共青团员</v>
      </c>
      <c r="C3497" s="1" t="str">
        <f t="shared" si="1726"/>
        <v>专科</v>
      </c>
      <c r="D3497" s="1" t="str">
        <f>"2023年7月10日"</f>
        <v>2023年7月10日</v>
      </c>
      <c r="E3497" s="1" t="str">
        <f>"洛阳职业技术学院"</f>
        <v>洛阳职业技术学院</v>
      </c>
      <c r="F3497" s="1" t="str">
        <f>"药学"</f>
        <v>药学</v>
      </c>
      <c r="G3497" s="1" t="str">
        <f>"河南省南阳市内乡县岞曲镇"</f>
        <v>河南省南阳市内乡县岞曲镇</v>
      </c>
      <c r="H3497" s="1" t="str">
        <f t="shared" si="1727"/>
        <v>无</v>
      </c>
      <c r="I3497" s="1" t="str">
        <f>"2020年10月——2023年7月在洛阳职业技术学院食品药品学院药学专业就读是全日制"</f>
        <v>2020年10月——2023年7月在洛阳职业技术学院食品药品学院药学专业就读是全日制</v>
      </c>
    </row>
    <row r="3498" spans="1:9">
      <c r="A3498" s="1" t="str">
        <f>"411327199904170016"</f>
        <v>411327199904170016</v>
      </c>
      <c r="B3498" s="1" t="str">
        <f t="shared" si="1728"/>
        <v>共青团员</v>
      </c>
      <c r="C3498" s="1" t="str">
        <f t="shared" ref="C3498:C3501" si="1729">"本科"</f>
        <v>本科</v>
      </c>
      <c r="D3498" s="1" t="str">
        <f>"20240701"</f>
        <v>20240701</v>
      </c>
      <c r="E3498" s="1" t="str">
        <f>"郑州经贸学院"</f>
        <v>郑州经贸学院</v>
      </c>
      <c r="F3498" s="1" t="str">
        <f>"市场营销"</f>
        <v>市场营销</v>
      </c>
      <c r="G3498" s="1" t="str">
        <f>"河南省南阳市内乡县城关镇"</f>
        <v>河南省南阳市内乡县城关镇</v>
      </c>
      <c r="H3498" s="1" t="str">
        <f>"初级会计证"</f>
        <v>初级会计证</v>
      </c>
      <c r="I3498" s="1" t="str">
        <f>"201909-202207郑州财经学院专科会计系会计学全日制
202209-202407郑州经贸学院本科营销系市场营销全日制
202402至今南阳菊兴产业投资有限公司"</f>
        <v>201909-202207郑州财经学院专科会计系会计学全日制
202209-202407郑州经贸学院本科营销系市场营销全日制
202402至今南阳菊兴产业投资有限公司</v>
      </c>
    </row>
    <row r="3499" spans="1:9">
      <c r="A3499" s="1" t="str">
        <f>"412828200111160643"</f>
        <v>412828200111160643</v>
      </c>
      <c r="B3499" s="1" t="str">
        <f t="shared" ref="B3499:B3505" si="1730">"群众"</f>
        <v>群众</v>
      </c>
      <c r="C3499" s="1" t="str">
        <f>"专科"</f>
        <v>专科</v>
      </c>
      <c r="D3499" s="1" t="str">
        <f>"20220701"</f>
        <v>20220701</v>
      </c>
      <c r="E3499" s="1" t="str">
        <f>"驻马店幼儿师范高等专科学校"</f>
        <v>驻马店幼儿师范高等专科学校</v>
      </c>
      <c r="F3499" s="1" t="str">
        <f>"学前教育"</f>
        <v>学前教育</v>
      </c>
      <c r="G3499" s="1" t="str">
        <f>"河南省驻马店市新蔡县北湖路三湾一巷"</f>
        <v>河南省驻马店市新蔡县北湖路三湾一巷</v>
      </c>
      <c r="H3499" s="1" t="str">
        <f t="shared" ref="H3499:H3505" si="1731">"无"</f>
        <v>无</v>
      </c>
      <c r="I3499" s="1" t="str">
        <f>"201709-202207 驻马店幼儿师范高等专科学校学前教育学院学前教育系就读，是全日制学历"</f>
        <v>201709-202207 驻马店幼儿师范高等专科学校学前教育学院学前教育系就读，是全日制学历</v>
      </c>
    </row>
    <row r="3500" spans="1:9">
      <c r="A3500" s="1" t="str">
        <f>"410322199310165524"</f>
        <v>410322199310165524</v>
      </c>
      <c r="B3500" s="1" t="str">
        <f t="shared" si="1730"/>
        <v>群众</v>
      </c>
      <c r="C3500" s="1" t="str">
        <f t="shared" si="1729"/>
        <v>本科</v>
      </c>
      <c r="D3500" s="1" t="str">
        <f>"20170701"</f>
        <v>20170701</v>
      </c>
      <c r="E3500" s="1" t="str">
        <f>"河南牧业经济学院"</f>
        <v>河南牧业经济学院</v>
      </c>
      <c r="F3500" s="1" t="str">
        <f>"物流管理"</f>
        <v>物流管理</v>
      </c>
      <c r="G3500" s="1" t="str">
        <f>"河南省洛阳市栾川县旺源新城小区"</f>
        <v>河南省洛阳市栾川县旺源新城小区</v>
      </c>
      <c r="H3500" s="1" t="str">
        <f t="shared" si="1731"/>
        <v>无</v>
      </c>
      <c r="I3500" s="1" t="str">
        <f>"201309-201707河南牧业经济学院物流与电商学院物流管理专业 全日制学历；201708-至今 栾川县优仕树人初中 任职初中数学教师"</f>
        <v>201309-201707河南牧业经济学院物流与电商学院物流管理专业 全日制学历；201708-至今 栾川县优仕树人初中 任职初中数学教师</v>
      </c>
    </row>
    <row r="3501" spans="1:9">
      <c r="A3501" s="1" t="str">
        <f>"411323199002017025"</f>
        <v>411323199002017025</v>
      </c>
      <c r="B3501" s="1" t="str">
        <f t="shared" si="1730"/>
        <v>群众</v>
      </c>
      <c r="C3501" s="1" t="str">
        <f t="shared" si="1729"/>
        <v>本科</v>
      </c>
      <c r="D3501" s="1" t="str">
        <f>"20220701"</f>
        <v>20220701</v>
      </c>
      <c r="E3501" s="1" t="str">
        <f>"南阳师范学院"</f>
        <v>南阳师范学院</v>
      </c>
      <c r="F3501" s="1" t="str">
        <f>"教育学"</f>
        <v>教育学</v>
      </c>
      <c r="G3501" s="1" t="str">
        <f>"淅川县城关镇冬青一组"</f>
        <v>淅川县城关镇冬青一组</v>
      </c>
      <c r="H3501" s="1" t="str">
        <f t="shared" si="1731"/>
        <v>无</v>
      </c>
      <c r="I3501" s="1" t="str">
        <f>"2014.03-2016.07河南财经金融学院，初等教育专业函授学习（非全日制）2016.08-2018.08在家待业。2018.09-至今淅川县德威书院工作。（2020.03-2022.07在南阳师范学院教育学专业函授学习）"</f>
        <v>2014.03-2016.07河南财经金融学院，初等教育专业函授学习（非全日制）2016.08-2018.08在家待业。2018.09-至今淅川县德威书院工作。（2020.03-2022.07在南阳师范学院教育学专业函授学习）</v>
      </c>
    </row>
    <row r="3502" spans="1:9">
      <c r="A3502" s="1" t="str">
        <f>"411303199407104818"</f>
        <v>411303199407104818</v>
      </c>
      <c r="B3502" s="1" t="str">
        <f t="shared" si="1730"/>
        <v>群众</v>
      </c>
      <c r="C3502" s="1" t="str">
        <f t="shared" ref="C3502:C3507" si="1732">"专科"</f>
        <v>专科</v>
      </c>
      <c r="D3502" s="1" t="str">
        <f>"20160701"</f>
        <v>20160701</v>
      </c>
      <c r="E3502" s="1" t="str">
        <f>"商丘学院"</f>
        <v>商丘学院</v>
      </c>
      <c r="F3502" s="1" t="str">
        <f>"市场营销"</f>
        <v>市场营销</v>
      </c>
      <c r="G3502" s="1" t="str">
        <f>"南阳市苏庄450号"</f>
        <v>南阳市苏庄450号</v>
      </c>
      <c r="H3502" s="1" t="str">
        <f t="shared" si="1731"/>
        <v>无</v>
      </c>
      <c r="I3502" s="1" t="str">
        <f>"201309-201606商丘学院工商管理系市场营销专业就读，是全日制学历。"</f>
        <v>201309-201606商丘学院工商管理系市场营销专业就读，是全日制学历。</v>
      </c>
    </row>
    <row r="3503" spans="1:9">
      <c r="A3503" s="1" t="str">
        <f>"411327200309161540"</f>
        <v>411327200309161540</v>
      </c>
      <c r="B3503" s="1" t="str">
        <f t="shared" si="1730"/>
        <v>群众</v>
      </c>
      <c r="C3503" s="1" t="str">
        <f t="shared" ref="C3503:C3506" si="1733">"本科"</f>
        <v>本科</v>
      </c>
      <c r="D3503" s="1" t="str">
        <f>"2025-06-09"</f>
        <v>2025-06-09</v>
      </c>
      <c r="E3503" s="1" t="str">
        <f>"黑龙江工业学院"</f>
        <v>黑龙江工业学院</v>
      </c>
      <c r="F3503" s="1" t="str">
        <f>"财务管理"</f>
        <v>财务管理</v>
      </c>
      <c r="G3503" s="1" t="str">
        <f>"河南省南阳市内乡县湍东镇盆窑村梁北37号"</f>
        <v>河南省南阳市内乡县湍东镇盆窑村梁北37号</v>
      </c>
      <c r="H3503" s="1" t="str">
        <f t="shared" si="1731"/>
        <v>无</v>
      </c>
      <c r="I3503" s="1" t="str">
        <f>"20210917-20250609 黑龙江工业学院经济与管理学院财务管理专业就读。"</f>
        <v>20210917-20250609 黑龙江工业学院经济与管理学院财务管理专业就读。</v>
      </c>
    </row>
    <row r="3504" spans="1:9">
      <c r="A3504" s="1" t="str">
        <f>"620102199402012720"</f>
        <v>620102199402012720</v>
      </c>
      <c r="B3504" s="1" t="str">
        <f t="shared" si="1730"/>
        <v>群众</v>
      </c>
      <c r="C3504" s="1" t="str">
        <f t="shared" si="1733"/>
        <v>本科</v>
      </c>
      <c r="D3504" s="1" t="str">
        <f>"20170620"</f>
        <v>20170620</v>
      </c>
      <c r="E3504" s="1" t="str">
        <f>"兰州工业学院"</f>
        <v>兰州工业学院</v>
      </c>
      <c r="F3504" s="1" t="str">
        <f>"视觉传达设计"</f>
        <v>视觉传达设计</v>
      </c>
      <c r="G3504" s="1" t="str">
        <f>"甘肃省兰州市城关区东郊巷"</f>
        <v>甘肃省兰州市城关区东郊巷</v>
      </c>
      <c r="H3504" s="1" t="str">
        <f t="shared" si="1731"/>
        <v>无</v>
      </c>
      <c r="I3504" s="1" t="str">
        <f>"2013.07-2017.07 兰州工业学院（全日制）
2017.07-2021.10 兰州市税务局（派遣制）窗口工作人员
2021.10-2022.02待业
2022.02-2024.03 兰州恐龙园文化科技有限公司（平面插画师）
2024.03-2024.12 甘肃丝绸之路文商旅游开发有限公司（平面插画师）
2024.12-2025.04甘肃敦湖温泉度假酒店（平面设计师）
2025.04-至今 待业"</f>
        <v>2013.07-2017.07 兰州工业学院（全日制）
2017.07-2021.10 兰州市税务局（派遣制）窗口工作人员
2021.10-2022.02待业
2022.02-2024.03 兰州恐龙园文化科技有限公司（平面插画师）
2024.03-2024.12 甘肃丝绸之路文商旅游开发有限公司（平面插画师）
2024.12-2025.04甘肃敦湖温泉度假酒店（平面设计师）
2025.04-至今 待业</v>
      </c>
    </row>
    <row r="3505" ht="135" spans="1:9">
      <c r="A3505" s="1" t="str">
        <f>"430422199002240413"</f>
        <v>430422199002240413</v>
      </c>
      <c r="B3505" s="1" t="str">
        <f t="shared" si="1730"/>
        <v>群众</v>
      </c>
      <c r="C3505" s="1" t="str">
        <f t="shared" si="1732"/>
        <v>专科</v>
      </c>
      <c r="D3505" s="1" t="str">
        <f>"20110630"</f>
        <v>20110630</v>
      </c>
      <c r="E3505" s="1" t="str">
        <f>"湖南铁路科技职业技术学院"</f>
        <v>湖南铁路科技职业技术学院</v>
      </c>
      <c r="F3505" s="1" t="str">
        <f>"物流管理"</f>
        <v>物流管理</v>
      </c>
      <c r="G3505" s="1" t="str">
        <f>"湖南省衡南县洲市乡大山村书房组"</f>
        <v>湖南省衡南县洲市乡大山村书房组</v>
      </c>
      <c r="H3505" s="1" t="str">
        <f t="shared" si="1731"/>
        <v>无</v>
      </c>
      <c r="I3505" s="3" t="s">
        <v>265</v>
      </c>
    </row>
    <row r="3506" spans="1:9">
      <c r="A3506" s="1" t="str">
        <f>"411327199606244523"</f>
        <v>411327199606244523</v>
      </c>
      <c r="B3506" s="1" t="str">
        <f>"中共党员"</f>
        <v>中共党员</v>
      </c>
      <c r="C3506" s="1" t="str">
        <f t="shared" si="1733"/>
        <v>本科</v>
      </c>
      <c r="D3506" s="1" t="str">
        <f>"20180701"</f>
        <v>20180701</v>
      </c>
      <c r="E3506" s="1" t="str">
        <f>"南京审计大学"</f>
        <v>南京审计大学</v>
      </c>
      <c r="F3506" s="1" t="str">
        <f>"工商管理"</f>
        <v>工商管理</v>
      </c>
      <c r="G3506" s="1" t="str">
        <f>"河南省南阳市内乡县县医院西学府公馆"</f>
        <v>河南省南阳市内乡县县医院西学府公馆</v>
      </c>
      <c r="H3506" s="1" t="str">
        <f>"会计专业技术资格初级  银行业专业人员职业资格中级"</f>
        <v>会计专业技术资格初级  银行业专业人员职业资格中级</v>
      </c>
      <c r="I3506" s="1" t="str">
        <f>"20140901-20180701南京审计大学商学院工商管理专业就读，全日制本科学历；20180901-20200701郑州大学信息管理学院图书情报专业就读，全日制硕士研究生学历；20201201-至今就职于河南内乡农村商业银行股份有限公司。"</f>
        <v>20140901-20180701南京审计大学商学院工商管理专业就读，全日制本科学历；20180901-20200701郑州大学信息管理学院图书情报专业就读，全日制硕士研究生学历；20201201-至今就职于河南内乡农村商业银行股份有限公司。</v>
      </c>
    </row>
    <row r="3507" spans="1:9">
      <c r="A3507" s="1" t="str">
        <f>"411322200508065795"</f>
        <v>411322200508065795</v>
      </c>
      <c r="B3507" s="1" t="str">
        <f t="shared" ref="B3507:B3512" si="1734">"共青团员"</f>
        <v>共青团员</v>
      </c>
      <c r="C3507" s="1" t="str">
        <f t="shared" si="1732"/>
        <v>专科</v>
      </c>
      <c r="D3507" s="1" t="str">
        <f>"20250701"</f>
        <v>20250701</v>
      </c>
      <c r="E3507" s="1" t="str">
        <f>"河南工业职业技术学院"</f>
        <v>河南工业职业技术学院</v>
      </c>
      <c r="F3507" s="1" t="str">
        <f>"软件技术   两年制"</f>
        <v>软件技术   两年制</v>
      </c>
      <c r="G3507" s="1" t="str">
        <f>"河南省南阳市正商书香华府"</f>
        <v>河南省南阳市正商书香华府</v>
      </c>
      <c r="H3507" s="1" t="str">
        <f t="shared" ref="H3507:H3512" si="1735">"无"</f>
        <v>无</v>
      </c>
      <c r="I3507" s="1" t="str">
        <f>"无"</f>
        <v>无</v>
      </c>
    </row>
    <row r="3508" spans="1:9">
      <c r="A3508" s="1" t="str">
        <f>"411325200211120019"</f>
        <v>411325200211120019</v>
      </c>
      <c r="B3508" s="1" t="str">
        <f>"群众"</f>
        <v>群众</v>
      </c>
      <c r="C3508" s="1" t="str">
        <f t="shared" ref="C3508:C3513" si="1736">"本科"</f>
        <v>本科</v>
      </c>
      <c r="D3508" s="1" t="str">
        <f>"2024-07-01"</f>
        <v>2024-07-01</v>
      </c>
      <c r="E3508" s="1" t="str">
        <f>"河南师范大学"</f>
        <v>河南师范大学</v>
      </c>
      <c r="F3508" s="1" t="str">
        <f>"物联网工程"</f>
        <v>物联网工程</v>
      </c>
      <c r="G3508" s="1" t="str">
        <f>"河南省南阳市唐河县星江路与伏牛路交叉口"</f>
        <v>河南省南阳市唐河县星江路与伏牛路交叉口</v>
      </c>
      <c r="H3508" s="1" t="str">
        <f t="shared" si="1735"/>
        <v>无</v>
      </c>
      <c r="I3508" s="1" t="str">
        <f>"202209-202407 河南师范大学计算机学院物理网工程就读 全日制学历
202407-待业 "</f>
        <v>202209-202407 河南师范大学计算机学院物理网工程就读 全日制学历
202407-待业 </v>
      </c>
    </row>
    <row r="3509" spans="1:9">
      <c r="A3509" s="1" t="str">
        <f>"411327200010132016"</f>
        <v>411327200010132016</v>
      </c>
      <c r="B3509" s="1" t="str">
        <f t="shared" si="1734"/>
        <v>共青团员</v>
      </c>
      <c r="C3509" s="1" t="str">
        <f t="shared" si="1736"/>
        <v>本科</v>
      </c>
      <c r="D3509" s="1" t="str">
        <f>"20230701"</f>
        <v>20230701</v>
      </c>
      <c r="E3509" s="1" t="str">
        <f>"河南科技学院"</f>
        <v>河南科技学院</v>
      </c>
      <c r="F3509" s="1" t="str">
        <f>"农业资源与环境"</f>
        <v>农业资源与环境</v>
      </c>
      <c r="G3509" s="1" t="str">
        <f>"河南省南阳市内乡县师岗镇"</f>
        <v>河南省南阳市内乡县师岗镇</v>
      </c>
      <c r="H3509" s="1" t="str">
        <f t="shared" si="1735"/>
        <v>无</v>
      </c>
      <c r="I3509" s="1" t="str">
        <f>"201909-202307 河南科技学院 资源与环境学院 农业资源与环境专业 就读
202307-至今 待业"</f>
        <v>201909-202307 河南科技学院 资源与环境学院 农业资源与环境专业 就读
202307-至今 待业</v>
      </c>
    </row>
    <row r="3510" spans="1:9">
      <c r="A3510" s="1" t="str">
        <f>"410724200007032024"</f>
        <v>410724200007032024</v>
      </c>
      <c r="B3510" s="1" t="str">
        <f t="shared" si="1734"/>
        <v>共青团员</v>
      </c>
      <c r="C3510" s="1" t="str">
        <f>"硕士研究生"</f>
        <v>硕士研究生</v>
      </c>
      <c r="D3510" s="1" t="str">
        <f>"20250611"</f>
        <v>20250611</v>
      </c>
      <c r="E3510" s="1" t="str">
        <f>"河北传媒学院"</f>
        <v>河北传媒学院</v>
      </c>
      <c r="F3510" s="1" t="str">
        <f>"新闻与传播"</f>
        <v>新闻与传播</v>
      </c>
      <c r="G3510" s="1" t="str">
        <f>"河南省新乡市获嘉县西园丁小区五号楼二单元六楼东"</f>
        <v>河南省新乡市获嘉县西园丁小区五号楼二单元六楼东</v>
      </c>
      <c r="H3510" s="1" t="str">
        <f t="shared" si="1735"/>
        <v>无</v>
      </c>
      <c r="I3510" s="1" t="str">
        <f>"201809-202206黄河科技学院就读 全日制学历
202209-202506河北传媒学院就读 全日制学历"</f>
        <v>201809-202206黄河科技学院就读 全日制学历
202209-202506河北传媒学院就读 全日制学历</v>
      </c>
    </row>
    <row r="3511" spans="1:9">
      <c r="A3511" s="1" t="str">
        <f>"411327199911232510"</f>
        <v>411327199911232510</v>
      </c>
      <c r="B3511" s="1" t="str">
        <f t="shared" si="1734"/>
        <v>共青团员</v>
      </c>
      <c r="C3511" s="1" t="str">
        <f>"硕士研究生"</f>
        <v>硕士研究生</v>
      </c>
      <c r="D3511" s="1" t="str">
        <f>"20250701"</f>
        <v>20250701</v>
      </c>
      <c r="E3511" s="1" t="str">
        <f>"中国民用航空飞行学院"</f>
        <v>中国民用航空飞行学院</v>
      </c>
      <c r="F3511" s="1" t="str">
        <f>"交通运输工程"</f>
        <v>交通运输工程</v>
      </c>
      <c r="G3511" s="1" t="str">
        <f>"河南省南阳市内乡县王店镇马沟村杜岗"</f>
        <v>河南省南阳市内乡县王店镇马沟村杜岗</v>
      </c>
      <c r="H3511" s="1" t="str">
        <f t="shared" si="1735"/>
        <v>无</v>
      </c>
      <c r="I3511" s="1" t="str">
        <f>"201809-202207，河南农业大学机电工程学院交通运输专业就读；
202207-202507，中国民用航空飞行学院空中交通管理学院交通运输工程就读；"</f>
        <v>201809-202207，河南农业大学机电工程学院交通运输专业就读；
202207-202507，中国民用航空飞行学院空中交通管理学院交通运输工程就读；</v>
      </c>
    </row>
    <row r="3512" spans="1:9">
      <c r="A3512" s="1" t="str">
        <f>"411330200109252024"</f>
        <v>411330200109252024</v>
      </c>
      <c r="B3512" s="1" t="str">
        <f t="shared" si="1734"/>
        <v>共青团员</v>
      </c>
      <c r="C3512" s="1" t="str">
        <f t="shared" si="1736"/>
        <v>本科</v>
      </c>
      <c r="D3512" s="1" t="str">
        <f>"2024.06"</f>
        <v>2024.06</v>
      </c>
      <c r="E3512" s="1" t="str">
        <f>"安阳学院"</f>
        <v>安阳学院</v>
      </c>
      <c r="F3512" s="1" t="str">
        <f>"学前教育"</f>
        <v>学前教育</v>
      </c>
      <c r="G3512" s="1" t="str">
        <f>"河南省南阳市西峡县五里桥镇郝岗村桦林树组"</f>
        <v>河南省南阳市西峡县五里桥镇郝岗村桦林树组</v>
      </c>
      <c r="H3512" s="1" t="str">
        <f t="shared" si="1735"/>
        <v>无</v>
      </c>
      <c r="I3512" s="1" t="str">
        <f>"2019.09-2022.06河南师范大学新联学院 语文教育专业 全日制
2022.09-2024.06安阳学院 学前教育专业 全日制
2024.06-2025.07在家待业"</f>
        <v>2019.09-2022.06河南师范大学新联学院 语文教育专业 全日制
2022.09-2024.06安阳学院 学前教育专业 全日制
2024.06-2025.07在家待业</v>
      </c>
    </row>
    <row r="3513" spans="1:9">
      <c r="A3513" s="1" t="str">
        <f>"411330200211071123"</f>
        <v>411330200211071123</v>
      </c>
      <c r="B3513" s="1" t="str">
        <f>"中共党员"</f>
        <v>中共党员</v>
      </c>
      <c r="C3513" s="1" t="str">
        <f t="shared" si="1736"/>
        <v>本科</v>
      </c>
      <c r="D3513" s="1" t="str">
        <f>"20250701"</f>
        <v>20250701</v>
      </c>
      <c r="E3513" s="1" t="str">
        <f>"新乡工程学院"</f>
        <v>新乡工程学院</v>
      </c>
      <c r="F3513" s="1" t="str">
        <f>"汉语言文学（师范）"</f>
        <v>汉语言文学（师范）</v>
      </c>
      <c r="G3513" s="1" t="str">
        <f>"河南省南阳市西峡县回车镇黑虎庙村关后组"</f>
        <v>河南省南阳市西峡县回车镇黑虎庙村关后组</v>
      </c>
      <c r="H3513" s="1" t="str">
        <f>"秘书证"</f>
        <v>秘书证</v>
      </c>
      <c r="I3513" s="1" t="str">
        <f>"202109-202506 新乡工程学院文法学院汉语言文学（师范）专业就读，是全日制学历"</f>
        <v>202109-202506 新乡工程学院文法学院汉语言文学（师范）专业就读，是全日制学历</v>
      </c>
    </row>
    <row r="3514" spans="1:9">
      <c r="A3514" s="1" t="str">
        <f>"411327200209120020"</f>
        <v>411327200209120020</v>
      </c>
      <c r="B3514" s="1" t="str">
        <f t="shared" ref="B3514:B3519" si="1737">"共青团员"</f>
        <v>共青团员</v>
      </c>
      <c r="C3514" s="1" t="str">
        <f>"专科"</f>
        <v>专科</v>
      </c>
      <c r="D3514" s="1" t="str">
        <f>"20230607"</f>
        <v>20230607</v>
      </c>
      <c r="E3514" s="1" t="str">
        <f>"郑州财经学院"</f>
        <v>郑州财经学院</v>
      </c>
      <c r="F3514" s="1" t="str">
        <f>"视觉传播设计与制作"</f>
        <v>视觉传播设计与制作</v>
      </c>
      <c r="G3514" s="1" t="str">
        <f>"河南省内乡县范蠡大街16号"</f>
        <v>河南省内乡县范蠡大街16号</v>
      </c>
      <c r="H3514" s="1" t="str">
        <f t="shared" ref="H3514:H3516" si="1738">"无"</f>
        <v>无</v>
      </c>
      <c r="I3514" s="1" t="str">
        <f>"202009-202306 郑州财经学院 艺术学院就读 是全日制  202307至今内乡县公安局反诈中心就业"</f>
        <v>202009-202306 郑州财经学院 艺术学院就读 是全日制  202307至今内乡县公安局反诈中心就业</v>
      </c>
    </row>
    <row r="3515" spans="1:9">
      <c r="A3515" s="1" t="str">
        <f>"411326199411204816"</f>
        <v>411326199411204816</v>
      </c>
      <c r="B3515" s="1" t="str">
        <f t="shared" ref="B3515:B3518" si="1739">"群众"</f>
        <v>群众</v>
      </c>
      <c r="C3515" s="1" t="str">
        <f t="shared" ref="C3515:C3517" si="1740">"本科"</f>
        <v>本科</v>
      </c>
      <c r="D3515" s="1" t="str">
        <f>"20190701"</f>
        <v>20190701</v>
      </c>
      <c r="E3515" s="1" t="str">
        <f>"河南科技大学"</f>
        <v>河南科技大学</v>
      </c>
      <c r="F3515" s="1" t="str">
        <f>"机械设计制造及其自动化"</f>
        <v>机械设计制造及其自动化</v>
      </c>
      <c r="G3515" s="1" t="str">
        <f>"河南省南阳市南召县城郊乡人民路光明路口兴达小区"</f>
        <v>河南省南阳市南召县城郊乡人民路光明路口兴达小区</v>
      </c>
      <c r="H3515" s="1" t="str">
        <f t="shared" si="1738"/>
        <v>无</v>
      </c>
      <c r="I3515" s="1" t="str">
        <f>"201409-201907河南科技大学机电工程学院机械设计制造及其自动化专业就读201908-202310洛阳鸿元轴承职位工艺工程师202310-202402南阳防爆集团工艺工程师202402-202507在南阳待业"</f>
        <v>201409-201907河南科技大学机电工程学院机械设计制造及其自动化专业就读201908-202310洛阳鸿元轴承职位工艺工程师202310-202402南阳防爆集团工艺工程师202402-202507在南阳待业</v>
      </c>
    </row>
    <row r="3516" spans="1:9">
      <c r="A3516" s="1" t="str">
        <f>"411302200306210063"</f>
        <v>411302200306210063</v>
      </c>
      <c r="B3516" s="1" t="str">
        <f t="shared" si="1739"/>
        <v>群众</v>
      </c>
      <c r="C3516" s="1" t="str">
        <f t="shared" si="1740"/>
        <v>本科</v>
      </c>
      <c r="D3516" s="1" t="str">
        <f>"20250607"</f>
        <v>20250607</v>
      </c>
      <c r="E3516" s="1" t="str">
        <f>"信阳学院"</f>
        <v>信阳学院</v>
      </c>
      <c r="F3516" s="1" t="str">
        <f>"历史学"</f>
        <v>历史学</v>
      </c>
      <c r="G3516" s="1" t="str">
        <f>"河南省南阳市宛城区环城乡蔡庄村紫竹林"</f>
        <v>河南省南阳市宛城区环城乡蔡庄村紫竹林</v>
      </c>
      <c r="H3516" s="1" t="str">
        <f t="shared" si="1738"/>
        <v>无</v>
      </c>
      <c r="I3516" s="1" t="str">
        <f>"202109-202506信阳学院 就读"</f>
        <v>202109-202506信阳学院 就读</v>
      </c>
    </row>
    <row r="3517" spans="1:9">
      <c r="A3517" s="1" t="str">
        <f>"411326200102200024"</f>
        <v>411326200102200024</v>
      </c>
      <c r="B3517" s="1" t="str">
        <f t="shared" si="1737"/>
        <v>共青团员</v>
      </c>
      <c r="C3517" s="1" t="str">
        <f t="shared" si="1740"/>
        <v>本科</v>
      </c>
      <c r="D3517" s="1" t="str">
        <f>"20220701"</f>
        <v>20220701</v>
      </c>
      <c r="E3517" s="1" t="str">
        <f>"黄河交通学院"</f>
        <v>黄河交通学院</v>
      </c>
      <c r="F3517" s="1" t="str">
        <f>"电气工程及其自动化"</f>
        <v>电气工程及其自动化</v>
      </c>
      <c r="G3517" s="1" t="str">
        <f>"河南省南召县城关镇黄洋路"</f>
        <v>河南省南召县城关镇黄洋路</v>
      </c>
      <c r="H3517" s="1" t="str">
        <f>"高压电工证，高级电工证"</f>
        <v>高压电工证，高级电工证</v>
      </c>
      <c r="I3517" s="1" t="str">
        <f>"20180901-20220701  黄河交通学院就读，就读于机电工程学院电气工程及其自动化系，为全日制学历"</f>
        <v>20180901-20220701  黄河交通学院就读，就读于机电工程学院电气工程及其自动化系，为全日制学历</v>
      </c>
    </row>
    <row r="3518" spans="1:9">
      <c r="A3518" s="1" t="str">
        <f>"411327199211233723"</f>
        <v>411327199211233723</v>
      </c>
      <c r="B3518" s="1" t="str">
        <f t="shared" si="1739"/>
        <v>群众</v>
      </c>
      <c r="C3518" s="1" t="str">
        <f>"专科"</f>
        <v>专科</v>
      </c>
      <c r="D3518" s="1" t="str">
        <f>"20150701"</f>
        <v>20150701</v>
      </c>
      <c r="E3518" s="1" t="str">
        <f>"新乡学院"</f>
        <v>新乡学院</v>
      </c>
      <c r="F3518" s="1" t="str">
        <f>"物流管理"</f>
        <v>物流管理</v>
      </c>
      <c r="G3518" s="1" t="str">
        <f>"河南省南阳市内乡县"</f>
        <v>河南省南阳市内乡县</v>
      </c>
      <c r="H3518" s="1" t="str">
        <f>"普通话证、物流师证"</f>
        <v>普通话证、物流师证</v>
      </c>
      <c r="I3518" s="1" t="str">
        <f>"201209-20150701在新乡学院管理学院物流管理专业就读，是全日制学历，毕业后一直在内乡务工，从事电脑工作。"</f>
        <v>201209-20150701在新乡学院管理学院物流管理专业就读，是全日制学历，毕业后一直在内乡务工，从事电脑工作。</v>
      </c>
    </row>
    <row r="3519" spans="1:9">
      <c r="A3519" s="1" t="str">
        <f>"411725200205087242"</f>
        <v>411725200205087242</v>
      </c>
      <c r="B3519" s="1" t="str">
        <f t="shared" si="1737"/>
        <v>共青团员</v>
      </c>
      <c r="C3519" s="1" t="str">
        <f t="shared" ref="C3519:C3523" si="1741">"本科"</f>
        <v>本科</v>
      </c>
      <c r="D3519" s="1" t="str">
        <f>"20250701"</f>
        <v>20250701</v>
      </c>
      <c r="E3519" s="1" t="str">
        <f>"长治学院"</f>
        <v>长治学院</v>
      </c>
      <c r="F3519" s="1" t="str">
        <f>"旅游管理"</f>
        <v>旅游管理</v>
      </c>
      <c r="G3519" s="1" t="str">
        <f>"河南省驻马店市确山县中原大道蓝光雍锦汇小区"</f>
        <v>河南省驻马店市确山县中原大道蓝光雍锦汇小区</v>
      </c>
      <c r="H3519" s="1" t="str">
        <f t="shared" ref="H3519:H3529" si="1742">"无"</f>
        <v>无</v>
      </c>
      <c r="I3519" s="1" t="str">
        <f>"202009-202307  太原学院管理系市场营销专业就读      全日制
202309-202507  长治学院历史与旅游管理系旅游管理专业就读    全日制"</f>
        <v>202009-202307  太原学院管理系市场营销专业就读      全日制
202309-202507  长治学院历史与旅游管理系旅游管理专业就读    全日制</v>
      </c>
    </row>
    <row r="3520" spans="1:9">
      <c r="A3520" s="1" t="str">
        <f>"411327199609250064"</f>
        <v>411327199609250064</v>
      </c>
      <c r="B3520" s="1" t="str">
        <f t="shared" ref="B3520:B3522" si="1743">"群众"</f>
        <v>群众</v>
      </c>
      <c r="C3520" s="1" t="str">
        <f t="shared" si="1741"/>
        <v>本科</v>
      </c>
      <c r="D3520" s="1" t="str">
        <f>"2019-07-01"</f>
        <v>2019-07-01</v>
      </c>
      <c r="E3520" s="1" t="str">
        <f>"黄河科技学院"</f>
        <v>黄河科技学院</v>
      </c>
      <c r="F3520" s="1" t="str">
        <f>"会计学"</f>
        <v>会计学</v>
      </c>
      <c r="G3520" s="1" t="str">
        <f>"河南省内乡县城关镇清真寺村八组"</f>
        <v>河南省内乡县城关镇清真寺村八组</v>
      </c>
      <c r="H3520" s="1" t="str">
        <f t="shared" si="1742"/>
        <v>无</v>
      </c>
      <c r="I3520" s="1" t="str">
        <f>"20140901——20190701在黄河科技学院会计学就读，全日制学历
20190801——20191210就职于牧原食品股份有限公司
20191210——20201210在内乡待业
20201210——至今就职于河南内乡农村商业银行股份有限公司"</f>
        <v>20140901——20190701在黄河科技学院会计学就读，全日制学历
20190801——20191210就职于牧原食品股份有限公司
20191210——20201210在内乡待业
20201210——至今就职于河南内乡农村商业银行股份有限公司</v>
      </c>
    </row>
    <row r="3521" spans="1:9">
      <c r="A3521" s="1" t="str">
        <f>"411327199601081120"</f>
        <v>411327199601081120</v>
      </c>
      <c r="B3521" s="1" t="str">
        <f t="shared" si="1743"/>
        <v>群众</v>
      </c>
      <c r="C3521" s="1" t="str">
        <f t="shared" si="1741"/>
        <v>本科</v>
      </c>
      <c r="D3521" s="1" t="str">
        <f>"2017-11-30"</f>
        <v>2017-11-30</v>
      </c>
      <c r="E3521" s="1" t="str">
        <f>"山东英才学院"</f>
        <v>山东英才学院</v>
      </c>
      <c r="F3521" s="1" t="str">
        <f>"学前教育"</f>
        <v>学前教育</v>
      </c>
      <c r="G3521" s="1" t="str">
        <f>"建业森林半岛"</f>
        <v>建业森林半岛</v>
      </c>
      <c r="H3521" s="1" t="str">
        <f t="shared" si="1742"/>
        <v>无</v>
      </c>
      <c r="I3521" s="1" t="str">
        <f>"201408-201711 山东英才学院就读  非全日制学历 自考本科
201806-202106 上海育童小学实习工作
202109-至今内乡菊潭学校工作"</f>
        <v>201408-201711 山东英才学院就读  非全日制学历 自考本科
201806-202106 上海育童小学实习工作
202109-至今内乡菊潭学校工作</v>
      </c>
    </row>
    <row r="3522" spans="1:9">
      <c r="A3522" s="1" t="str">
        <f>"411327199710140644"</f>
        <v>411327199710140644</v>
      </c>
      <c r="B3522" s="1" t="str">
        <f t="shared" si="1743"/>
        <v>群众</v>
      </c>
      <c r="C3522" s="1" t="str">
        <f t="shared" si="1741"/>
        <v>本科</v>
      </c>
      <c r="D3522" s="1" t="str">
        <f>"20200701"</f>
        <v>20200701</v>
      </c>
      <c r="E3522" s="1" t="str">
        <f>"黄河科技学院"</f>
        <v>黄河科技学院</v>
      </c>
      <c r="F3522" s="1" t="str">
        <f>"英语"</f>
        <v>英语</v>
      </c>
      <c r="G3522" s="1" t="str">
        <f>"河南省内乡县马山口镇茨元村朱岗"</f>
        <v>河南省内乡县马山口镇茨元村朱岗</v>
      </c>
      <c r="H3522" s="1" t="str">
        <f t="shared" si="1742"/>
        <v>无</v>
      </c>
      <c r="I3522" s="1" t="str">
        <f>"201609-202007 黄河科技学院外国语学院英语专业 就读
202009-至今 内乡县湍东镇小学教师"</f>
        <v>201609-202007 黄河科技学院外国语学院英语专业 就读
202009-至今 内乡县湍东镇小学教师</v>
      </c>
    </row>
    <row r="3523" spans="1:9">
      <c r="A3523" s="1" t="str">
        <f>"411324199908172829"</f>
        <v>411324199908172829</v>
      </c>
      <c r="B3523" s="1" t="str">
        <f>"共青团员"</f>
        <v>共青团员</v>
      </c>
      <c r="C3523" s="1" t="str">
        <f t="shared" si="1741"/>
        <v>本科</v>
      </c>
      <c r="D3523" s="1" t="str">
        <f>"2023.07.01"</f>
        <v>2023.07.01</v>
      </c>
      <c r="E3523" s="1" t="str">
        <f>"河南农业大学"</f>
        <v>河南农业大学</v>
      </c>
      <c r="F3523" s="1" t="str">
        <f>"设施农业科学与工程"</f>
        <v>设施农业科学与工程</v>
      </c>
      <c r="G3523" s="1" t="str">
        <f>"河南省南阳市镇平县卢医镇何营村大何营16号"</f>
        <v>河南省南阳市镇平县卢医镇何营村大何营16号</v>
      </c>
      <c r="H3523" s="1" t="str">
        <f t="shared" si="1742"/>
        <v>无</v>
      </c>
      <c r="I3523" s="1" t="str">
        <f>"201909-202306 河南农业大学 园艺学院 设施农业科学与工程 就读 
是全日制本科
202306-至今 待业"</f>
        <v>201909-202306 河南农业大学 园艺学院 设施农业科学与工程 就读 
是全日制本科
202306-至今 待业</v>
      </c>
    </row>
    <row r="3524" spans="1:9">
      <c r="A3524" s="1" t="str">
        <f>"411327200402184528"</f>
        <v>411327200402184528</v>
      </c>
      <c r="B3524" s="1" t="str">
        <f t="shared" ref="B3524:B3530" si="1744">"群众"</f>
        <v>群众</v>
      </c>
      <c r="C3524" s="1" t="str">
        <f t="shared" ref="C3524:C3530" si="1745">"专科"</f>
        <v>专科</v>
      </c>
      <c r="D3524" s="1" t="str">
        <f>"20250701"</f>
        <v>20250701</v>
      </c>
      <c r="E3524" s="1" t="str">
        <f>"河南职业技术学院"</f>
        <v>河南职业技术学院</v>
      </c>
      <c r="F3524" s="1" t="str">
        <f>"大数据与会计"</f>
        <v>大数据与会计</v>
      </c>
      <c r="G3524" s="1" t="str">
        <f>"河南省南阳市内乡县书院村二巷一号"</f>
        <v>河南省南阳市内乡县书院村二巷一号</v>
      </c>
      <c r="H3524" s="1" t="str">
        <f t="shared" si="1742"/>
        <v>无</v>
      </c>
      <c r="I3524" s="1" t="str">
        <f>"202209-202507河南职业技术学院就读"</f>
        <v>202209-202507河南职业技术学院就读</v>
      </c>
    </row>
    <row r="3525" spans="1:9">
      <c r="A3525" s="1" t="str">
        <f>"412822199109021878"</f>
        <v>412822199109021878</v>
      </c>
      <c r="B3525" s="1" t="str">
        <f t="shared" si="1744"/>
        <v>群众</v>
      </c>
      <c r="C3525" s="1" t="str">
        <f t="shared" ref="C3525:C3528" si="1746">"本科"</f>
        <v>本科</v>
      </c>
      <c r="D3525" s="1" t="str">
        <f>"20130630"</f>
        <v>20130630</v>
      </c>
      <c r="E3525" s="1" t="str">
        <f>"中国石油大学（华东）"</f>
        <v>中国石油大学（华东）</v>
      </c>
      <c r="F3525" s="1" t="str">
        <f>"土木工程"</f>
        <v>土木工程</v>
      </c>
      <c r="G3525" s="1" t="str">
        <f>"河南省泌阳县文苑路弘盛国际"</f>
        <v>河南省泌阳县文苑路弘盛国际</v>
      </c>
      <c r="H3525" s="1" t="str">
        <f t="shared" si="1742"/>
        <v>无</v>
      </c>
      <c r="I3525" s="1" t="s">
        <v>266</v>
      </c>
    </row>
    <row r="3526" spans="1:9">
      <c r="A3526" s="1" t="str">
        <f>"411303199011134527"</f>
        <v>411303199011134527</v>
      </c>
      <c r="B3526" s="1" t="str">
        <f t="shared" si="1744"/>
        <v>群众</v>
      </c>
      <c r="C3526" s="1" t="str">
        <f t="shared" si="1745"/>
        <v>专科</v>
      </c>
      <c r="D3526" s="1" t="str">
        <f>"201207"</f>
        <v>201207</v>
      </c>
      <c r="E3526" s="1" t="str">
        <f>"洛阳理工学院"</f>
        <v>洛阳理工学院</v>
      </c>
      <c r="F3526" s="1" t="str">
        <f>"软件技术"</f>
        <v>软件技术</v>
      </c>
      <c r="G3526" s="1" t="str">
        <f>"河南省南阳市宛城区南新路龙源盛世小区"</f>
        <v>河南省南阳市宛城区南新路龙源盛世小区</v>
      </c>
      <c r="H3526" s="1" t="str">
        <f t="shared" si="1742"/>
        <v>无</v>
      </c>
      <c r="I3526" s="1" t="str">
        <f>"200909-201207  洛阳理工学院计算机系软件技术专业就读  全日制学历"</f>
        <v>200909-201207  洛阳理工学院计算机系软件技术专业就读  全日制学历</v>
      </c>
    </row>
    <row r="3527" spans="1:9">
      <c r="A3527" s="1" t="str">
        <f>"530428199011100027"</f>
        <v>530428199011100027</v>
      </c>
      <c r="B3527" s="1" t="str">
        <f t="shared" si="1744"/>
        <v>群众</v>
      </c>
      <c r="C3527" s="1" t="str">
        <f t="shared" si="1746"/>
        <v>本科</v>
      </c>
      <c r="D3527" s="1" t="str">
        <f>"2015-06-30"</f>
        <v>2015-06-30</v>
      </c>
      <c r="E3527" s="1" t="str">
        <f>"西南大学育才学院"</f>
        <v>西南大学育才学院</v>
      </c>
      <c r="F3527" s="1" t="str">
        <f>"汉语言文学"</f>
        <v>汉语言文学</v>
      </c>
      <c r="G3527" s="1" t="str">
        <f>"云南省玉溪市中金官营24栋502"</f>
        <v>云南省玉溪市中金官营24栋502</v>
      </c>
      <c r="H3527" s="1" t="str">
        <f t="shared" si="1742"/>
        <v>无</v>
      </c>
      <c r="I3527" s="1" t="str">
        <f>"2010年9月-2015年6月就读于西南大学育才学院（大学读了1年预科）
2015年6月-2016年6月待业
2016年7月-2022年4月就职中国移动国企员工
2022年5月-至今，辞职待业"</f>
        <v>2010年9月-2015年6月就读于西南大学育才学院（大学读了1年预科）
2015年6月-2016年6月待业
2016年7月-2022年4月就职中国移动国企员工
2022年5月-至今，辞职待业</v>
      </c>
    </row>
    <row r="3528" spans="1:9">
      <c r="A3528" s="1" t="str">
        <f>"411330199912152027"</f>
        <v>411330199912152027</v>
      </c>
      <c r="B3528" s="1" t="str">
        <f t="shared" si="1744"/>
        <v>群众</v>
      </c>
      <c r="C3528" s="1" t="str">
        <f t="shared" si="1746"/>
        <v>本科</v>
      </c>
      <c r="D3528" s="1" t="str">
        <f>"2022.07"</f>
        <v>2022.07</v>
      </c>
      <c r="E3528" s="1" t="str">
        <f>"中原工学院信息商务学院"</f>
        <v>中原工学院信息商务学院</v>
      </c>
      <c r="F3528" s="1" t="str">
        <f>"视觉传达设计"</f>
        <v>视觉传达设计</v>
      </c>
      <c r="G3528" s="1" t="str">
        <f>"河南省省南阳市西峡县五里桥镇白河村"</f>
        <v>河南省省南阳市西峡县五里桥镇白河村</v>
      </c>
      <c r="H3528" s="1" t="str">
        <f t="shared" si="1742"/>
        <v>无</v>
      </c>
      <c r="I3528" s="1" t="str">
        <f>"201509-201807 西峡县第二高级中学 就读
201809-202207 中原工学院信息商务学院 就读"</f>
        <v>201509-201807 西峡县第二高级中学 就读
201809-202207 中原工学院信息商务学院 就读</v>
      </c>
    </row>
    <row r="3529" spans="1:9">
      <c r="A3529" s="1" t="str">
        <f>"411324199611023857"</f>
        <v>411324199611023857</v>
      </c>
      <c r="B3529" s="1" t="str">
        <f t="shared" si="1744"/>
        <v>群众</v>
      </c>
      <c r="C3529" s="1" t="str">
        <f t="shared" si="1745"/>
        <v>专科</v>
      </c>
      <c r="D3529" s="1" t="str">
        <f>"20180701"</f>
        <v>20180701</v>
      </c>
      <c r="E3529" s="1" t="str">
        <f>"焦作大学"</f>
        <v>焦作大学</v>
      </c>
      <c r="F3529" s="1" t="str">
        <f>"经济管理"</f>
        <v>经济管理</v>
      </c>
      <c r="G3529" s="1" t="str">
        <f>"镇平县东关林语华庭南门"</f>
        <v>镇平县东关林语华庭南门</v>
      </c>
      <c r="H3529" s="1" t="str">
        <f t="shared" si="1742"/>
        <v>无</v>
      </c>
      <c r="I3529" s="1" t="str">
        <f>"201509-201807 焦作大学 经济管理专业 就读 全日制
201807-今 待业"</f>
        <v>201509-201807 焦作大学 经济管理专业 就读 全日制
201807-今 待业</v>
      </c>
    </row>
    <row r="3530" spans="1:9">
      <c r="A3530" s="1" t="str">
        <f>"411327200109221545"</f>
        <v>411327200109221545</v>
      </c>
      <c r="B3530" s="1" t="str">
        <f t="shared" si="1744"/>
        <v>群众</v>
      </c>
      <c r="C3530" s="1" t="str">
        <f t="shared" si="1745"/>
        <v>专科</v>
      </c>
      <c r="D3530" s="1" t="str">
        <f>"20190630"</f>
        <v>20190630</v>
      </c>
      <c r="E3530" s="1" t="str">
        <f>"南阳技师学院"</f>
        <v>南阳技师学院</v>
      </c>
      <c r="F3530" s="1" t="str">
        <f>"产品检测与质量控制"</f>
        <v>产品检测与质量控制</v>
      </c>
      <c r="G3530" s="1" t="str">
        <f>"河南省南阳市内乡县湍东镇"</f>
        <v>河南省南阳市内乡县湍东镇</v>
      </c>
      <c r="H3530" s="1" t="str">
        <f>"数控车床四级"</f>
        <v>数控车床四级</v>
      </c>
      <c r="I3530" s="1" t="str">
        <f>"201909–202206在南阳技师学院产品检测与质量控制专业高级工班全日制毕业"</f>
        <v>201909–202206在南阳技师学院产品检测与质量控制专业高级工班全日制毕业</v>
      </c>
    </row>
    <row r="3531" spans="1:9">
      <c r="A3531" s="1" t="str">
        <f>"410122200206129827"</f>
        <v>410122200206129827</v>
      </c>
      <c r="B3531" s="1" t="str">
        <f t="shared" ref="B3531:B3534" si="1747">"中共党员"</f>
        <v>中共党员</v>
      </c>
      <c r="C3531" s="1" t="str">
        <f t="shared" ref="C3531:C3543" si="1748">"本科"</f>
        <v>本科</v>
      </c>
      <c r="D3531" s="1" t="str">
        <f>"20250613"</f>
        <v>20250613</v>
      </c>
      <c r="E3531" s="1" t="str">
        <f>"河南工程学院"</f>
        <v>河南工程学院</v>
      </c>
      <c r="F3531" s="1" t="str">
        <f>"数据科学与大数据技术"</f>
        <v>数据科学与大数据技术</v>
      </c>
      <c r="G3531" s="1" t="str">
        <f>"河南省郑州市中牟县广惠街街道永茂小区"</f>
        <v>河南省郑州市中牟县广惠街街道永茂小区</v>
      </c>
      <c r="H3531" s="1" t="str">
        <f t="shared" ref="H3531:H3534" si="1749">"无"</f>
        <v>无</v>
      </c>
      <c r="I3531" s="1" t="str">
        <f>"202109-202306 河南工程学院力行书院计算机网络技术就读 是全日制学历；
202309-202506 河南工程学院软件学院数据科学与大数据技术就读 是全日制学历"</f>
        <v>202109-202306 河南工程学院力行书院计算机网络技术就读 是全日制学历；
202309-202506 河南工程学院软件学院数据科学与大数据技术就读 是全日制学历</v>
      </c>
    </row>
    <row r="3532" spans="1:9">
      <c r="A3532" s="1" t="str">
        <f>"410223199005055530"</f>
        <v>410223199005055530</v>
      </c>
      <c r="B3532" s="1" t="str">
        <f t="shared" si="1747"/>
        <v>中共党员</v>
      </c>
      <c r="C3532" s="1" t="str">
        <f t="shared" si="1748"/>
        <v>本科</v>
      </c>
      <c r="D3532" s="1" t="str">
        <f>"20140701"</f>
        <v>20140701</v>
      </c>
      <c r="E3532" s="1" t="str">
        <f>"商丘学院"</f>
        <v>商丘学院</v>
      </c>
      <c r="F3532" s="1" t="str">
        <f>"经济学"</f>
        <v>经济学</v>
      </c>
      <c r="G3532" s="1" t="str">
        <f>"河南省开封市尉氏县永兴镇"</f>
        <v>河南省开封市尉氏县永兴镇</v>
      </c>
      <c r="H3532" s="1" t="str">
        <f>"高级电工证"</f>
        <v>高级电工证</v>
      </c>
      <c r="I3532" s="1" t="str">
        <f>"201009-201407在商丘学院商学院就读经济学专业，是全日制学历"</f>
        <v>201009-201407在商丘学院商学院就读经济学专业，是全日制学历</v>
      </c>
    </row>
    <row r="3533" spans="1:9">
      <c r="A3533" s="1" t="str">
        <f>"411521200309230916"</f>
        <v>411521200309230916</v>
      </c>
      <c r="B3533" s="1" t="str">
        <f>"群众"</f>
        <v>群众</v>
      </c>
      <c r="C3533" s="1" t="str">
        <f t="shared" si="1748"/>
        <v>本科</v>
      </c>
      <c r="D3533" s="1" t="str">
        <f>"20250607"</f>
        <v>20250607</v>
      </c>
      <c r="E3533" s="1" t="str">
        <f>"中原工学院"</f>
        <v>中原工学院</v>
      </c>
      <c r="F3533" s="1" t="str">
        <f>"数学与应用数学"</f>
        <v>数学与应用数学</v>
      </c>
      <c r="G3533" s="1" t="str">
        <f>"河南省信阳市罗山县金城博雅"</f>
        <v>河南省信阳市罗山县金城博雅</v>
      </c>
      <c r="H3533" s="1" t="str">
        <f t="shared" si="1749"/>
        <v>无</v>
      </c>
      <c r="I3533" s="1" t="str">
        <f>"202109-202506于中原工学院数学与信息科学学院数学与应用数学就读全日制本科"</f>
        <v>202109-202506于中原工学院数学与信息科学学院数学与应用数学就读全日制本科</v>
      </c>
    </row>
    <row r="3534" spans="1:9">
      <c r="A3534" s="1" t="str">
        <f>"41282219980919186X"</f>
        <v>41282219980919186X</v>
      </c>
      <c r="B3534" s="1" t="str">
        <f t="shared" si="1747"/>
        <v>中共党员</v>
      </c>
      <c r="C3534" s="1" t="str">
        <f t="shared" si="1748"/>
        <v>本科</v>
      </c>
      <c r="D3534" s="1" t="str">
        <f>"20220701"</f>
        <v>20220701</v>
      </c>
      <c r="E3534" s="1" t="str">
        <f>"商丘学院"</f>
        <v>商丘学院</v>
      </c>
      <c r="F3534" s="1" t="str">
        <f>"学前教育（师范）"</f>
        <v>学前教育（师范）</v>
      </c>
      <c r="G3534" s="1" t="str">
        <f>"河南省驻马店市泌阳县陈营居委新村道"</f>
        <v>河南省驻马店市泌阳县陈营居委新村道</v>
      </c>
      <c r="H3534" s="1" t="str">
        <f t="shared" si="1749"/>
        <v>无</v>
      </c>
      <c r="I3534" s="1" t="str">
        <f>"201809-202207商丘学院 应用科技学院 学前教育（师范）专业就读。
全日制学历。"</f>
        <v>201809-202207商丘学院 应用科技学院 学前教育（师范）专业就读。
全日制学历。</v>
      </c>
    </row>
    <row r="3535" spans="1:9">
      <c r="A3535" s="1" t="str">
        <f>"411330200002125121"</f>
        <v>411330200002125121</v>
      </c>
      <c r="B3535" s="1" t="str">
        <f t="shared" ref="B3535:B3538" si="1750">"共青团员"</f>
        <v>共青团员</v>
      </c>
      <c r="C3535" s="1" t="str">
        <f t="shared" si="1748"/>
        <v>本科</v>
      </c>
      <c r="D3535" s="1" t="str">
        <f>"20220701"</f>
        <v>20220701</v>
      </c>
      <c r="E3535" s="1" t="str">
        <f>"安阳工学院"</f>
        <v>安阳工学院</v>
      </c>
      <c r="F3535" s="1" t="str">
        <f>"财务管理"</f>
        <v>财务管理</v>
      </c>
      <c r="G3535" s="1" t="str">
        <f>"河南省南阳市西峡县双龙镇小集村"</f>
        <v>河南省南阳市西峡县双龙镇小集村</v>
      </c>
      <c r="H3535" s="1" t="str">
        <f>"初级会计专业技术资格证书"</f>
        <v>初级会计专业技术资格证书</v>
      </c>
      <c r="I3535" s="1" t="str">
        <f>"201809-202207在安阳工学院 会计学院 财务管理专业就读 全日制大学本科学历
202207-202404在南阳市西峡县待业
202404-202408在郑州亿帅机械设备有限公司在职会计
202408-至今在南阳市西峡县待业"</f>
        <v>201809-202207在安阳工学院 会计学院 财务管理专业就读 全日制大学本科学历
202207-202404在南阳市西峡县待业
202404-202408在郑州亿帅机械设备有限公司在职会计
202408-至今在南阳市西峡县待业</v>
      </c>
    </row>
    <row r="3536" spans="1:9">
      <c r="A3536" s="1" t="str">
        <f>"411327200206060026"</f>
        <v>411327200206060026</v>
      </c>
      <c r="B3536" s="1" t="str">
        <f t="shared" si="1750"/>
        <v>共青团员</v>
      </c>
      <c r="C3536" s="1" t="str">
        <f t="shared" si="1748"/>
        <v>本科</v>
      </c>
      <c r="D3536" s="1" t="str">
        <f>"20240614"</f>
        <v>20240614</v>
      </c>
      <c r="E3536" s="1" t="str">
        <f>"商丘工学院"</f>
        <v>商丘工学院</v>
      </c>
      <c r="F3536" s="1" t="str">
        <f>"数据科学与大数据技术专业"</f>
        <v>数据科学与大数据技术专业</v>
      </c>
      <c r="G3536" s="1" t="str">
        <f>"河南省南阳市内乡县"</f>
        <v>河南省南阳市内乡县</v>
      </c>
      <c r="H3536" s="1" t="str">
        <f>"程序员三级证"</f>
        <v>程序员三级证</v>
      </c>
      <c r="I3536" s="1" t="str">
        <f>"202010-202406于商丘工学院就读，信息技术工程学院数据科学与大数据技术专业，是全日制。"</f>
        <v>202010-202406于商丘工学院就读，信息技术工程学院数据科学与大数据技术专业，是全日制。</v>
      </c>
    </row>
    <row r="3537" spans="1:9">
      <c r="A3537" s="1" t="str">
        <f>"410102200201020050"</f>
        <v>410102200201020050</v>
      </c>
      <c r="B3537" s="1" t="str">
        <f t="shared" si="1750"/>
        <v>共青团员</v>
      </c>
      <c r="C3537" s="1" t="str">
        <f t="shared" si="1748"/>
        <v>本科</v>
      </c>
      <c r="D3537" s="1" t="str">
        <f>"20240701"</f>
        <v>20240701</v>
      </c>
      <c r="E3537" s="1" t="str">
        <f>"郑州工程技术学院"</f>
        <v>郑州工程技术学院</v>
      </c>
      <c r="F3537" s="1" t="str">
        <f>"酒店管理"</f>
        <v>酒店管理</v>
      </c>
      <c r="G3537" s="1" t="str">
        <f>"河南省郑州市高新区关庄文苑"</f>
        <v>河南省郑州市高新区关庄文苑</v>
      </c>
      <c r="H3537" s="1" t="str">
        <f t="shared" ref="H3537:H3549" si="1751">"无"</f>
        <v>无</v>
      </c>
      <c r="I3537" s="1" t="str">
        <f>"202009-202407在郑州工程技术学院管理学院酒店管理专业就读，全日制本科学历"</f>
        <v>202009-202407在郑州工程技术学院管理学院酒店管理专业就读，全日制本科学历</v>
      </c>
    </row>
    <row r="3538" spans="1:9">
      <c r="A3538" s="1" t="str">
        <f>"411327200207164943"</f>
        <v>411327200207164943</v>
      </c>
      <c r="B3538" s="1" t="str">
        <f t="shared" si="1750"/>
        <v>共青团员</v>
      </c>
      <c r="C3538" s="1" t="str">
        <f t="shared" si="1748"/>
        <v>本科</v>
      </c>
      <c r="D3538" s="1" t="str">
        <f>"20250630"</f>
        <v>20250630</v>
      </c>
      <c r="E3538" s="1" t="str">
        <f>"华北水利水电大学"</f>
        <v>华北水利水电大学</v>
      </c>
      <c r="F3538" s="1" t="str">
        <f>"英语"</f>
        <v>英语</v>
      </c>
      <c r="G3538" s="1" t="str">
        <f>"河南省南阳市内乡县灌涨镇街南中130号"</f>
        <v>河南省南阳市内乡县灌涨镇街南中130号</v>
      </c>
      <c r="H3538" s="1" t="str">
        <f>"客服三级证"</f>
        <v>客服三级证</v>
      </c>
      <c r="I3538" s="1" t="str">
        <f>"202009-202306 开封大学外国语学院应用英语专业 全日制
202309-202506 华北水利水电大学英语专业   全日制"</f>
        <v>202009-202306 开封大学外国语学院应用英语专业 全日制
202309-202506 华北水利水电大学英语专业   全日制</v>
      </c>
    </row>
    <row r="3539" spans="1:9">
      <c r="A3539" s="1" t="str">
        <f>"411328199706246776"</f>
        <v>411328199706246776</v>
      </c>
      <c r="B3539" s="1" t="str">
        <f t="shared" ref="B3539:B3544" si="1752">"群众"</f>
        <v>群众</v>
      </c>
      <c r="C3539" s="1" t="str">
        <f t="shared" si="1748"/>
        <v>本科</v>
      </c>
      <c r="D3539" s="1" t="str">
        <f>"20190619"</f>
        <v>20190619</v>
      </c>
      <c r="E3539" s="1" t="str">
        <f>"长安大学"</f>
        <v>长安大学</v>
      </c>
      <c r="F3539" s="1" t="str">
        <f>"机械电子工程"</f>
        <v>机械电子工程</v>
      </c>
      <c r="G3539" s="1" t="str">
        <f>"河南省新野县王庄镇玉皇庙村"</f>
        <v>河南省新野县王庄镇玉皇庙村</v>
      </c>
      <c r="H3539" s="1" t="str">
        <f t="shared" si="1751"/>
        <v>无</v>
      </c>
      <c r="I3539" s="1" t="str">
        <f>"201508-201906 长安大学工程机械学院机械电子工程专业就读，全日制
201906-201908 在家待业
201908-202504 上海远方基础工程有限公司 工作
202505至今  在家待业"</f>
        <v>201508-201906 长安大学工程机械学院机械电子工程专业就读，全日制
201906-201908 在家待业
201908-202504 上海远方基础工程有限公司 工作
202505至今  在家待业</v>
      </c>
    </row>
    <row r="3540" spans="1:9">
      <c r="A3540" s="1" t="str">
        <f>"410527200012010047"</f>
        <v>410527200012010047</v>
      </c>
      <c r="B3540" s="1" t="str">
        <f>"共青团员"</f>
        <v>共青团员</v>
      </c>
      <c r="C3540" s="1" t="str">
        <f t="shared" si="1748"/>
        <v>本科</v>
      </c>
      <c r="D3540" s="1" t="str">
        <f>"20220701"</f>
        <v>20220701</v>
      </c>
      <c r="E3540" s="1" t="str">
        <f>"郑州商学院"</f>
        <v>郑州商学院</v>
      </c>
      <c r="F3540" s="1" t="str">
        <f>"会计学"</f>
        <v>会计学</v>
      </c>
      <c r="G3540" s="1" t="str">
        <f>"河南省安阳市内黄县德馨园南区9号楼2单元501"</f>
        <v>河南省安阳市内黄县德馨园南区9号楼2单元501</v>
      </c>
      <c r="H3540" s="1" t="str">
        <f t="shared" si="1751"/>
        <v>无</v>
      </c>
      <c r="I3540" s="1" t="str">
        <f>"2018年9月至2022年6月，就读于郑州商学院会计学院会计学专业，大学本科全日制学历；2022年7月至今在家待业
"</f>
        <v>2018年9月至2022年6月，就读于郑州商学院会计学院会计学专业，大学本科全日制学历；2022年7月至今在家待业
</v>
      </c>
    </row>
    <row r="3541" spans="1:9">
      <c r="A3541" s="1" t="str">
        <f>"411327199909140027"</f>
        <v>411327199909140027</v>
      </c>
      <c r="B3541" s="1" t="str">
        <f t="shared" si="1752"/>
        <v>群众</v>
      </c>
      <c r="C3541" s="1" t="str">
        <f t="shared" si="1748"/>
        <v>本科</v>
      </c>
      <c r="D3541" s="1" t="str">
        <f>"20210701"</f>
        <v>20210701</v>
      </c>
      <c r="E3541" s="1" t="str">
        <f>"河南科技学院"</f>
        <v>河南科技学院</v>
      </c>
      <c r="F3541" s="1" t="str">
        <f>"音乐学"</f>
        <v>音乐学</v>
      </c>
      <c r="G3541" s="1" t="str">
        <f>"内乡县新民路41巷"</f>
        <v>内乡县新民路41巷</v>
      </c>
      <c r="H3541" s="1" t="str">
        <f t="shared" si="1751"/>
        <v>无</v>
      </c>
      <c r="I3541" s="1" t="str">
        <f>"201709-202107 河南科技学院音乐学专业就读  是全日制学历
202108-202501 待业
202501-至今 内乡县自来水公司"</f>
        <v>201709-202107 河南科技学院音乐学专业就读  是全日制学历
202108-202501 待业
202501-至今 内乡县自来水公司</v>
      </c>
    </row>
    <row r="3542" spans="1:9">
      <c r="A3542" s="1" t="str">
        <f>"411326199601163613"</f>
        <v>411326199601163613</v>
      </c>
      <c r="B3542" s="1" t="str">
        <f>"中共党员"</f>
        <v>中共党员</v>
      </c>
      <c r="C3542" s="1" t="str">
        <f t="shared" si="1748"/>
        <v>本科</v>
      </c>
      <c r="D3542" s="1" t="str">
        <f>"20210709"</f>
        <v>20210709</v>
      </c>
      <c r="E3542" s="1" t="str">
        <f>"西安工业大学"</f>
        <v>西安工业大学</v>
      </c>
      <c r="F3542" s="1" t="str">
        <f>"土门工程"</f>
        <v>土门工程</v>
      </c>
      <c r="G3542" s="1" t="str">
        <f>"南召县城郊乡南召碧桂园小区2号楼1304号"</f>
        <v>南召县城郊乡南召碧桂园小区2号楼1304号</v>
      </c>
      <c r="H3542" s="1" t="str">
        <f t="shared" si="1751"/>
        <v>无</v>
      </c>
      <c r="I3542" s="1" t="str">
        <f>"20110901-201406020 南阳建筑工程学校 就读 建筑工程技术  中专全日制 
20140301-20160701 南阳理工学院 建筑工程技术  大专非全日制
20140601-20160815 南召和顺科技产业园有限公司 就业
20160901-20200429 中信国安河南置业有限公司 就业  
20190311-20210709西安工业大学 土木工程 本科非全日制
20200501-至今 南召牧原农牧有限公司 就业"</f>
        <v>20110901-201406020 南阳建筑工程学校 就读 建筑工程技术  中专全日制 
20140301-20160701 南阳理工学院 建筑工程技术  大专非全日制
20140601-20160815 南召和顺科技产业园有限公司 就业
20160901-20200429 中信国安河南置业有限公司 就业  
20190311-20210709西安工业大学 土木工程 本科非全日制
20200501-至今 南召牧原农牧有限公司 就业</v>
      </c>
    </row>
    <row r="3543" spans="1:9">
      <c r="A3543" s="1" t="str">
        <f>"410521199910104527"</f>
        <v>410521199910104527</v>
      </c>
      <c r="B3543" s="1" t="str">
        <f>"共青团员"</f>
        <v>共青团员</v>
      </c>
      <c r="C3543" s="1" t="str">
        <f t="shared" si="1748"/>
        <v>本科</v>
      </c>
      <c r="D3543" s="1" t="str">
        <f>"20230701"</f>
        <v>20230701</v>
      </c>
      <c r="E3543" s="1" t="str">
        <f>"郑州航空工业管理学院"</f>
        <v>郑州航空工业管理学院</v>
      </c>
      <c r="F3543" s="1" t="str">
        <f>"市场营销"</f>
        <v>市场营销</v>
      </c>
      <c r="G3543" s="1" t="str">
        <f>"河南省安阳市林州市东姚镇"</f>
        <v>河南省安阳市林州市东姚镇</v>
      </c>
      <c r="H3543" s="1" t="str">
        <f t="shared" si="1751"/>
        <v>无</v>
      </c>
      <c r="I3543" s="1" t="str">
        <f>"201809-202107  在河南科技学院高等职业技术学院电子商务专业就读，全日制学历
202109-202307  在郑州航空工业管理学院商学院市场营销专业就读，全日制学历
202307-至今  河南省安阳市林州市待业"</f>
        <v>201809-202107  在河南科技学院高等职业技术学院电子商务专业就读，全日制学历
202109-202307  在郑州航空工业管理学院商学院市场营销专业就读，全日制学历
202307-至今  河南省安阳市林州市待业</v>
      </c>
    </row>
    <row r="3544" spans="1:9">
      <c r="A3544" s="1" t="str">
        <f>"411327200202020625"</f>
        <v>411327200202020625</v>
      </c>
      <c r="B3544" s="1" t="str">
        <f t="shared" si="1752"/>
        <v>群众</v>
      </c>
      <c r="C3544" s="1" t="str">
        <f>"专科"</f>
        <v>专科</v>
      </c>
      <c r="D3544" s="1" t="str">
        <f>"2022-07-01"</f>
        <v>2022-07-01</v>
      </c>
      <c r="E3544" s="1" t="str">
        <f>"济源职业技术学院"</f>
        <v>济源职业技术学院</v>
      </c>
      <c r="F3544" s="1" t="str">
        <f>"学前教育"</f>
        <v>学前教育</v>
      </c>
      <c r="G3544" s="1" t="str">
        <f>"河南省内乡县"</f>
        <v>河南省内乡县</v>
      </c>
      <c r="H3544" s="1" t="str">
        <f t="shared" si="1751"/>
        <v>无</v>
      </c>
      <c r="I3544" s="1" t="str">
        <f>"201909-202207济源职业技术学院 学前教育 是全日制
202207-202210待业
202210-今 牧原食品股份有限公司
"</f>
        <v>201909-202207济源职业技术学院 学前教育 是全日制
202207-202210待业
202210-今 牧原食品股份有限公司
</v>
      </c>
    </row>
    <row r="3545" spans="1:9">
      <c r="A3545" s="1" t="str">
        <f>"410322200006190042"</f>
        <v>410322200006190042</v>
      </c>
      <c r="B3545" s="1" t="str">
        <f>"中共党员"</f>
        <v>中共党员</v>
      </c>
      <c r="C3545" s="1" t="str">
        <f t="shared" ref="C3545:C3547" si="1753">"本科"</f>
        <v>本科</v>
      </c>
      <c r="D3545" s="1" t="str">
        <f>"20230701"</f>
        <v>20230701</v>
      </c>
      <c r="E3545" s="1" t="str">
        <f>"商丘师范学院"</f>
        <v>商丘师范学院</v>
      </c>
      <c r="F3545" s="1" t="str">
        <f>"汉语言文学"</f>
        <v>汉语言文学</v>
      </c>
      <c r="G3545" s="1" t="str">
        <f>"河南省洛阳市孟津区城关镇永龙华府"</f>
        <v>河南省洛阳市孟津区城关镇永龙华府</v>
      </c>
      <c r="H3545" s="1" t="str">
        <f t="shared" si="1751"/>
        <v>无</v>
      </c>
      <c r="I3545" s="1" t="str">
        <f>"201909-202307在商丘师范学院人文学院汉语言文学专业就读  是全日制学历
202307至今待业"</f>
        <v>201909-202307在商丘师范学院人文学院汉语言文学专业就读  是全日制学历
202307至今待业</v>
      </c>
    </row>
    <row r="3546" spans="1:9">
      <c r="A3546" s="1" t="str">
        <f>"411327199809200010"</f>
        <v>411327199809200010</v>
      </c>
      <c r="B3546" s="1" t="str">
        <f>"共青团员"</f>
        <v>共青团员</v>
      </c>
      <c r="C3546" s="1" t="str">
        <f t="shared" si="1753"/>
        <v>本科</v>
      </c>
      <c r="D3546" s="1" t="str">
        <f>"20210701"</f>
        <v>20210701</v>
      </c>
      <c r="E3546" s="1" t="str">
        <f>"河南财经政法大学"</f>
        <v>河南财经政法大学</v>
      </c>
      <c r="F3546" s="1" t="str">
        <f>"经济统计学"</f>
        <v>经济统计学</v>
      </c>
      <c r="G3546" s="1" t="str">
        <f>"河南省南阳市内乡县城关镇宏达北路八巷22号"</f>
        <v>河南省南阳市内乡县城关镇宏达北路八巷22号</v>
      </c>
      <c r="H3546" s="1" t="str">
        <f t="shared" si="1751"/>
        <v>无</v>
      </c>
      <c r="I3546" s="1" t="str">
        <f>"201709-202106，在河南财经政法大学统计学院经济统计学专业就读，为全日制本科。"</f>
        <v>201709-202106，在河南财经政法大学统计学院经济统计学专业就读，为全日制本科。</v>
      </c>
    </row>
    <row r="3547" spans="1:9">
      <c r="A3547" s="1" t="str">
        <f>"411221199712274511"</f>
        <v>411221199712274511</v>
      </c>
      <c r="B3547" s="1" t="str">
        <f t="shared" ref="B3547:B3552" si="1754">"群众"</f>
        <v>群众</v>
      </c>
      <c r="C3547" s="1" t="str">
        <f t="shared" si="1753"/>
        <v>本科</v>
      </c>
      <c r="D3547" s="1" t="str">
        <f>"20220701"</f>
        <v>20220701</v>
      </c>
      <c r="E3547" s="1" t="str">
        <f>"商丘师范学院"</f>
        <v>商丘师范学院</v>
      </c>
      <c r="F3547" s="1" t="str">
        <f>"土木工程"</f>
        <v>土木工程</v>
      </c>
      <c r="G3547" s="1" t="str">
        <f>"河南省三门峡市渑池县果园乡杜寺村六组一号"</f>
        <v>河南省三门峡市渑池县果园乡杜寺村六组一号</v>
      </c>
      <c r="H3547" s="1" t="str">
        <f t="shared" si="1751"/>
        <v>无</v>
      </c>
      <c r="I3547" s="1" t="str">
        <f>"201709-202007 郑州铁路职业技术学院   高速铁路工程技术
202009-202207 商丘师范学院  土木工程"</f>
        <v>201709-202007 郑州铁路职业技术学院   高速铁路工程技术
202009-202207 商丘师范学院  土木工程</v>
      </c>
    </row>
    <row r="3548" spans="1:9">
      <c r="A3548" s="1" t="str">
        <f>"411327199905224522"</f>
        <v>411327199905224522</v>
      </c>
      <c r="B3548" s="1" t="str">
        <f t="shared" si="1754"/>
        <v>群众</v>
      </c>
      <c r="C3548" s="1" t="str">
        <f>"硕士研究生"</f>
        <v>硕士研究生</v>
      </c>
      <c r="D3548" s="1" t="str">
        <f>"20240701"</f>
        <v>20240701</v>
      </c>
      <c r="E3548" s="1" t="str">
        <f>"西藏民族大学"</f>
        <v>西藏民族大学</v>
      </c>
      <c r="F3548" s="1" t="str">
        <f>"马克思主义中国化研究"</f>
        <v>马克思主义中国化研究</v>
      </c>
      <c r="G3548" s="1" t="str">
        <f>"河南省南阳市内乡县赵店乡花洼村房北8号"</f>
        <v>河南省南阳市内乡县赵店乡花洼村房北8号</v>
      </c>
      <c r="H3548" s="1" t="str">
        <f t="shared" si="1751"/>
        <v>无</v>
      </c>
      <c r="I3548" s="1" t="str">
        <f>"201709-202106 四川旅游学院烹饪学院烹饪与营养教育专业就读 全日制学历；
202109-202407 西藏民族大学马克思主义学院马克思主义中国化研究专业就读 全日制学历。"</f>
        <v>201709-202106 四川旅游学院烹饪学院烹饪与营养教育专业就读 全日制学历；
202109-202407 西藏民族大学马克思主义学院马克思主义中国化研究专业就读 全日制学历。</v>
      </c>
    </row>
    <row r="3549" spans="1:9">
      <c r="A3549" s="1" t="str">
        <f>"371326199810070023"</f>
        <v>371326199810070023</v>
      </c>
      <c r="B3549" s="1" t="str">
        <f>"中共党员"</f>
        <v>中共党员</v>
      </c>
      <c r="C3549" s="1" t="str">
        <f t="shared" ref="C3549:C3555" si="1755">"本科"</f>
        <v>本科</v>
      </c>
      <c r="D3549" s="1" t="str">
        <f>"2020-07-01"</f>
        <v>2020-07-01</v>
      </c>
      <c r="E3549" s="1" t="str">
        <f>"河南城建学院"</f>
        <v>河南城建学院</v>
      </c>
      <c r="F3549" s="1" t="str">
        <f>"法学"</f>
        <v>法学</v>
      </c>
      <c r="G3549" s="1" t="str">
        <f>"山东省临沂市平邑县浚河路金盾家园3号楼一单元"</f>
        <v>山东省临沂市平邑县浚河路金盾家园3号楼一单元</v>
      </c>
      <c r="H3549" s="1" t="str">
        <f t="shared" si="1751"/>
        <v>无</v>
      </c>
      <c r="I3549" s="1" t="str">
        <f>"201609-202007 河南城建学院法学院法学专业就读；
202007-至今 待业"</f>
        <v>201609-202007 河南城建学院法学院法学专业就读；
202007-至今 待业</v>
      </c>
    </row>
    <row r="3550" spans="1:9">
      <c r="A3550" s="1" t="str">
        <f>"411327200107243927"</f>
        <v>411327200107243927</v>
      </c>
      <c r="B3550" s="1" t="str">
        <f t="shared" ref="B3550:B3554" si="1756">"共青团员"</f>
        <v>共青团员</v>
      </c>
      <c r="C3550" s="1" t="str">
        <f t="shared" si="1755"/>
        <v>本科</v>
      </c>
      <c r="D3550" s="1" t="str">
        <f>"20240607"</f>
        <v>20240607</v>
      </c>
      <c r="E3550" s="1" t="str">
        <f>"上海师范大学天华学院"</f>
        <v>上海师范大学天华学院</v>
      </c>
      <c r="F3550" s="1" t="str">
        <f>"计算机科学与技术"</f>
        <v>计算机科学与技术</v>
      </c>
      <c r="G3550" s="1" t="str">
        <f>"河南省南阳市内乡县乍曲镇魏营村"</f>
        <v>河南省南阳市内乡县乍曲镇魏营村</v>
      </c>
      <c r="H3550" s="1" t="str">
        <f>"上海市计算机二级"</f>
        <v>上海市计算机二级</v>
      </c>
      <c r="I3550" s="1" t="str">
        <f>"202009-202406 上海师范大学天华学院 就读"</f>
        <v>202009-202406 上海师范大学天华学院 就读</v>
      </c>
    </row>
    <row r="3551" spans="1:9">
      <c r="A3551" s="1" t="str">
        <f>"411303199707120043"</f>
        <v>411303199707120043</v>
      </c>
      <c r="B3551" s="1" t="str">
        <f>"中共预备党员"</f>
        <v>中共预备党员</v>
      </c>
      <c r="C3551" s="1" t="str">
        <f>"硕士研究生"</f>
        <v>硕士研究生</v>
      </c>
      <c r="D3551" s="1" t="str">
        <f>"20221130"</f>
        <v>20221130</v>
      </c>
      <c r="E3551" s="1" t="str">
        <f>"英国格拉斯哥大学"</f>
        <v>英国格拉斯哥大学</v>
      </c>
      <c r="F3551" s="1" t="str">
        <f>"金融学（投资银行与金融）"</f>
        <v>金融学（投资银行与金融）</v>
      </c>
      <c r="G3551" s="1" t="str">
        <f>"河南省南阳市卧龙区宇信山水和院"</f>
        <v>河南省南阳市卧龙区宇信山水和院</v>
      </c>
      <c r="H3551" s="1" t="str">
        <f t="shared" ref="H3551:H3559" si="1757">"无"</f>
        <v>无</v>
      </c>
      <c r="I3551" s="1" t="str">
        <f>"201509-201907 华南理工大学广州学院、经济学院国际经济与贸易专业，全日制学历。
201909-202211 英国格拉斯哥大学、亚当斯密商学院金融学（投资银行与金融）专业，全日制学历。
202212-202308 南阳待业。
202309-202402 南阳环宇电器有限公司。
202403-至今 南阳待业。"</f>
        <v>201509-201907 华南理工大学广州学院、经济学院国际经济与贸易专业，全日制学历。
201909-202211 英国格拉斯哥大学、亚当斯密商学院金融学（投资银行与金融）专业，全日制学历。
202212-202308 南阳待业。
202309-202402 南阳环宇电器有限公司。
202403-至今 南阳待业。</v>
      </c>
    </row>
    <row r="3552" spans="1:9">
      <c r="A3552" s="1" t="str">
        <f>"422822200009060017"</f>
        <v>422822200009060017</v>
      </c>
      <c r="B3552" s="1" t="str">
        <f t="shared" si="1754"/>
        <v>群众</v>
      </c>
      <c r="C3552" s="1" t="str">
        <f t="shared" ref="C3552:C3556" si="1758">"专科"</f>
        <v>专科</v>
      </c>
      <c r="D3552" s="1" t="str">
        <f>"2024-06-30"</f>
        <v>2024-06-30</v>
      </c>
      <c r="E3552" s="1" t="str">
        <f>"湖北交通职业技术学院"</f>
        <v>湖北交通职业技术学院</v>
      </c>
      <c r="F3552" s="1" t="str">
        <f>"航海技术"</f>
        <v>航海技术</v>
      </c>
      <c r="G3552" s="1" t="str">
        <f>"湖北省建始县业州镇红土坪8组138号"</f>
        <v>湖北省建始县业州镇红土坪8组138号</v>
      </c>
      <c r="H3552" s="1" t="str">
        <f t="shared" si="1757"/>
        <v>无</v>
      </c>
      <c r="I3552" s="1" t="str">
        <f>"201709-202006 建始县第一高中 就读
202010-202406  湖北交通职业技术学院 就读"</f>
        <v>201709-202006 建始县第一高中 就读
202010-202406  湖北交通职业技术学院 就读</v>
      </c>
    </row>
    <row r="3553" spans="1:9">
      <c r="A3553" s="1" t="str">
        <f>"411381200310161220"</f>
        <v>411381200310161220</v>
      </c>
      <c r="B3553" s="1" t="str">
        <f t="shared" si="1756"/>
        <v>共青团员</v>
      </c>
      <c r="C3553" s="1" t="str">
        <f t="shared" si="1758"/>
        <v>专科</v>
      </c>
      <c r="D3553" s="1" t="str">
        <f>"20250607"</f>
        <v>20250607</v>
      </c>
      <c r="E3553" s="1" t="str">
        <f>"驻马店幼儿师范高等专科学校"</f>
        <v>驻马店幼儿师范高等专科学校</v>
      </c>
      <c r="F3553" s="1" t="str">
        <f>"学前教育"</f>
        <v>学前教育</v>
      </c>
      <c r="G3553" s="1" t="str">
        <f>"河南省南阳市邓州市花洲街道办事处小东关丁家营b区"</f>
        <v>河南省南阳市邓州市花洲街道办事处小东关丁家营b区</v>
      </c>
      <c r="H3553" s="1" t="str">
        <f t="shared" si="1757"/>
        <v>无</v>
      </c>
      <c r="I3553" s="1" t="str">
        <f>"202209-202506 于 驻马店幼儿师范高等专科学校 学前教育专业就读 全日制"</f>
        <v>202209-202506 于 驻马店幼儿师范高等专科学校 学前教育专业就读 全日制</v>
      </c>
    </row>
    <row r="3554" spans="1:9">
      <c r="A3554" s="1" t="str">
        <f>"411330200204271522"</f>
        <v>411330200204271522</v>
      </c>
      <c r="B3554" s="1" t="str">
        <f t="shared" si="1756"/>
        <v>共青团员</v>
      </c>
      <c r="C3554" s="1" t="str">
        <f t="shared" si="1755"/>
        <v>本科</v>
      </c>
      <c r="D3554" s="1" t="str">
        <f>"20240631"</f>
        <v>20240631</v>
      </c>
      <c r="E3554" s="1" t="str">
        <f>"南阳师范学院"</f>
        <v>南阳师范学院</v>
      </c>
      <c r="F3554" s="1" t="str">
        <f>"思想政治教育"</f>
        <v>思想政治教育</v>
      </c>
      <c r="G3554" s="1" t="str">
        <f>"河南省南阳市西峡县南大街15号"</f>
        <v>河南省南阳市西峡县南大街15号</v>
      </c>
      <c r="H3554" s="1" t="str">
        <f t="shared" si="1757"/>
        <v>无</v>
      </c>
      <c r="I3554" s="1" t="str">
        <f>"202009-202406在南阳师范学院思想政治教育专业就读，是全日制学历。
202409-202507在郑州金水外国语学院担任初中道法老师。"</f>
        <v>202009-202406在南阳师范学院思想政治教育专业就读，是全日制学历。
202409-202507在郑州金水外国语学院担任初中道法老师。</v>
      </c>
    </row>
    <row r="3555" spans="1:9">
      <c r="A3555" s="1" t="str">
        <f>"411326200109140415"</f>
        <v>411326200109140415</v>
      </c>
      <c r="B3555" s="1" t="str">
        <f>"中共党员"</f>
        <v>中共党员</v>
      </c>
      <c r="C3555" s="1" t="str">
        <f t="shared" si="1755"/>
        <v>本科</v>
      </c>
      <c r="D3555" s="1" t="str">
        <f>"2024-06-28"</f>
        <v>2024-06-28</v>
      </c>
      <c r="E3555" s="1" t="str">
        <f>"郑州工业应用技术学院"</f>
        <v>郑州工业应用技术学院</v>
      </c>
      <c r="F3555" s="1" t="str">
        <f>"电气工程及其自动化"</f>
        <v>电气工程及其自动化</v>
      </c>
      <c r="G3555" s="1" t="str">
        <f>"河南省南阳市南召县中华西路"</f>
        <v>河南省南阳市南召县中华西路</v>
      </c>
      <c r="H3555" s="1" t="str">
        <f t="shared" si="1757"/>
        <v>无</v>
      </c>
      <c r="I3555" s="1" t="str">
        <f>"202009-202406  就读于郑州工业应用技术学院机电工程系电气工程及其自动化专业   伟全日制本科学历
202406-202504  在家待业
202504-至今  就业于南召县人力资源与社会保障局公益岗"</f>
        <v>202009-202406  就读于郑州工业应用技术学院机电工程系电气工程及其自动化专业   伟全日制本科学历
202406-202504  在家待业
202504-至今  就业于南召县人力资源与社会保障局公益岗</v>
      </c>
    </row>
    <row r="3556" spans="1:9">
      <c r="A3556" s="1" t="str">
        <f>"410823199303280464"</f>
        <v>410823199303280464</v>
      </c>
      <c r="B3556" s="1" t="str">
        <f t="shared" ref="B3556:B3561" si="1759">"群众"</f>
        <v>群众</v>
      </c>
      <c r="C3556" s="1" t="str">
        <f t="shared" si="1758"/>
        <v>专科</v>
      </c>
      <c r="D3556" s="1" t="str">
        <f>"20150701"</f>
        <v>20150701</v>
      </c>
      <c r="E3556" s="1" t="str">
        <f>"焦作师范高等专科学校"</f>
        <v>焦作师范高等专科学校</v>
      </c>
      <c r="F3556" s="1" t="str">
        <f>"数学教育"</f>
        <v>数学教育</v>
      </c>
      <c r="G3556" s="1" t="str">
        <f>"河南省武陟县大封镇西唐郭村"</f>
        <v>河南省武陟县大封镇西唐郭村</v>
      </c>
      <c r="H3556" s="1" t="str">
        <f t="shared" si="1757"/>
        <v>无</v>
      </c>
      <c r="I3556" s="1" t="str">
        <f>"201209-201507  焦作师范高等专科学校就读
201509-201707  新世纪学校工作，数学教师
201709-201807  待业
201809-202007   新世纪学校工作，数学教师
202009-至今      待业"</f>
        <v>201209-201507  焦作师范高等专科学校就读
201509-201707  新世纪学校工作，数学教师
201709-201807  待业
201809-202007   新世纪学校工作，数学教师
202009-至今      待业</v>
      </c>
    </row>
    <row r="3557" spans="1:9">
      <c r="A3557" s="1" t="str">
        <f>"410521199005257013"</f>
        <v>410521199005257013</v>
      </c>
      <c r="B3557" s="1" t="str">
        <f t="shared" si="1759"/>
        <v>群众</v>
      </c>
      <c r="C3557" s="1" t="str">
        <f t="shared" ref="C3557:C3560" si="1760">"本科"</f>
        <v>本科</v>
      </c>
      <c r="D3557" s="1" t="str">
        <f>"201307"</f>
        <v>201307</v>
      </c>
      <c r="E3557" s="1" t="str">
        <f>"黄河科技学院"</f>
        <v>黄河科技学院</v>
      </c>
      <c r="F3557" s="1" t="str">
        <f>"国际经济与贸易"</f>
        <v>国际经济与贸易</v>
      </c>
      <c r="G3557" s="1" t="str">
        <f>"河南省安阳市文峰区"</f>
        <v>河南省安阳市文峰区</v>
      </c>
      <c r="H3557" s="1" t="str">
        <f t="shared" si="1757"/>
        <v>无</v>
      </c>
      <c r="I3557" s="1" t="str">
        <f>"200909-201307    黄河科技学院   商贸学院    国际经济与贸易专业  全日制
201609-202202   国网河南省安阳供电公司（劳务派遣）
202203-202308   安阳市待业
202309-202507   安阳市社会保险中心（人事代理）
"</f>
        <v>200909-201307    黄河科技学院   商贸学院    国际经济与贸易专业  全日制
201609-202202   国网河南省安阳供电公司（劳务派遣）
202203-202308   安阳市待业
202309-202507   安阳市社会保险中心（人事代理）
</v>
      </c>
    </row>
    <row r="3558" spans="1:9">
      <c r="A3558" s="1" t="str">
        <f>"411327199808080010"</f>
        <v>411327199808080010</v>
      </c>
      <c r="B3558" s="1" t="str">
        <f t="shared" si="1759"/>
        <v>群众</v>
      </c>
      <c r="C3558" s="1" t="str">
        <f>"专科"</f>
        <v>专科</v>
      </c>
      <c r="D3558" s="1" t="str">
        <f>"20221230"</f>
        <v>20221230</v>
      </c>
      <c r="E3558" s="1" t="str">
        <f>"湖北师范大学"</f>
        <v>湖北师范大学</v>
      </c>
      <c r="F3558" s="1" t="str">
        <f>"动漫设计"</f>
        <v>动漫设计</v>
      </c>
      <c r="G3558" s="1" t="str">
        <f>"一小菜市场东神秀明装2楼"</f>
        <v>一小菜市场东神秀明装2楼</v>
      </c>
      <c r="H3558" s="1" t="str">
        <f t="shared" si="1757"/>
        <v>无</v>
      </c>
      <c r="I3558" s="1" t="str">
        <f>"201809-202212 湖北师范大学 否
202212-202412  优胜教育
202412-2025 在家待业"</f>
        <v>201809-202212 湖北师范大学 否
202212-202412  优胜教育
202412-2025 在家待业</v>
      </c>
    </row>
    <row r="3559" spans="1:9">
      <c r="A3559" s="1" t="str">
        <f>"411303200205270143"</f>
        <v>411303200205270143</v>
      </c>
      <c r="B3559" s="1" t="str">
        <f t="shared" si="1759"/>
        <v>群众</v>
      </c>
      <c r="C3559" s="1" t="str">
        <f t="shared" si="1760"/>
        <v>本科</v>
      </c>
      <c r="D3559" s="1" t="str">
        <f>"20250620"</f>
        <v>20250620</v>
      </c>
      <c r="E3559" s="1" t="str">
        <f>"黑河学院"</f>
        <v>黑河学院</v>
      </c>
      <c r="F3559" s="1" t="str">
        <f>"小学教育"</f>
        <v>小学教育</v>
      </c>
      <c r="G3559" s="1" t="str">
        <f>"河南省南阳市卧龙区永安路236巷44号"</f>
        <v>河南省南阳市卧龙区永安路236巷44号</v>
      </c>
      <c r="H3559" s="1" t="str">
        <f t="shared" si="1757"/>
        <v>无</v>
      </c>
      <c r="I3559" s="1" t="str">
        <f>"202009-202306鹤岗师范高等专科学校小学教育专业就读，全日制专科学历。
202309-202506黑河学院教育科学学院小学教育专业就读，全日制本科学历。"</f>
        <v>202009-202306鹤岗师范高等专科学校小学教育专业就读，全日制专科学历。
202309-202506黑河学院教育科学学院小学教育专业就读，全日制本科学历。</v>
      </c>
    </row>
    <row r="3560" spans="1:9">
      <c r="A3560" s="1" t="str">
        <f>"411321199910270031"</f>
        <v>411321199910270031</v>
      </c>
      <c r="B3560" s="1" t="str">
        <f t="shared" si="1759"/>
        <v>群众</v>
      </c>
      <c r="C3560" s="1" t="str">
        <f t="shared" si="1760"/>
        <v>本科</v>
      </c>
      <c r="D3560" s="1" t="str">
        <f>"20250607"</f>
        <v>20250607</v>
      </c>
      <c r="E3560" s="1" t="str">
        <f>"郑州经贸学院"</f>
        <v>郑州经贸学院</v>
      </c>
      <c r="F3560" s="1" t="str">
        <f>"市场营销"</f>
        <v>市场营销</v>
      </c>
      <c r="G3560" s="1" t="str">
        <f>"河南省南阳市桐柏县月牙湖小区一单元502"</f>
        <v>河南省南阳市桐柏县月牙湖小区一单元502</v>
      </c>
      <c r="H3560" s="1" t="str">
        <f>"电子商务师"</f>
        <v>电子商务师</v>
      </c>
      <c r="I3560" s="1" t="str">
        <f>"201909-202106河南信息统计职业学院 就读
202009-202209海军部队服役
202209-202309待业
202309-202306郑州经贸学院 就读"</f>
        <v>201909-202106河南信息统计职业学院 就读
202009-202209海军部队服役
202209-202309待业
202309-202306郑州经贸学院 就读</v>
      </c>
    </row>
    <row r="3561" spans="1:9">
      <c r="A3561" s="1" t="str">
        <f>"130403199606250612"</f>
        <v>130403199606250612</v>
      </c>
      <c r="B3561" s="1" t="str">
        <f t="shared" si="1759"/>
        <v>群众</v>
      </c>
      <c r="C3561" s="1" t="str">
        <f>"硕士研究生"</f>
        <v>硕士研究生</v>
      </c>
      <c r="D3561" s="1" t="str">
        <f>"20250616"</f>
        <v>20250616</v>
      </c>
      <c r="E3561" s="1" t="str">
        <f>"河北大学"</f>
        <v>河北大学</v>
      </c>
      <c r="F3561" s="1" t="str">
        <f>"公共管理1252"</f>
        <v>公共管理1252</v>
      </c>
      <c r="G3561" s="1" t="str">
        <f>"河北省邯郸市邯山区中华南大街龙门苑德园"</f>
        <v>河北省邯郸市邯山区中华南大街龙门苑德园</v>
      </c>
      <c r="H3561" s="1" t="str">
        <f t="shared" ref="H3561:H3569" si="1761">"无"</f>
        <v>无</v>
      </c>
      <c r="I3561" s="1" t="str">
        <f>"201409-201807 河北大学就读 管理学院工商管理系人力资源管理专业，全日制本科
201808-202011 在家待业
202012-202107 邯郸市生态环境局磁县分局工作 劳务派遣员工
202108-202308 在家待业
202309-202506 河北大学就读 管理学院公共管理1252专业，全日制硕士研究生
202507至今 在家待业"</f>
        <v>201409-201807 河北大学就读 管理学院工商管理系人力资源管理专业，全日制本科
201808-202011 在家待业
202012-202107 邯郸市生态环境局磁县分局工作 劳务派遣员工
202108-202308 在家待业
202309-202506 河北大学就读 管理学院公共管理1252专业，全日制硕士研究生
202507至今 在家待业</v>
      </c>
    </row>
    <row r="3562" spans="1:9">
      <c r="A3562" s="1" t="str">
        <f>"41132420000906001X"</f>
        <v>41132420000906001X</v>
      </c>
      <c r="B3562" s="1" t="str">
        <f t="shared" ref="B3562:B3567" si="1762">"共青团员"</f>
        <v>共青团员</v>
      </c>
      <c r="C3562" s="1" t="str">
        <f t="shared" ref="C3562:C3570" si="1763">"本科"</f>
        <v>本科</v>
      </c>
      <c r="D3562" s="1" t="str">
        <f>"20240613"</f>
        <v>20240613</v>
      </c>
      <c r="E3562" s="1" t="str">
        <f>"中国矿业大学徐海学院"</f>
        <v>中国矿业大学徐海学院</v>
      </c>
      <c r="F3562" s="1" t="str">
        <f>"电气工程及其自动化"</f>
        <v>电气工程及其自动化</v>
      </c>
      <c r="G3562" s="1" t="str">
        <f>"河南省南阳市"</f>
        <v>河南省南阳市</v>
      </c>
      <c r="H3562" s="1" t="str">
        <f t="shared" si="1761"/>
        <v>无</v>
      </c>
      <c r="I3562" s="1" t="str">
        <f>"201809-202406 中国矿业大学徐海学院 信电系 电气工程及其自动化专业
202406-至今 待业"</f>
        <v>201809-202406 中国矿业大学徐海学院 信电系 电气工程及其自动化专业
202406-至今 待业</v>
      </c>
    </row>
    <row r="3563" spans="1:9">
      <c r="A3563" s="1" t="str">
        <f>"411327200309114234"</f>
        <v>411327200309114234</v>
      </c>
      <c r="B3563" s="1" t="str">
        <f t="shared" si="1762"/>
        <v>共青团员</v>
      </c>
      <c r="C3563" s="1" t="str">
        <f>"专科"</f>
        <v>专科</v>
      </c>
      <c r="D3563" s="1" t="str">
        <f>"20240701"</f>
        <v>20240701</v>
      </c>
      <c r="E3563" s="1" t="str">
        <f>"郑州职业技术学院"</f>
        <v>郑州职业技术学院</v>
      </c>
      <c r="F3563" s="1" t="str">
        <f>"虚拟现实技术应用"</f>
        <v>虚拟现实技术应用</v>
      </c>
      <c r="G3563" s="1" t="str">
        <f>"河南省南阳市内乡县仙鹤家属院"</f>
        <v>河南省南阳市内乡县仙鹤家属院</v>
      </c>
      <c r="H3563" s="1" t="str">
        <f t="shared" si="1761"/>
        <v>无</v>
      </c>
      <c r="I3563" s="1" t="str">
        <f>"202109—202406  郑州职业技术学院信息工程与大数据学院虚拟现实技术应用就读，全日制"</f>
        <v>202109—202406  郑州职业技术学院信息工程与大数据学院虚拟现实技术应用就读，全日制</v>
      </c>
    </row>
    <row r="3564" spans="1:9">
      <c r="A3564" s="1" t="str">
        <f>"411327200201080036"</f>
        <v>411327200201080036</v>
      </c>
      <c r="B3564" s="1" t="str">
        <f t="shared" ref="B3564:B3568" si="1764">"群众"</f>
        <v>群众</v>
      </c>
      <c r="C3564" s="1" t="str">
        <f t="shared" si="1763"/>
        <v>本科</v>
      </c>
      <c r="D3564" s="1" t="str">
        <f>"20230701"</f>
        <v>20230701</v>
      </c>
      <c r="E3564" s="1" t="str">
        <f>"郑州航空工业管理学院"</f>
        <v>郑州航空工业管理学院</v>
      </c>
      <c r="F3564" s="1" t="str">
        <f>"计算机科学与技术"</f>
        <v>计算机科学与技术</v>
      </c>
      <c r="G3564" s="1" t="str">
        <f>"内乡县城关镇宏达南路一巷"</f>
        <v>内乡县城关镇宏达南路一巷</v>
      </c>
      <c r="H3564" s="1" t="str">
        <f t="shared" si="1761"/>
        <v>无</v>
      </c>
      <c r="I3564" s="1" t="str">
        <f>"201909-202307  郑州航空工业管理学院"</f>
        <v>201909-202307  郑州航空工业管理学院</v>
      </c>
    </row>
    <row r="3565" spans="1:9">
      <c r="A3565" s="1" t="str">
        <f>"411302200105016045"</f>
        <v>411302200105016045</v>
      </c>
      <c r="B3565" s="1" t="str">
        <f t="shared" si="1764"/>
        <v>群众</v>
      </c>
      <c r="C3565" s="1" t="str">
        <f t="shared" si="1763"/>
        <v>本科</v>
      </c>
      <c r="D3565" s="1" t="str">
        <f>"20240618"</f>
        <v>20240618</v>
      </c>
      <c r="E3565" s="1" t="str">
        <f>"南京审计大学金审学院"</f>
        <v>南京审计大学金审学院</v>
      </c>
      <c r="F3565" s="1" t="str">
        <f>"会计学"</f>
        <v>会计学</v>
      </c>
      <c r="G3565" s="1" t="str">
        <f>"河南省南阳市内乡县"</f>
        <v>河南省南阳市内乡县</v>
      </c>
      <c r="H3565" s="1" t="str">
        <f t="shared" si="1761"/>
        <v>无</v>
      </c>
      <c r="I3565" s="1" t="str">
        <f>"202009-202406南京审计大学金审学院 会计与审计学院 会计专业就读，是全日制学历；202406-202409在南京伍莱融信息科技有限公司实习；202409-202507在内乡县待业"</f>
        <v>202009-202406南京审计大学金审学院 会计与审计学院 会计专业就读，是全日制学历；202406-202409在南京伍莱融信息科技有限公司实习；202409-202507在内乡县待业</v>
      </c>
    </row>
    <row r="3566" spans="1:9">
      <c r="A3566" s="1" t="str">
        <f>"41132719920305002X"</f>
        <v>41132719920305002X</v>
      </c>
      <c r="B3566" s="1" t="str">
        <f>"中共党员"</f>
        <v>中共党员</v>
      </c>
      <c r="C3566" s="1" t="str">
        <f t="shared" si="1763"/>
        <v>本科</v>
      </c>
      <c r="D3566" s="1" t="str">
        <f>"20140701"</f>
        <v>20140701</v>
      </c>
      <c r="E3566" s="1" t="str">
        <f>"安阳师范学院人文管理学院"</f>
        <v>安阳师范学院人文管理学院</v>
      </c>
      <c r="F3566" s="1" t="str">
        <f>"金融学"</f>
        <v>金融学</v>
      </c>
      <c r="G3566" s="1" t="str">
        <f>"河南省内乡县城关镇天春苑小区1号楼1单元803"</f>
        <v>河南省内乡县城关镇天春苑小区1号楼1单元803</v>
      </c>
      <c r="H3566" s="1" t="str">
        <f t="shared" si="1761"/>
        <v>无</v>
      </c>
      <c r="I3566" s="1" t="str">
        <f>"201009-201407在安阳师范学院人文管理学院金融学专业就读，全日制本科学历。201407-至今在中国农业银行股份有限公司内乡县支行就业。"</f>
        <v>201009-201407在安阳师范学院人文管理学院金融学专业就读，全日制本科学历。201407-至今在中国农业银行股份有限公司内乡县支行就业。</v>
      </c>
    </row>
    <row r="3567" spans="1:9">
      <c r="A3567" s="1" t="str">
        <f>"411302200109026216"</f>
        <v>411302200109026216</v>
      </c>
      <c r="B3567" s="1" t="str">
        <f t="shared" si="1762"/>
        <v>共青团员</v>
      </c>
      <c r="C3567" s="1" t="str">
        <f t="shared" si="1763"/>
        <v>本科</v>
      </c>
      <c r="D3567" s="1" t="str">
        <f>"20240605"</f>
        <v>20240605</v>
      </c>
      <c r="E3567" s="1" t="str">
        <f>"中原科技学院"</f>
        <v>中原科技学院</v>
      </c>
      <c r="F3567" s="1" t="str">
        <f>"土木工程"</f>
        <v>土木工程</v>
      </c>
      <c r="G3567" s="1" t="str">
        <f>"河南省南阳市宛城区刘太营村杨周营"</f>
        <v>河南省南阳市宛城区刘太营村杨周营</v>
      </c>
      <c r="H3567" s="1" t="str">
        <f t="shared" si="1761"/>
        <v>无</v>
      </c>
      <c r="I3567" s="1" t="str">
        <f>"201909-202206河南建筑职业技术学院学校建筑设计专业就读全日制
202209-202406中原科技学院土木工程专业就读全日制"</f>
        <v>201909-202206河南建筑职业技术学院学校建筑设计专业就读全日制
202209-202406中原科技学院土木工程专业就读全日制</v>
      </c>
    </row>
    <row r="3568" spans="1:9">
      <c r="A3568" s="1" t="str">
        <f>"412726199407216710"</f>
        <v>412726199407216710</v>
      </c>
      <c r="B3568" s="1" t="str">
        <f t="shared" si="1764"/>
        <v>群众</v>
      </c>
      <c r="C3568" s="1" t="str">
        <f t="shared" si="1763"/>
        <v>本科</v>
      </c>
      <c r="D3568" s="1" t="str">
        <f>"20240701"</f>
        <v>20240701</v>
      </c>
      <c r="E3568" s="1" t="str">
        <f>"河南工业大学"</f>
        <v>河南工业大学</v>
      </c>
      <c r="F3568" s="1" t="str">
        <f>"土木工程"</f>
        <v>土木工程</v>
      </c>
      <c r="G3568" s="1" t="str">
        <f>"河南省周口市郸城县巴集乡程楼行政村程楼村001号"</f>
        <v>河南省周口市郸城县巴集乡程楼行政村程楼村001号</v>
      </c>
      <c r="H3568" s="1" t="str">
        <f t="shared" si="1761"/>
        <v>无</v>
      </c>
      <c r="I3568" s="1" t="str">
        <f>"201609-201907在郑州工程技术学院土木工程学院道路桥梁工程技术专业全日制专科就读
201907-202010在上海汀滢环保科技有限公司工作
202011-202412在福建华业工程建设有限公司工作
202203-202407在河南工业大学土木工程专业非全日制本科函授就读
202412-至今在河南省周口市郸城县巴集乡程楼行政村程楼村001号家中待业"</f>
        <v>201609-201907在郑州工程技术学院土木工程学院道路桥梁工程技术专业全日制专科就读
201907-202010在上海汀滢环保科技有限公司工作
202011-202412在福建华业工程建设有限公司工作
202203-202407在河南工业大学土木工程专业非全日制本科函授就读
202412-至今在河南省周口市郸城县巴集乡程楼行政村程楼村001号家中待业</v>
      </c>
    </row>
    <row r="3569" spans="1:9">
      <c r="A3569" s="1" t="str">
        <f>"370783200009187043"</f>
        <v>370783200009187043</v>
      </c>
      <c r="B3569" s="1" t="str">
        <f t="shared" ref="B3569:B3573" si="1765">"共青团员"</f>
        <v>共青团员</v>
      </c>
      <c r="C3569" s="1" t="str">
        <f t="shared" si="1763"/>
        <v>本科</v>
      </c>
      <c r="D3569" s="1" t="str">
        <f>"20230607"</f>
        <v>20230607</v>
      </c>
      <c r="E3569" s="1" t="str">
        <f>"伊犁师范大学"</f>
        <v>伊犁师范大学</v>
      </c>
      <c r="F3569" s="1" t="str">
        <f>"旅游管理专业"</f>
        <v>旅游管理专业</v>
      </c>
      <c r="G3569" s="1" t="str">
        <f>"山东省潍坊市寿光市圣城街道美林花园"</f>
        <v>山东省潍坊市寿光市圣城街道美林花园</v>
      </c>
      <c r="H3569" s="1" t="str">
        <f t="shared" si="1761"/>
        <v>无</v>
      </c>
      <c r="I3569" s="1" t="str">
        <f>"201909-202306 伊犁师范大学 旅游与历史文化学院 旅游管理专业 全日制本科生
202306-至今 待业"</f>
        <v>201909-202306 伊犁师范大学 旅游与历史文化学院 旅游管理专业 全日制本科生
202306-至今 待业</v>
      </c>
    </row>
    <row r="3570" spans="1:9">
      <c r="A3570" s="1" t="str">
        <f>"211003200009293520"</f>
        <v>211003200009293520</v>
      </c>
      <c r="B3570" s="1" t="str">
        <f>"群众"</f>
        <v>群众</v>
      </c>
      <c r="C3570" s="1" t="str">
        <f t="shared" si="1763"/>
        <v>本科</v>
      </c>
      <c r="D3570" s="1" t="str">
        <f>"20230620"</f>
        <v>20230620</v>
      </c>
      <c r="E3570" s="1" t="str">
        <f>"沈阳工程学院"</f>
        <v>沈阳工程学院</v>
      </c>
      <c r="F3570" s="1" t="str">
        <f>"工业工程"</f>
        <v>工业工程</v>
      </c>
      <c r="G3570" s="1" t="str">
        <f>"辽宁省辽阳市白塔区晟宝龙广场c区"</f>
        <v>辽宁省辽阳市白塔区晟宝龙广场c区</v>
      </c>
      <c r="H3570" s="1" t="str">
        <f>"证券从业资格证"</f>
        <v>证券从业资格证</v>
      </c>
      <c r="I3570" s="1" t="str">
        <f>"201909-202306 沈阳工程学院 就读 全日制 经济管理与法学院 工业工程专业"</f>
        <v>201909-202306 沈阳工程学院 就读 全日制 经济管理与法学院 工业工程专业</v>
      </c>
    </row>
    <row r="3571" spans="1:9">
      <c r="A3571" s="1" t="str">
        <f>"411327199810274527"</f>
        <v>411327199810274527</v>
      </c>
      <c r="B3571" s="1" t="str">
        <f>"群众"</f>
        <v>群众</v>
      </c>
      <c r="C3571" s="1" t="str">
        <f>"专科"</f>
        <v>专科</v>
      </c>
      <c r="D3571" s="1" t="str">
        <f>"20210701"</f>
        <v>20210701</v>
      </c>
      <c r="E3571" s="1" t="str">
        <f>"平顶山学院"</f>
        <v>平顶山学院</v>
      </c>
      <c r="F3571" s="1" t="str">
        <f>"医学检验技术"</f>
        <v>医学检验技术</v>
      </c>
      <c r="G3571" s="1" t="str">
        <f>"河南省南阳市内乡县湍东镇扳倒井申鱼池"</f>
        <v>河南省南阳市内乡县湍东镇扳倒井申鱼池</v>
      </c>
      <c r="H3571" s="1" t="str">
        <f t="shared" ref="H3571:H3576" si="1766">"无"</f>
        <v>无</v>
      </c>
      <c r="I3571" s="1" t="str">
        <f>"201809-202107平顶山学院医学院医学检验专业就读，为全日制学历
202107-202201牧原肉食车间普通工人
202201-202207在家待业备考
202208-202301湍东卫生院高速路口做核酸检测
202301-202405微笑牙科口腔护士
202405-202407金苹果幼儿园副班
202407-202501中国移动外包公司人事
202501-至今聚爱优选超市收银"</f>
        <v>201809-202107平顶山学院医学院医学检验专业就读，为全日制学历
202107-202201牧原肉食车间普通工人
202201-202207在家待业备考
202208-202301湍东卫生院高速路口做核酸检测
202301-202405微笑牙科口腔护士
202405-202407金苹果幼儿园副班
202407-202501中国移动外包公司人事
202501-至今聚爱优选超市收银</v>
      </c>
    </row>
    <row r="3572" spans="1:9">
      <c r="A3572" s="1" t="str">
        <f>"411327200407280623"</f>
        <v>411327200407280623</v>
      </c>
      <c r="B3572" s="1" t="str">
        <f t="shared" si="1765"/>
        <v>共青团员</v>
      </c>
      <c r="C3572" s="1" t="str">
        <f t="shared" ref="C3572:C3587" si="1767">"本科"</f>
        <v>本科</v>
      </c>
      <c r="D3572" s="1" t="str">
        <f>"20250607"</f>
        <v>20250607</v>
      </c>
      <c r="E3572" s="1" t="str">
        <f>"商丘工学院"</f>
        <v>商丘工学院</v>
      </c>
      <c r="F3572" s="1" t="str">
        <f>"会计学"</f>
        <v>会计学</v>
      </c>
      <c r="G3572" s="1" t="str">
        <f>"河南省南阳市"</f>
        <v>河南省南阳市</v>
      </c>
      <c r="H3572" s="1" t="str">
        <f>"初级会计证书"</f>
        <v>初级会计证书</v>
      </c>
      <c r="I3572" s="1" t="str">
        <f>"202009-202306 黄河水利职业技术学院就读 金融与会计学院财务管理专业 是全日制；202309-202506 商丘工学院就读 经济与管理学院 会计学专业 是全日制"</f>
        <v>202009-202306 黄河水利职业技术学院就读 金融与会计学院财务管理专业 是全日制；202309-202506 商丘工学院就读 经济与管理学院 会计学专业 是全日制</v>
      </c>
    </row>
    <row r="3573" spans="1:9">
      <c r="A3573" s="1" t="str">
        <f>"411323200301223027"</f>
        <v>411323200301223027</v>
      </c>
      <c r="B3573" s="1" t="str">
        <f t="shared" si="1765"/>
        <v>共青团员</v>
      </c>
      <c r="C3573" s="1" t="str">
        <f t="shared" si="1767"/>
        <v>本科</v>
      </c>
      <c r="D3573" s="1" t="str">
        <f>"20250620"</f>
        <v>20250620</v>
      </c>
      <c r="E3573" s="1" t="str">
        <f>"河南财政金融学院"</f>
        <v>河南财政金融学院</v>
      </c>
      <c r="F3573" s="1" t="str">
        <f>"商务英语"</f>
        <v>商务英语</v>
      </c>
      <c r="G3573" s="1" t="str">
        <f>"河南省南阳市淅川县南阳路石化加油站城东超市"</f>
        <v>河南省南阳市淅川县南阳路石化加油站城东超市</v>
      </c>
      <c r="H3573" s="1" t="str">
        <f t="shared" si="1766"/>
        <v>无</v>
      </c>
      <c r="I3573" s="1" t="str">
        <f>"202109-202506 河南财政金融学院外国语学院商务英语 就读
202506-至今   河南省南阳市淅川县待业
"</f>
        <v>202109-202506 河南财政金融学院外国语学院商务英语 就读
202506-至今   河南省南阳市淅川县待业
</v>
      </c>
    </row>
    <row r="3574" spans="1:9">
      <c r="A3574" s="1" t="str">
        <f>"411327199003124215"</f>
        <v>411327199003124215</v>
      </c>
      <c r="B3574" s="1" t="str">
        <f t="shared" ref="B3574:B3578" si="1768">"中共党员"</f>
        <v>中共党员</v>
      </c>
      <c r="C3574" s="1" t="str">
        <f>"专科"</f>
        <v>专科</v>
      </c>
      <c r="D3574" s="1" t="str">
        <f>"20130701"</f>
        <v>20130701</v>
      </c>
      <c r="E3574" s="1" t="str">
        <f>"鹤壁职业技术学院"</f>
        <v>鹤壁职业技术学院</v>
      </c>
      <c r="F3574" s="1" t="str">
        <f>"机械制造与自动化"</f>
        <v>机械制造与自动化</v>
      </c>
      <c r="G3574" s="1" t="str">
        <f>"内乡县湍东镇水岸豪庭2号楼"</f>
        <v>内乡县湍东镇水岸豪庭2号楼</v>
      </c>
      <c r="H3574" s="1" t="str">
        <f t="shared" si="1766"/>
        <v>无</v>
      </c>
      <c r="I3574" s="1" t="str">
        <f>"2010.9-2013.7 于鹤壁职业技术学院机械制造与自动化 全日制专科
2013.8-2017.12 于南阳飞龙汽车零部件有限公司任技术员
2018.1-2018.7   待业
2018.8-2021.10 于大桥乡政府工作（政府购岗）
2021.11-至今河南众思成新能源科技有限公司研发攻关组组长"</f>
        <v>2010.9-2013.7 于鹤壁职业技术学院机械制造与自动化 全日制专科
2013.8-2017.12 于南阳飞龙汽车零部件有限公司任技术员
2018.1-2018.7   待业
2018.8-2021.10 于大桥乡政府工作（政府购岗）
2021.11-至今河南众思成新能源科技有限公司研发攻关组组长</v>
      </c>
    </row>
    <row r="3575" spans="1:9">
      <c r="A3575" s="1" t="str">
        <f>"41152720000525751X"</f>
        <v>41152720000525751X</v>
      </c>
      <c r="B3575" s="1" t="str">
        <f>"共青团员"</f>
        <v>共青团员</v>
      </c>
      <c r="C3575" s="1" t="str">
        <f t="shared" si="1767"/>
        <v>本科</v>
      </c>
      <c r="D3575" s="1" t="str">
        <f>"20240606"</f>
        <v>20240606</v>
      </c>
      <c r="E3575" s="1" t="str">
        <f>"河南开封科技传媒学院"</f>
        <v>河南开封科技传媒学院</v>
      </c>
      <c r="F3575" s="1" t="str">
        <f>"动画"</f>
        <v>动画</v>
      </c>
      <c r="G3575" s="1" t="str">
        <f>"河南省信阳市淮滨县滨湖街道"</f>
        <v>河南省信阳市淮滨县滨湖街道</v>
      </c>
      <c r="H3575" s="1" t="str">
        <f t="shared" si="1766"/>
        <v>无</v>
      </c>
      <c r="I3575" s="1" t="str">
        <f>"20220901-20240606河南开封科技传媒艺术学院动画专业全日制本科学历就读。"</f>
        <v>20220901-20240606河南开封科技传媒艺术学院动画专业全日制本科学历就读。</v>
      </c>
    </row>
    <row r="3576" spans="1:9">
      <c r="A3576" s="1" t="str">
        <f>"410324199507252210"</f>
        <v>410324199507252210</v>
      </c>
      <c r="B3576" s="1" t="str">
        <f t="shared" si="1768"/>
        <v>中共党员</v>
      </c>
      <c r="C3576" s="1" t="str">
        <f t="shared" si="1767"/>
        <v>本科</v>
      </c>
      <c r="D3576" s="1" t="str">
        <f>"20190701"</f>
        <v>20190701</v>
      </c>
      <c r="E3576" s="1" t="str">
        <f>"南阳师范学院"</f>
        <v>南阳师范学院</v>
      </c>
      <c r="F3576" s="1" t="str">
        <f>"地理科学"</f>
        <v>地理科学</v>
      </c>
      <c r="G3576" s="1" t="str">
        <f>"河南省洛阳市栾川县白土镇"</f>
        <v>河南省洛阳市栾川县白土镇</v>
      </c>
      <c r="H3576" s="1" t="str">
        <f t="shared" si="1766"/>
        <v>无</v>
      </c>
      <c r="I3576" s="1" t="str">
        <f>"201509-201907 南阳师范学院环境科学与旅游学院地理科学专业就读，全日制本科；
201908-202208 南阳民进学校担任高中地理教师；
202209-202210 在家待业；
202210-202506 栾川县白土镇人民政府公益性岗位"</f>
        <v>201509-201907 南阳师范学院环境科学与旅游学院地理科学专业就读，全日制本科；
201908-202208 南阳民进学校担任高中地理教师；
202209-202210 在家待业；
202210-202506 栾川县白土镇人民政府公益性岗位</v>
      </c>
    </row>
    <row r="3577" spans="1:9">
      <c r="A3577" s="1" t="str">
        <f>"411303200112100014"</f>
        <v>411303200112100014</v>
      </c>
      <c r="B3577" s="1" t="str">
        <f t="shared" ref="B3577:B3584" si="1769">"群众"</f>
        <v>群众</v>
      </c>
      <c r="C3577" s="1" t="str">
        <f t="shared" si="1767"/>
        <v>本科</v>
      </c>
      <c r="D3577" s="1" t="str">
        <f>"20240607"</f>
        <v>20240607</v>
      </c>
      <c r="E3577" s="1" t="str">
        <f>"郑州西亚斯学院"</f>
        <v>郑州西亚斯学院</v>
      </c>
      <c r="F3577" s="1" t="str">
        <f>"财务管理"</f>
        <v>财务管理</v>
      </c>
      <c r="G3577" s="1" t="str">
        <f>"河南省南阳市伏牛路二号海事局家属院一单元一楼西户"</f>
        <v>河南省南阳市伏牛路二号海事局家属院一单元一楼西户</v>
      </c>
      <c r="H3577" s="1" t="str">
        <f>"初级会计职称证书"</f>
        <v>初级会计职称证书</v>
      </c>
      <c r="I3577" s="1" t="str">
        <f>"202109-202406在郑州西亚斯国际学院就读 全日制"</f>
        <v>202109-202406在郑州西亚斯国际学院就读 全日制</v>
      </c>
    </row>
    <row r="3578" spans="1:9">
      <c r="A3578" s="1" t="str">
        <f>"411381199804183942"</f>
        <v>411381199804183942</v>
      </c>
      <c r="B3578" s="1" t="str">
        <f t="shared" si="1768"/>
        <v>中共党员</v>
      </c>
      <c r="C3578" s="1" t="str">
        <f t="shared" si="1767"/>
        <v>本科</v>
      </c>
      <c r="D3578" s="1" t="str">
        <f>"20210701"</f>
        <v>20210701</v>
      </c>
      <c r="E3578" s="1" t="str">
        <f>"郑州商学院"</f>
        <v>郑州商学院</v>
      </c>
      <c r="F3578" s="1" t="str">
        <f>"会计学（注册会计师方向）"</f>
        <v>会计学（注册会计师方向）</v>
      </c>
      <c r="G3578" s="1" t="str">
        <f>"河南省南阳市内乡县祥和小区"</f>
        <v>河南省南阳市内乡县祥和小区</v>
      </c>
      <c r="H3578" s="1" t="str">
        <f>"会计专业技术资格 初级"</f>
        <v>会计专业技术资格 初级</v>
      </c>
      <c r="I3578" s="1" t="str">
        <f>"201709-202107 郑州商学院 就读会计专业(注册会计师方向) 是全日制本科
202010-202203 任职于郑州猿力信息科技有限公司
202204-202404 任职于河南中咨信息科技有限公司
202404-202505 在南阳市内乡县待业
202505-至今 任职于内乡县湍东镇童心幼儿园
"</f>
        <v>201709-202107 郑州商学院 就读会计专业(注册会计师方向) 是全日制本科
202010-202203 任职于郑州猿力信息科技有限公司
202204-202404 任职于河南中咨信息科技有限公司
202404-202505 在南阳市内乡县待业
202505-至今 任职于内乡县湍东镇童心幼儿园
</v>
      </c>
    </row>
    <row r="3579" spans="1:9">
      <c r="A3579" s="1" t="str">
        <f>"411327200210134219"</f>
        <v>411327200210134219</v>
      </c>
      <c r="B3579" s="1" t="str">
        <f t="shared" si="1769"/>
        <v>群众</v>
      </c>
      <c r="C3579" s="1" t="str">
        <f t="shared" si="1767"/>
        <v>本科</v>
      </c>
      <c r="D3579" s="1" t="str">
        <f>"20240625"</f>
        <v>20240625</v>
      </c>
      <c r="E3579" s="1" t="str">
        <f>"河南财政金融学院"</f>
        <v>河南财政金融学院</v>
      </c>
      <c r="F3579" s="1" t="str">
        <f>"计算机科学与技术"</f>
        <v>计算机科学与技术</v>
      </c>
      <c r="G3579" s="1" t="str">
        <f>"河南省南阳市内乡县"</f>
        <v>河南省南阳市内乡县</v>
      </c>
      <c r="H3579" s="1" t="str">
        <f>"无 "</f>
        <v>无 </v>
      </c>
      <c r="I3579" s="1" t="str">
        <f>"202009-202406  河南财政金融学院计算机科学与技术专业 就读  全日制
202406-202505  在家待业
202505-至今 南阳市粮农投物流仓储管理有限公司"</f>
        <v>202009-202406  河南财政金融学院计算机科学与技术专业 就读  全日制
202406-202505  在家待业
202505-至今 南阳市粮农投物流仓储管理有限公司</v>
      </c>
    </row>
    <row r="3580" spans="1:9">
      <c r="A3580" s="1" t="str">
        <f>"411327200008212025"</f>
        <v>411327200008212025</v>
      </c>
      <c r="B3580" s="1" t="str">
        <f t="shared" ref="B3580:B3587" si="1770">"共青团员"</f>
        <v>共青团员</v>
      </c>
      <c r="C3580" s="1" t="str">
        <f t="shared" si="1767"/>
        <v>本科</v>
      </c>
      <c r="D3580" s="1" t="str">
        <f>"20210701"</f>
        <v>20210701</v>
      </c>
      <c r="E3580" s="1" t="str">
        <f>"河南师范大学新联学院"</f>
        <v>河南师范大学新联学院</v>
      </c>
      <c r="F3580" s="1" t="str">
        <f>"广播电视学"</f>
        <v>广播电视学</v>
      </c>
      <c r="G3580" s="1" t="str">
        <f>"河南省内乡县瓦亭镇"</f>
        <v>河南省内乡县瓦亭镇</v>
      </c>
      <c r="H3580" s="1" t="str">
        <f t="shared" ref="H3580:H3586" si="1771">"无"</f>
        <v>无</v>
      </c>
      <c r="I3580" s="1" t="str">
        <f>"201709-202107：河南师范大学新联学院广播电视学专业就读，全日制学历。
202109-至今 就职于内乡复兴学校"</f>
        <v>201709-202107：河南师范大学新联学院广播电视学专业就读，全日制学历。
202109-至今 就职于内乡复兴学校</v>
      </c>
    </row>
    <row r="3581" spans="1:9">
      <c r="A3581" s="1" t="str">
        <f>"411327200311101547"</f>
        <v>411327200311101547</v>
      </c>
      <c r="B3581" s="1" t="str">
        <f t="shared" si="1770"/>
        <v>共青团员</v>
      </c>
      <c r="C3581" s="1" t="str">
        <f t="shared" si="1767"/>
        <v>本科</v>
      </c>
      <c r="D3581" s="1" t="str">
        <f>"20250605"</f>
        <v>20250605</v>
      </c>
      <c r="E3581" s="1" t="str">
        <f>"新乡工程学院"</f>
        <v>新乡工程学院</v>
      </c>
      <c r="F3581" s="1" t="str">
        <f>"汉语言文学(师范)"</f>
        <v>汉语言文学(师范)</v>
      </c>
      <c r="G3581" s="1" t="str">
        <f>"河南省南阳市内乡县谢楼村"</f>
        <v>河南省南阳市内乡县谢楼村</v>
      </c>
      <c r="H3581" s="1" t="str">
        <f t="shared" si="1771"/>
        <v>无</v>
      </c>
      <c r="I3581" s="1" t="str">
        <f>"202110-202506新乡工程学院文法学院汉语言文学专业就读 全日制学历"</f>
        <v>202110-202506新乡工程学院文法学院汉语言文学专业就读 全日制学历</v>
      </c>
    </row>
    <row r="3582" spans="1:9">
      <c r="A3582" s="1" t="str">
        <f>"411303199408160037"</f>
        <v>411303199408160037</v>
      </c>
      <c r="B3582" s="1" t="str">
        <f t="shared" si="1769"/>
        <v>群众</v>
      </c>
      <c r="C3582" s="1" t="str">
        <f t="shared" si="1767"/>
        <v>本科</v>
      </c>
      <c r="D3582" s="1" t="str">
        <f>"20180628"</f>
        <v>20180628</v>
      </c>
      <c r="E3582" s="1" t="str">
        <f>"西安科技大学"</f>
        <v>西安科技大学</v>
      </c>
      <c r="F3582" s="1" t="str">
        <f>"安全工程"</f>
        <v>安全工程</v>
      </c>
      <c r="G3582" s="1" t="str">
        <f>"河南省南阳市湍东镇"</f>
        <v>河南省南阳市湍东镇</v>
      </c>
      <c r="H3582" s="1" t="str">
        <f t="shared" si="1771"/>
        <v>无</v>
      </c>
      <c r="I3582" s="1" t="str">
        <f>"2014.9～2018.6西安科技大学安全工程专业，2018.9～2022.5西安安泰叶片技术有限公司2022.5～2024.10南阳市金鑫冶金材料有限公司2024.11～桐柏县先进制造业开发区管委会"</f>
        <v>2014.9～2018.6西安科技大学安全工程专业，2018.9～2022.5西安安泰叶片技术有限公司2022.5～2024.10南阳市金鑫冶金材料有限公司2024.11～桐柏县先进制造业开发区管委会</v>
      </c>
    </row>
    <row r="3583" spans="1:9">
      <c r="A3583" s="1" t="str">
        <f>"411327199710210024"</f>
        <v>411327199710210024</v>
      </c>
      <c r="B3583" s="1" t="str">
        <f t="shared" si="1769"/>
        <v>群众</v>
      </c>
      <c r="C3583" s="1" t="str">
        <f t="shared" si="1767"/>
        <v>本科</v>
      </c>
      <c r="D3583" s="1" t="str">
        <f>"2021-07-01"</f>
        <v>2021-07-01</v>
      </c>
      <c r="E3583" s="1" t="str">
        <f>"洛阳师范学院"</f>
        <v>洛阳师范学院</v>
      </c>
      <c r="F3583" s="1" t="str">
        <f>"汉语言文学"</f>
        <v>汉语言文学</v>
      </c>
      <c r="G3583" s="1" t="str">
        <f>"河南省南阳是内乡县清心路"</f>
        <v>河南省南阳是内乡县清心路</v>
      </c>
      <c r="H3583" s="1" t="str">
        <f t="shared" si="1771"/>
        <v>无</v>
      </c>
      <c r="I3583" s="1" t="str">
        <f>"201709-202107 洛阳师范学院文学院汉语言文学专业就读，全日制学历。
202107-202507 在南阳市内乡县待业。"</f>
        <v>201709-202107 洛阳师范学院文学院汉语言文学专业就读，全日制学历。
202107-202507 在南阳市内乡县待业。</v>
      </c>
    </row>
    <row r="3584" spans="1:9">
      <c r="A3584" s="1" t="str">
        <f>"411326200309075849"</f>
        <v>411326200309075849</v>
      </c>
      <c r="B3584" s="1" t="str">
        <f t="shared" si="1769"/>
        <v>群众</v>
      </c>
      <c r="C3584" s="1" t="str">
        <f t="shared" si="1767"/>
        <v>本科</v>
      </c>
      <c r="D3584" s="1" t="str">
        <f>"20250620"</f>
        <v>20250620</v>
      </c>
      <c r="E3584" s="1" t="str">
        <f>"商丘师范学院"</f>
        <v>商丘师范学院</v>
      </c>
      <c r="F3584" s="1" t="str">
        <f>"电子信息工程"</f>
        <v>电子信息工程</v>
      </c>
      <c r="G3584" s="1" t="str">
        <f>"河南省南阳市淅川县"</f>
        <v>河南省南阳市淅川县</v>
      </c>
      <c r="H3584" s="1" t="str">
        <f t="shared" si="1771"/>
        <v>无</v>
      </c>
      <c r="I3584" s="1" t="str">
        <f>"202109-202506 商丘师范学院商丘职业技术学院电子信息工程专业 就读   全日制学历"</f>
        <v>202109-202506 商丘师范学院商丘职业技术学院电子信息工程专业 就读   全日制学历</v>
      </c>
    </row>
    <row r="3585" spans="1:9">
      <c r="A3585" s="1" t="str">
        <f>"342425200401088310"</f>
        <v>342425200401088310</v>
      </c>
      <c r="B3585" s="1" t="str">
        <f t="shared" si="1770"/>
        <v>共青团员</v>
      </c>
      <c r="C3585" s="1" t="str">
        <f t="shared" si="1767"/>
        <v>本科</v>
      </c>
      <c r="D3585" s="1" t="str">
        <f>"20250613"</f>
        <v>20250613</v>
      </c>
      <c r="E3585" s="1" t="str">
        <f>"华侨大学"</f>
        <v>华侨大学</v>
      </c>
      <c r="F3585" s="1" t="str">
        <f>"酒店管理"</f>
        <v>酒店管理</v>
      </c>
      <c r="G3585" s="1" t="str">
        <f>"安徽省六安市舒城县庐镇乡街道"</f>
        <v>安徽省六安市舒城县庐镇乡街道</v>
      </c>
      <c r="H3585" s="1" t="str">
        <f t="shared" si="1771"/>
        <v>无</v>
      </c>
      <c r="I3585" s="1" t="str">
        <f>"202109-202506 华侨大学旅游学院酒店管理专业 就读 全日制
202506-202507 安徽荣耀网络科技有限公司 就业
202507-至今 待业"</f>
        <v>202109-202506 华侨大学旅游学院酒店管理专业 就读 全日制
202506-202507 安徽荣耀网络科技有限公司 就业
202507-至今 待业</v>
      </c>
    </row>
    <row r="3586" spans="1:9">
      <c r="A3586" s="1" t="str">
        <f>"412822200006206541"</f>
        <v>412822200006206541</v>
      </c>
      <c r="B3586" s="1" t="str">
        <f t="shared" si="1770"/>
        <v>共青团员</v>
      </c>
      <c r="C3586" s="1" t="str">
        <f t="shared" si="1767"/>
        <v>本科</v>
      </c>
      <c r="D3586" s="1" t="str">
        <f>"20220701"</f>
        <v>20220701</v>
      </c>
      <c r="E3586" s="1" t="str">
        <f>"郑州轻工业大学"</f>
        <v>郑州轻工业大学</v>
      </c>
      <c r="F3586" s="1" t="str">
        <f>"会计学"</f>
        <v>会计学</v>
      </c>
      <c r="G3586" s="1" t="str">
        <f>"河南省驻马店市泌阳县古城居委会老公安局家属院西门"</f>
        <v>河南省驻马店市泌阳县古城居委会老公安局家属院西门</v>
      </c>
      <c r="H3586" s="1" t="str">
        <f t="shared" si="1771"/>
        <v>无</v>
      </c>
      <c r="I3586" s="1" t="str">
        <f>"201809-202206 在郑州轻工业大学国际教育学院会计学专业就读 全日制学历"</f>
        <v>201809-202206 在郑州轻工业大学国际教育学院会计学专业就读 全日制学历</v>
      </c>
    </row>
    <row r="3587" spans="1:9">
      <c r="A3587" s="1" t="str">
        <f>"411324200001265520"</f>
        <v>411324200001265520</v>
      </c>
      <c r="B3587" s="1" t="str">
        <f t="shared" si="1770"/>
        <v>共青团员</v>
      </c>
      <c r="C3587" s="1" t="str">
        <f t="shared" si="1767"/>
        <v>本科</v>
      </c>
      <c r="D3587" s="1" t="str">
        <f>"20230701"</f>
        <v>20230701</v>
      </c>
      <c r="E3587" s="1" t="str">
        <f>"平顶山学院"</f>
        <v>平顶山学院</v>
      </c>
      <c r="F3587" s="1" t="str">
        <f>"会计学"</f>
        <v>会计学</v>
      </c>
      <c r="G3587" s="1" t="str">
        <f>"河南省南阳市镇平县涅阳街道紫金城路35号"</f>
        <v>河南省南阳市镇平县涅阳街道紫金城路35号</v>
      </c>
      <c r="H3587" s="1" t="str">
        <f>"初级会计资格证"</f>
        <v>初级会计资格证</v>
      </c>
      <c r="I3587" s="1" t="str">
        <f>"201909-202306 平顶山学院经济管理学院会计学专业就读，全日制学历"</f>
        <v>201909-202306 平顶山学院经济管理学院会计学专业就读，全日制学历</v>
      </c>
    </row>
    <row r="3588" spans="1:9">
      <c r="A3588" s="1" t="str">
        <f>"411327199508201132"</f>
        <v>411327199508201132</v>
      </c>
      <c r="B3588" s="1" t="str">
        <f t="shared" ref="B3588:B3590" si="1772">"群众"</f>
        <v>群众</v>
      </c>
      <c r="C3588" s="1" t="str">
        <f t="shared" ref="C3588:C3593" si="1773">"专科"</f>
        <v>专科</v>
      </c>
      <c r="D3588" s="1" t="str">
        <f>"20170725"</f>
        <v>20170725</v>
      </c>
      <c r="E3588" s="1" t="str">
        <f>"河南交通职业技术学院"</f>
        <v>河南交通职业技术学院</v>
      </c>
      <c r="F3588" s="1" t="str">
        <f>"建筑工程技术"</f>
        <v>建筑工程技术</v>
      </c>
      <c r="G3588" s="1" t="str">
        <f>"河南省南阳市内乡县杨店村"</f>
        <v>河南省南阳市内乡县杨店村</v>
      </c>
      <c r="H3588" s="1" t="str">
        <f>"建筑助理工程师"</f>
        <v>建筑助理工程师</v>
      </c>
      <c r="I3588" s="1" t="str">
        <f>"201409-201707河南交通职业技术学院建工系建筑工程技术专业就读，全日制大专。"</f>
        <v>201409-201707河南交通职业技术学院建工系建筑工程技术专业就读，全日制大专。</v>
      </c>
    </row>
    <row r="3589" spans="1:9">
      <c r="A3589" s="1" t="str">
        <f>"410324200104033422"</f>
        <v>410324200104033422</v>
      </c>
      <c r="B3589" s="1" t="str">
        <f t="shared" si="1772"/>
        <v>群众</v>
      </c>
      <c r="C3589" s="1" t="str">
        <f t="shared" ref="C3589:C3594" si="1774">"本科"</f>
        <v>本科</v>
      </c>
      <c r="D3589" s="1" t="str">
        <f>"2025.7"</f>
        <v>2025.7</v>
      </c>
      <c r="E3589" s="1" t="str">
        <f>"信阳师范大学"</f>
        <v>信阳师范大学</v>
      </c>
      <c r="F3589" s="1" t="str">
        <f>"教育学"</f>
        <v>教育学</v>
      </c>
      <c r="G3589" s="1" t="str">
        <f>"河南省洛阳市栾川县陶湾镇"</f>
        <v>河南省洛阳市栾川县陶湾镇</v>
      </c>
      <c r="H3589" s="1" t="str">
        <f t="shared" ref="H3589:H3597" si="1775">"无"</f>
        <v>无</v>
      </c>
      <c r="I3589" s="1" t="str">
        <f>"2016.9-2019.7栾川县实验高中  普通高中
2019.9-2022.7商丘职业技术学院  幼儿发展与健康管理  普通专科
2023.2-2025.7信阳师范大学  教育学    非全本科"</f>
        <v>2016.9-2019.7栾川县实验高中  普通高中
2019.9-2022.7商丘职业技术学院  幼儿发展与健康管理  普通专科
2023.2-2025.7信阳师范大学  教育学    非全本科</v>
      </c>
    </row>
    <row r="3590" spans="1:9">
      <c r="A3590" s="1" t="str">
        <f>"410329199806120033"</f>
        <v>410329199806120033</v>
      </c>
      <c r="B3590" s="1" t="str">
        <f t="shared" si="1772"/>
        <v>群众</v>
      </c>
      <c r="C3590" s="1" t="str">
        <f t="shared" si="1774"/>
        <v>本科</v>
      </c>
      <c r="D3590" s="1" t="str">
        <f>"20210701"</f>
        <v>20210701</v>
      </c>
      <c r="E3590" s="1" t="str">
        <f>"信阳农林学院"</f>
        <v>信阳农林学院</v>
      </c>
      <c r="F3590" s="1" t="str">
        <f>"审计学"</f>
        <v>审计学</v>
      </c>
      <c r="G3590" s="1" t="str">
        <f>"河南省洛阳市伊川县伊滨化工小区"</f>
        <v>河南省洛阳市伊川县伊滨化工小区</v>
      </c>
      <c r="H3590" s="1" t="str">
        <f t="shared" si="1775"/>
        <v>无</v>
      </c>
      <c r="I3590" s="1" t="str">
        <f>"201709-202107  信阳农林学院就读   财经学院  审计学专业   是全日制学历"</f>
        <v>201709-202107  信阳农林学院就读   财经学院  审计学专业   是全日制学历</v>
      </c>
    </row>
    <row r="3591" spans="1:9">
      <c r="A3591" s="1" t="str">
        <f>"41132720010130002X"</f>
        <v>41132720010130002X</v>
      </c>
      <c r="B3591" s="1" t="str">
        <f>"共青团员"</f>
        <v>共青团员</v>
      </c>
      <c r="C3591" s="1" t="str">
        <f>"硕士研究生"</f>
        <v>硕士研究生</v>
      </c>
      <c r="D3591" s="1" t="str">
        <f>"20250622"</f>
        <v>20250622</v>
      </c>
      <c r="E3591" s="1" t="str">
        <f>"上海应用技术大学"</f>
        <v>上海应用技术大学</v>
      </c>
      <c r="F3591" s="1" t="str">
        <f>"管理科学与工程"</f>
        <v>管理科学与工程</v>
      </c>
      <c r="G3591" s="1" t="str">
        <f>"河南省内乡县城关镇清真寺村清真寺西路5号"</f>
        <v>河南省内乡县城关镇清真寺村清真寺西路5号</v>
      </c>
      <c r="H3591" s="1" t="str">
        <f t="shared" si="1775"/>
        <v>无</v>
      </c>
      <c r="I3591" s="1" t="str">
        <f>"201809-202206，河南财经政法大学 工程管理与房地产学院 工程造价专业  就读，本科，全日制；
202209-202506，上海应用技术大学 经济与管理学院 管理科学与工程专业 就读，硕士，全日制"</f>
        <v>201809-202206，河南财经政法大学 工程管理与房地产学院 工程造价专业  就读，本科，全日制；
202209-202506，上海应用技术大学 经济与管理学院 管理科学与工程专业 就读，硕士，全日制</v>
      </c>
    </row>
    <row r="3592" spans="1:9">
      <c r="A3592" s="1" t="str">
        <f>"411381200006173948"</f>
        <v>411381200006173948</v>
      </c>
      <c r="B3592" s="1" t="str">
        <f t="shared" ref="B3592:B3596" si="1776">"群众"</f>
        <v>群众</v>
      </c>
      <c r="C3592" s="1" t="str">
        <f t="shared" si="1773"/>
        <v>专科</v>
      </c>
      <c r="D3592" s="1" t="str">
        <f>"20210701"</f>
        <v>20210701</v>
      </c>
      <c r="E3592" s="1" t="str">
        <f>"郑州财经学院"</f>
        <v>郑州财经学院</v>
      </c>
      <c r="F3592" s="1" t="str">
        <f>"金融管理"</f>
        <v>金融管理</v>
      </c>
      <c r="G3592" s="1" t="str">
        <f>"河南省南阳市邓州市罗庄镇"</f>
        <v>河南省南阳市邓州市罗庄镇</v>
      </c>
      <c r="H3592" s="1" t="str">
        <f t="shared" si="1775"/>
        <v>无</v>
      </c>
      <c r="I3592" s="1" t="str">
        <f>"201809-202107 郑州财经学院金融学院金融管理专业普通全日制形式就读。
202107-至今 待业"</f>
        <v>201809-202107 郑州财经学院金融学院金融管理专业普通全日制形式就读。
202107-至今 待业</v>
      </c>
    </row>
    <row r="3593" spans="1:9">
      <c r="A3593" s="1" t="str">
        <f>"411327199612164917"</f>
        <v>411327199612164917</v>
      </c>
      <c r="B3593" s="1" t="str">
        <f t="shared" si="1776"/>
        <v>群众</v>
      </c>
      <c r="C3593" s="1" t="str">
        <f t="shared" si="1773"/>
        <v>专科</v>
      </c>
      <c r="D3593" s="1" t="str">
        <f>"20180701"</f>
        <v>20180701</v>
      </c>
      <c r="E3593" s="1" t="str">
        <f>"河南工业大学"</f>
        <v>河南工业大学</v>
      </c>
      <c r="F3593" s="1" t="str">
        <f>"工程造价"</f>
        <v>工程造价</v>
      </c>
      <c r="G3593" s="1" t="str">
        <f>"城关镇"</f>
        <v>城关镇</v>
      </c>
      <c r="H3593" s="1" t="str">
        <f t="shared" si="1775"/>
        <v>无</v>
      </c>
      <c r="I3593" s="1" t="str">
        <f>"201509-201806 河南工业大学学校 中英国际学院全日制学校就读
"</f>
        <v>201509-201806 河南工业大学学校 中英国际学院全日制学校就读
</v>
      </c>
    </row>
    <row r="3594" spans="1:9">
      <c r="A3594" s="1" t="str">
        <f>"411323200305294842"</f>
        <v>411323200305294842</v>
      </c>
      <c r="B3594" s="1" t="str">
        <f t="shared" ref="B3594:B3598" si="1777">"共青团员"</f>
        <v>共青团员</v>
      </c>
      <c r="C3594" s="1" t="str">
        <f t="shared" si="1774"/>
        <v>本科</v>
      </c>
      <c r="D3594" s="1" t="str">
        <f>"20250620"</f>
        <v>20250620</v>
      </c>
      <c r="E3594" s="1" t="str">
        <f>"中原科技学院"</f>
        <v>中原科技学院</v>
      </c>
      <c r="F3594" s="1" t="str">
        <f>"土木工程"</f>
        <v>土木工程</v>
      </c>
      <c r="G3594" s="1" t="str">
        <f>"河南省南阳市西峡县"</f>
        <v>河南省南阳市西峡县</v>
      </c>
      <c r="H3594" s="1" t="str">
        <f t="shared" si="1775"/>
        <v>无</v>
      </c>
      <c r="I3594" s="1" t="str">
        <f>"202109-202506 中原科技学院土木建筑学院土木工程专业就读，全日制学历"</f>
        <v>202109-202506 中原科技学院土木建筑学院土木工程专业就读，全日制学历</v>
      </c>
    </row>
    <row r="3595" spans="1:9">
      <c r="A3595" s="1" t="str">
        <f>"411303200206050193"</f>
        <v>411303200206050193</v>
      </c>
      <c r="B3595" s="1" t="str">
        <f t="shared" si="1776"/>
        <v>群众</v>
      </c>
      <c r="C3595" s="1" t="str">
        <f>"专科"</f>
        <v>专科</v>
      </c>
      <c r="D3595" s="1" t="str">
        <f>"20240625"</f>
        <v>20240625</v>
      </c>
      <c r="E3595" s="1" t="str">
        <f>"天津国土资源和房屋职业学院"</f>
        <v>天津国土资源和房屋职业学院</v>
      </c>
      <c r="F3595" s="1" t="str">
        <f>"国土资源调查与管理"</f>
        <v>国土资源调查与管理</v>
      </c>
      <c r="G3595" s="1" t="str">
        <f>"河南省南阳卧龙区王村乡军民路口驰诚驾校"</f>
        <v>河南省南阳卧龙区王村乡军民路口驰诚驾校</v>
      </c>
      <c r="H3595" s="1" t="str">
        <f t="shared" si="1775"/>
        <v>无</v>
      </c>
      <c r="I3595" s="1" t="str">
        <f>"202109-202406在天津国土资源和房屋职业学院不动产管理学院国土资源调查与管理专业就读全日制专科学历
202406至今在家待业"</f>
        <v>202109-202406在天津国土资源和房屋职业学院不动产管理学院国土资源调查与管理专业就读全日制专科学历
202406至今在家待业</v>
      </c>
    </row>
    <row r="3596" spans="1:9">
      <c r="A3596" s="1" t="str">
        <f>"410329200102090054"</f>
        <v>410329200102090054</v>
      </c>
      <c r="B3596" s="1" t="str">
        <f t="shared" si="1776"/>
        <v>群众</v>
      </c>
      <c r="C3596" s="1" t="str">
        <f t="shared" ref="C3596:C3601" si="1778">"本科"</f>
        <v>本科</v>
      </c>
      <c r="D3596" s="1" t="str">
        <f>"2025.06.06"</f>
        <v>2025.06.06</v>
      </c>
      <c r="E3596" s="1" t="str">
        <f>"南阳师范学院"</f>
        <v>南阳师范学院</v>
      </c>
      <c r="F3596" s="1" t="str">
        <f>"软件工程"</f>
        <v>软件工程</v>
      </c>
      <c r="G3596" s="1" t="str">
        <f>"河南省洛阳市伊川县城关镇广电局家属院"</f>
        <v>河南省洛阳市伊川县城关镇广电局家属院</v>
      </c>
      <c r="H3596" s="1" t="str">
        <f t="shared" si="1775"/>
        <v>无</v>
      </c>
      <c r="I3596" s="1" t="str">
        <f>"2021.09-2025.06 南阳师范学院人工智能与软件工程学院软件工程专业 就读 是否全日制学历:是"</f>
        <v>2021.09-2025.06 南阳师范学院人工智能与软件工程学院软件工程专业 就读 是否全日制学历:是</v>
      </c>
    </row>
    <row r="3597" spans="1:9">
      <c r="A3597" s="1" t="str">
        <f>"411327200108100645"</f>
        <v>411327200108100645</v>
      </c>
      <c r="B3597" s="1" t="str">
        <f t="shared" si="1777"/>
        <v>共青团员</v>
      </c>
      <c r="C3597" s="1" t="str">
        <f t="shared" si="1778"/>
        <v>本科</v>
      </c>
      <c r="D3597" s="1" t="str">
        <f>"2023-07-01"</f>
        <v>2023-07-01</v>
      </c>
      <c r="E3597" s="1" t="str">
        <f>"河南师范大学新联学院"</f>
        <v>河南师范大学新联学院</v>
      </c>
      <c r="F3597" s="1" t="str">
        <f>"汉语言文学"</f>
        <v>汉语言文学</v>
      </c>
      <c r="G3597" s="1" t="str">
        <f>"河南省南阳市内乡县马山口镇岳岗村"</f>
        <v>河南省南阳市内乡县马山口镇岳岗村</v>
      </c>
      <c r="H3597" s="1" t="str">
        <f t="shared" si="1775"/>
        <v>无</v>
      </c>
      <c r="I3597" s="1" t="str">
        <f>"201909-202307 河南师范大学新联学院 就读"</f>
        <v>201909-202307 河南师范大学新联学院 就读</v>
      </c>
    </row>
    <row r="3598" spans="1:9">
      <c r="A3598" s="1" t="str">
        <f>"411327199004154520"</f>
        <v>411327199004154520</v>
      </c>
      <c r="B3598" s="1" t="str">
        <f t="shared" si="1777"/>
        <v>共青团员</v>
      </c>
      <c r="C3598" s="1" t="str">
        <f t="shared" si="1778"/>
        <v>本科</v>
      </c>
      <c r="D3598" s="1" t="str">
        <f t="shared" ref="D3598:D3601" si="1779">"20240701"</f>
        <v>20240701</v>
      </c>
      <c r="E3598" s="1" t="str">
        <f>"信阳师范大学"</f>
        <v>信阳师范大学</v>
      </c>
      <c r="F3598" s="1" t="str">
        <f>"教育学"</f>
        <v>教育学</v>
      </c>
      <c r="G3598" s="1" t="str">
        <f>"河南省南阳市内乡县湍东镇"</f>
        <v>河南省南阳市内乡县湍东镇</v>
      </c>
      <c r="H3598" s="1" t="str">
        <f>"小学教师资格证"</f>
        <v>小学教师资格证</v>
      </c>
      <c r="I3598" s="1" t="str">
        <f>"201009-201307 漯河食品职业学院
202203-202407 信阳师范大学"</f>
        <v>201009-201307 漯河食品职业学院
202203-202407 信阳师范大学</v>
      </c>
    </row>
    <row r="3599" spans="1:9">
      <c r="A3599" s="1" t="str">
        <f>"411303200106196734"</f>
        <v>411303200106196734</v>
      </c>
      <c r="B3599" s="1" t="str">
        <f>"中共党员"</f>
        <v>中共党员</v>
      </c>
      <c r="C3599" s="1" t="str">
        <f t="shared" si="1778"/>
        <v>本科</v>
      </c>
      <c r="D3599" s="1" t="str">
        <f t="shared" si="1779"/>
        <v>20240701</v>
      </c>
      <c r="E3599" s="1" t="str">
        <f>"郑州财经学院"</f>
        <v>郑州财经学院</v>
      </c>
      <c r="F3599" s="1" t="str">
        <f>"软件工程"</f>
        <v>软件工程</v>
      </c>
      <c r="G3599" s="1" t="str">
        <f>"河南省南阳市卧龙区王村乡方营村"</f>
        <v>河南省南阳市卧龙区王村乡方营村</v>
      </c>
      <c r="H3599" s="1" t="str">
        <f t="shared" ref="H3599:H3603" si="1780">"无"</f>
        <v>无</v>
      </c>
      <c r="I3599" s="1" t="str">
        <f>"202009-202407 郑州财经学院 软件工程专业就读 全日制本科学历"</f>
        <v>202009-202407 郑州财经学院 软件工程专业就读 全日制本科学历</v>
      </c>
    </row>
    <row r="3600" spans="1:9">
      <c r="A3600" s="1" t="str">
        <f>"411323199205105340"</f>
        <v>411323199205105340</v>
      </c>
      <c r="B3600" s="1" t="str">
        <f>"群众"</f>
        <v>群众</v>
      </c>
      <c r="C3600" s="1" t="str">
        <f t="shared" si="1778"/>
        <v>本科</v>
      </c>
      <c r="D3600" s="1" t="str">
        <f>"20160701"</f>
        <v>20160701</v>
      </c>
      <c r="E3600" s="1" t="str">
        <f>"郑州大学"</f>
        <v>郑州大学</v>
      </c>
      <c r="F3600" s="1" t="str">
        <f>"会计学（审计方向）"</f>
        <v>会计学（审计方向）</v>
      </c>
      <c r="G3600" s="1" t="str">
        <f>"河南省淅川县香花镇蒿溪村"</f>
        <v>河南省淅川县香花镇蒿溪村</v>
      </c>
      <c r="H3600" s="1" t="str">
        <f>"初级会计证"</f>
        <v>初级会计证</v>
      </c>
      <c r="I3600" s="1" t="str">
        <f>"2012年9月-2016年7月，就读于郑州大学西亚斯国际学院会计学（审计方向） 全日制学历
2016年7月-2016年12月，在郑州闽龙贸易公司担任助理会计一职
2017年2月-2021年3月，在河南群卓商贸有限公司担任会计一职
2021年4月-2025年4月，在河南昌晋源金属材料有限公司担任会计一职"</f>
        <v>2012年9月-2016年7月，就读于郑州大学西亚斯国际学院会计学（审计方向） 全日制学历
2016年7月-2016年12月，在郑州闽龙贸易公司担任助理会计一职
2017年2月-2021年3月，在河南群卓商贸有限公司担任会计一职
2021年4月-2025年4月，在河南昌晋源金属材料有限公司担任会计一职</v>
      </c>
    </row>
    <row r="3601" spans="1:9">
      <c r="A3601" s="1" t="str">
        <f>"411327200207250016"</f>
        <v>411327200207250016</v>
      </c>
      <c r="B3601" s="1" t="str">
        <f t="shared" ref="B3601:B3603" si="1781">"共青团员"</f>
        <v>共青团员</v>
      </c>
      <c r="C3601" s="1" t="str">
        <f t="shared" si="1778"/>
        <v>本科</v>
      </c>
      <c r="D3601" s="1" t="str">
        <f t="shared" si="1779"/>
        <v>20240701</v>
      </c>
      <c r="E3601" s="1" t="str">
        <f>"黄河交通学院"</f>
        <v>黄河交通学院</v>
      </c>
      <c r="F3601" s="1" t="str">
        <f>"汽车服务工程"</f>
        <v>汽车服务工程</v>
      </c>
      <c r="G3601" s="1" t="str">
        <f>"河南省内乡县大成相府"</f>
        <v>河南省内乡县大成相府</v>
      </c>
      <c r="H3601" s="1" t="str">
        <f t="shared" si="1780"/>
        <v>无</v>
      </c>
      <c r="I3601" s="1" t="str">
        <f>"202009-202407在黄河交通学院汽车服务工程专业就读，是全日制学历。"</f>
        <v>202009-202407在黄河交通学院汽车服务工程专业就读，是全日制学历。</v>
      </c>
    </row>
    <row r="3602" spans="1:9">
      <c r="A3602" s="1" t="str">
        <f>"411327200101082050"</f>
        <v>411327200101082050</v>
      </c>
      <c r="B3602" s="1" t="str">
        <f t="shared" si="1781"/>
        <v>共青团员</v>
      </c>
      <c r="C3602" s="1" t="str">
        <f>"专科"</f>
        <v>专科</v>
      </c>
      <c r="D3602" s="1" t="str">
        <f>"20240601"</f>
        <v>20240601</v>
      </c>
      <c r="E3602" s="1" t="str">
        <f>"河南司法警官职业学院"</f>
        <v>河南司法警官职业学院</v>
      </c>
      <c r="F3602" s="1" t="str">
        <f>"法律文秘"</f>
        <v>法律文秘</v>
      </c>
      <c r="G3602" s="1" t="str">
        <f>"河南省南阳市内乡县师岗镇江营村西坡南"</f>
        <v>河南省南阳市内乡县师岗镇江营村西坡南</v>
      </c>
      <c r="H3602" s="1" t="str">
        <f>"三级秘书职业技能证"</f>
        <v>三级秘书职业技能证</v>
      </c>
      <c r="I3602" s="1" t="str">
        <f>"202109-202406 河南司法警官职业学院 法律文秘 全日制
202409-至今在河南省南阳市内乡县待业
"</f>
        <v>202109-202406 河南司法警官职业学院 法律文秘 全日制
202409-至今在河南省南阳市内乡县待业
</v>
      </c>
    </row>
    <row r="3603" spans="1:9">
      <c r="A3603" s="1" t="str">
        <f>"411327200010311145"</f>
        <v>411327200010311145</v>
      </c>
      <c r="B3603" s="1" t="str">
        <f t="shared" si="1781"/>
        <v>共青团员</v>
      </c>
      <c r="C3603" s="1" t="str">
        <f t="shared" ref="C3603:C3605" si="1782">"本科"</f>
        <v>本科</v>
      </c>
      <c r="D3603" s="1" t="str">
        <f>"2022年07月1日"</f>
        <v>2022年07月1日</v>
      </c>
      <c r="E3603" s="1" t="str">
        <f>"郑州财经学院"</f>
        <v>郑州财经学院</v>
      </c>
      <c r="F3603" s="1" t="str">
        <f>"物流管理"</f>
        <v>物流管理</v>
      </c>
      <c r="G3603" s="1" t="str">
        <f>"河南省南阳市内乡县"</f>
        <v>河南省南阳市内乡县</v>
      </c>
      <c r="H3603" s="1" t="str">
        <f t="shared" si="1780"/>
        <v>无</v>
      </c>
      <c r="I3603" s="1" t="str">
        <f>"201809-202207郑州财经学院，管理学院，物流管理专业就读，为全日制本科学历；202209至今，就业"</f>
        <v>201809-202207郑州财经学院，管理学院，物流管理专业就读，为全日制本科学历；202209至今，就业</v>
      </c>
    </row>
    <row r="3604" spans="1:9">
      <c r="A3604" s="1" t="str">
        <f>"411325199911020072"</f>
        <v>411325199911020072</v>
      </c>
      <c r="B3604" s="1" t="str">
        <f>"中共党员"</f>
        <v>中共党员</v>
      </c>
      <c r="C3604" s="1" t="str">
        <f t="shared" si="1782"/>
        <v>本科</v>
      </c>
      <c r="D3604" s="1" t="str">
        <f>"20240710"</f>
        <v>20240710</v>
      </c>
      <c r="E3604" s="1" t="str">
        <f>"郑州商学院"</f>
        <v>郑州商学院</v>
      </c>
      <c r="F3604" s="1" t="str">
        <f>"电气工程及其自动化"</f>
        <v>电气工程及其自动化</v>
      </c>
      <c r="G3604" s="1" t="str">
        <f>"河南省南阳市内乡县城关镇大成相府"</f>
        <v>河南省南阳市内乡县城关镇大成相府</v>
      </c>
      <c r="H3604" s="1" t="str">
        <f>"普通话证书"</f>
        <v>普通话证书</v>
      </c>
      <c r="I3604" s="1" t="str">
        <f>"201909-202207 黄河科技学院 就读 全日制
202209-202407 郑州商学院 就读 全日制"</f>
        <v>201909-202207 黄河科技学院 就读 全日制
202209-202407 郑州商学院 就读 全日制</v>
      </c>
    </row>
    <row r="3605" spans="1:9">
      <c r="A3605" s="1" t="str">
        <f>"411327200104100103"</f>
        <v>411327200104100103</v>
      </c>
      <c r="B3605" s="1" t="str">
        <f t="shared" ref="B3605:B3608" si="1783">"群众"</f>
        <v>群众</v>
      </c>
      <c r="C3605" s="1" t="str">
        <f t="shared" si="1782"/>
        <v>本科</v>
      </c>
      <c r="D3605" s="1" t="str">
        <f>"20190702"</f>
        <v>20190702</v>
      </c>
      <c r="E3605" s="1" t="str">
        <f>"洛阳师范学院"</f>
        <v>洛阳师范学院</v>
      </c>
      <c r="F3605" s="1" t="str">
        <f>"学前教育专业"</f>
        <v>学前教育专业</v>
      </c>
      <c r="G3605" s="1" t="str">
        <f>"河南省南阳市内乡县民政局附近"</f>
        <v>河南省南阳市内乡县民政局附近</v>
      </c>
      <c r="H3605" s="1" t="str">
        <f t="shared" ref="H3605:H3619" si="1784">"无"</f>
        <v>无</v>
      </c>
      <c r="I3605" s="1" t="str">
        <f>"201909-20230702 洛阳师范学院学前教育学院学前教育专业就读 全日制学历"</f>
        <v>201909-20230702 洛阳师范学院学前教育学院学前教育专业就读 全日制学历</v>
      </c>
    </row>
    <row r="3606" spans="1:9">
      <c r="A3606" s="1" t="str">
        <f>"411326200001182410"</f>
        <v>411326200001182410</v>
      </c>
      <c r="B3606" s="1" t="str">
        <f t="shared" si="1783"/>
        <v>群众</v>
      </c>
      <c r="C3606" s="1" t="str">
        <f>"硕士研究生"</f>
        <v>硕士研究生</v>
      </c>
      <c r="D3606" s="1" t="str">
        <f>"20250607"</f>
        <v>20250607</v>
      </c>
      <c r="E3606" s="1" t="str">
        <f>"河南大学"</f>
        <v>河南大学</v>
      </c>
      <c r="F3606" s="1" t="str">
        <f>"社会体育指导"</f>
        <v>社会体育指导</v>
      </c>
      <c r="G3606" s="1" t="str">
        <f>"河南省南阳市南召县太山庙乡张沟村上辛组"</f>
        <v>河南省南阳市南召县太山庙乡张沟村上辛组</v>
      </c>
      <c r="H3606" s="1" t="str">
        <f t="shared" si="1784"/>
        <v>无</v>
      </c>
      <c r="I3606" s="1" t="str">
        <f>"201809-202206 南阳师范学院 体育学院 体育教育专业就读 是全日制
202209-202506 河南大学 体育学院 社会体育指导专业就读 是全日制"</f>
        <v>201809-202206 南阳师范学院 体育学院 体育教育专业就读 是全日制
202209-202506 河南大学 体育学院 社会体育指导专业就读 是全日制</v>
      </c>
    </row>
    <row r="3607" spans="1:9">
      <c r="A3607" s="1" t="str">
        <f>"410184200011162511"</f>
        <v>410184200011162511</v>
      </c>
      <c r="B3607" s="1" t="str">
        <f>"中共党员"</f>
        <v>中共党员</v>
      </c>
      <c r="C3607" s="1" t="str">
        <f>"专科"</f>
        <v>专科</v>
      </c>
      <c r="D3607" s="1" t="str">
        <f>"20230701"</f>
        <v>20230701</v>
      </c>
      <c r="E3607" s="1" t="str">
        <f>"河南司法警官职业学院"</f>
        <v>河南司法警官职业学院</v>
      </c>
      <c r="F3607" s="1" t="str">
        <f>"罪犯心理测量与矫正技术"</f>
        <v>罪犯心理测量与矫正技术</v>
      </c>
      <c r="G3607" s="1" t="str">
        <f>"1817473569@qq.com"</f>
        <v>1817473569@qq.com</v>
      </c>
      <c r="H3607" s="1" t="str">
        <f t="shared" si="1784"/>
        <v>无</v>
      </c>
      <c r="I3607" s="1" t="str">
        <f>"202307-至今 在家待业
202009-202307 河南司法警官职业学院 就读 罪犯心理测量与矫正技术 是全日制学历
"</f>
        <v>202307-至今 在家待业
202009-202307 河南司法警官职业学院 就读 罪犯心理测量与矫正技术 是全日制学历
</v>
      </c>
    </row>
    <row r="3608" spans="1:9">
      <c r="A3608" s="1" t="str">
        <f>"411303199405212831"</f>
        <v>411303199405212831</v>
      </c>
      <c r="B3608" s="1" t="str">
        <f t="shared" si="1783"/>
        <v>群众</v>
      </c>
      <c r="C3608" s="1" t="str">
        <f t="shared" ref="C3608:C3614" si="1785">"本科"</f>
        <v>本科</v>
      </c>
      <c r="D3608" s="1" t="str">
        <f>"20160701"</f>
        <v>20160701</v>
      </c>
      <c r="E3608" s="1" t="str">
        <f>"重庆三峡学院"</f>
        <v>重庆三峡学院</v>
      </c>
      <c r="F3608" s="1" t="str">
        <f>"计算机科学与技术"</f>
        <v>计算机科学与技术</v>
      </c>
      <c r="G3608" s="1" t="str">
        <f>"南阳市卧龙区蒲山镇马寨村马寨6组160号"</f>
        <v>南阳市卧龙区蒲山镇马寨村马寨6组160号</v>
      </c>
      <c r="H3608" s="1" t="str">
        <f t="shared" si="1784"/>
        <v>无</v>
      </c>
      <c r="I3608" s="1" t="str">
        <f>"201209-201607重庆三峡学院计算机科学与工程学院计算机科学与技术专业学生，全日制学历
201607-201703河南省南阳市卧龙区蒲山镇马寨村待业
201704-201903南阳市公安局监所管理支队公益性岗位
201904-202412南阳市公安局特殊警务支队从事警务辅助工作
202412至今在南阳中燃宏洁能源发展有限公司工作"</f>
        <v>201209-201607重庆三峡学院计算机科学与工程学院计算机科学与技术专业学生，全日制学历
201607-201703河南省南阳市卧龙区蒲山镇马寨村待业
201704-201903南阳市公安局监所管理支队公益性岗位
201904-202412南阳市公安局特殊警务支队从事警务辅助工作
202412至今在南阳中燃宏洁能源发展有限公司工作</v>
      </c>
    </row>
    <row r="3609" spans="1:9">
      <c r="A3609" s="1" t="str">
        <f>"411329200311090326"</f>
        <v>411329200311090326</v>
      </c>
      <c r="B3609" s="1" t="str">
        <f t="shared" ref="B3609:B3614" si="1786">"共青团员"</f>
        <v>共青团员</v>
      </c>
      <c r="C3609" s="1" t="str">
        <f t="shared" si="1785"/>
        <v>本科</v>
      </c>
      <c r="D3609" s="1" t="str">
        <f>"20250628"</f>
        <v>20250628</v>
      </c>
      <c r="E3609" s="1" t="str">
        <f>"沈阳城市建设学院"</f>
        <v>沈阳城市建设学院</v>
      </c>
      <c r="F3609" s="1" t="str">
        <f>"工程造价"</f>
        <v>工程造价</v>
      </c>
      <c r="G3609" s="1" t="str">
        <f>"河南省南阳市社旗县赊店镇陈庄"</f>
        <v>河南省南阳市社旗县赊店镇陈庄</v>
      </c>
      <c r="H3609" s="1" t="str">
        <f t="shared" si="1784"/>
        <v>无</v>
      </c>
      <c r="I3609" s="1" t="str">
        <f>"202109-202506 在沈阳城市建设学院管理学院工程造价专业就读，是全日制学历。"</f>
        <v>202109-202506 在沈阳城市建设学院管理学院工程造价专业就读，是全日制学历。</v>
      </c>
    </row>
    <row r="3610" spans="1:9">
      <c r="A3610" s="1" t="str">
        <f>"412828199206164924"</f>
        <v>412828199206164924</v>
      </c>
      <c r="B3610" s="1" t="str">
        <f t="shared" ref="B3610:B3613" si="1787">"群众"</f>
        <v>群众</v>
      </c>
      <c r="C3610" s="1" t="str">
        <f t="shared" si="1785"/>
        <v>本科</v>
      </c>
      <c r="D3610" s="1" t="str">
        <f>"2015年7月"</f>
        <v>2015年7月</v>
      </c>
      <c r="E3610" s="1" t="str">
        <f>"信阳师范学院"</f>
        <v>信阳师范学院</v>
      </c>
      <c r="F3610" s="1" t="str">
        <f>"会计学"</f>
        <v>会计学</v>
      </c>
      <c r="G3610" s="1" t="str">
        <f>"河南省驻马店东方公馆"</f>
        <v>河南省驻马店东方公馆</v>
      </c>
      <c r="H3610" s="1" t="str">
        <f t="shared" si="1784"/>
        <v>无</v>
      </c>
      <c r="I3610" s="1" t="str">
        <f>"2009年-2012年驻马店职业技术学院 会计电算化 全日制
2013年3月至2015年7月信阳师范学院 会计学 函授"</f>
        <v>2009年-2012年驻马店职业技术学院 会计电算化 全日制
2013年3月至2015年7月信阳师范学院 会计学 函授</v>
      </c>
    </row>
    <row r="3611" spans="1:9">
      <c r="A3611" s="1" t="str">
        <f>"411327200102154554"</f>
        <v>411327200102154554</v>
      </c>
      <c r="B3611" s="1" t="str">
        <f t="shared" si="1786"/>
        <v>共青团员</v>
      </c>
      <c r="C3611" s="1" t="str">
        <f t="shared" si="1785"/>
        <v>本科</v>
      </c>
      <c r="D3611" s="1" t="str">
        <f>"20230620"</f>
        <v>20230620</v>
      </c>
      <c r="E3611" s="1" t="str">
        <f>"吉林农业大学"</f>
        <v>吉林农业大学</v>
      </c>
      <c r="F3611" s="1" t="str">
        <f>"设施农业科学与工程"</f>
        <v>设施农业科学与工程</v>
      </c>
      <c r="G3611" s="1" t="str">
        <f>"河南省南阳市内乡县赵店乡长岭村"</f>
        <v>河南省南阳市内乡县赵店乡长岭村</v>
      </c>
      <c r="H3611" s="1" t="str">
        <f t="shared" si="1784"/>
        <v>无</v>
      </c>
      <c r="I3611" s="1" t="str">
        <f>"201909-202306吉林农业大学就读
202307-202411中化现代农业（河南）有限公司担任推广农艺师"</f>
        <v>201909-202306吉林农业大学就读
202307-202411中化现代农业（河南）有限公司担任推广农艺师</v>
      </c>
    </row>
    <row r="3612" spans="1:9">
      <c r="A3612" s="1" t="str">
        <f>"41132119980401072X"</f>
        <v>41132119980401072X</v>
      </c>
      <c r="B3612" s="1" t="str">
        <f t="shared" si="1787"/>
        <v>群众</v>
      </c>
      <c r="C3612" s="1" t="str">
        <f t="shared" si="1785"/>
        <v>本科</v>
      </c>
      <c r="D3612" s="1" t="str">
        <f>"20210701"</f>
        <v>20210701</v>
      </c>
      <c r="E3612" s="1" t="str">
        <f>"河南科技学院"</f>
        <v>河南科技学院</v>
      </c>
      <c r="F3612" s="1" t="str">
        <f>"种子科学与工程"</f>
        <v>种子科学与工程</v>
      </c>
      <c r="G3612" s="1" t="str">
        <f>"河南省南阳市桐柏县安棚镇马庄转盘"</f>
        <v>河南省南阳市桐柏县安棚镇马庄转盘</v>
      </c>
      <c r="H3612" s="1" t="str">
        <f t="shared" si="1784"/>
        <v>无</v>
      </c>
      <c r="I3612" s="1" t="str">
        <f>"201709-202107在河南科技学院，生命科学学院农学系种子科学与工程专业就读；202105-202109在中国农科院作物研究所任助理一职；2021010-202202在家待业；202203-202309在南阳市桐柏县毛集镇人民政府上班公益岗；202310-202403在家待业；202404-202410在桐柏县太平洋财产保险股份有限公司上班农险部内勤；202411-至今在家待业。"</f>
        <v>201709-202107在河南科技学院，生命科学学院农学系种子科学与工程专业就读；202105-202109在中国农科院作物研究所任助理一职；2021010-202202在家待业；202203-202309在南阳市桐柏县毛集镇人民政府上班公益岗；202310-202403在家待业；202404-202410在桐柏县太平洋财产保险股份有限公司上班农险部内勤；202411-至今在家待业。</v>
      </c>
    </row>
    <row r="3613" spans="1:9">
      <c r="A3613" s="1" t="str">
        <f>"411322199706153838"</f>
        <v>411322199706153838</v>
      </c>
      <c r="B3613" s="1" t="str">
        <f t="shared" si="1787"/>
        <v>群众</v>
      </c>
      <c r="C3613" s="1" t="str">
        <f t="shared" si="1785"/>
        <v>本科</v>
      </c>
      <c r="D3613" s="1" t="str">
        <f>"2020-07-01"</f>
        <v>2020-07-01</v>
      </c>
      <c r="E3613" s="1" t="str">
        <f>"信阳师范学院"</f>
        <v>信阳师范学院</v>
      </c>
      <c r="F3613" s="1" t="str">
        <f>"经济学"</f>
        <v>经济学</v>
      </c>
      <c r="G3613" s="1" t="str">
        <f>"南阳市方城县凤瑞路汉唐明珠"</f>
        <v>南阳市方城县凤瑞路汉唐明珠</v>
      </c>
      <c r="H3613" s="1" t="str">
        <f t="shared" si="1784"/>
        <v>无</v>
      </c>
      <c r="I3613" s="1" t="str">
        <f>"201803-202007 信阳师范学院就读"</f>
        <v>201803-202007 信阳师范学院就读</v>
      </c>
    </row>
    <row r="3614" spans="1:9">
      <c r="A3614" s="1" t="str">
        <f>"411330200211222921"</f>
        <v>411330200211222921</v>
      </c>
      <c r="B3614" s="1" t="str">
        <f t="shared" si="1786"/>
        <v>共青团员</v>
      </c>
      <c r="C3614" s="1" t="str">
        <f t="shared" si="1785"/>
        <v>本科</v>
      </c>
      <c r="D3614" s="1" t="str">
        <f>"20240701"</f>
        <v>20240701</v>
      </c>
      <c r="E3614" s="1" t="str">
        <f>"河南财经政法大学"</f>
        <v>河南财经政法大学</v>
      </c>
      <c r="F3614" s="1" t="str">
        <f>"劳动与社会保障"</f>
        <v>劳动与社会保障</v>
      </c>
      <c r="G3614" s="1" t="str">
        <f>"河南省南阳市西峡县重阳镇四组"</f>
        <v>河南省南阳市西峡县重阳镇四组</v>
      </c>
      <c r="H3614" s="1" t="str">
        <f t="shared" si="1784"/>
        <v>无</v>
      </c>
      <c r="I3614" s="1" t="str">
        <f>"202009-202406 河南财经政法大学公共管理学院劳动与社会保障专业就读 全日制学历 202407-202508在家待业"</f>
        <v>202009-202406 河南财经政法大学公共管理学院劳动与社会保障专业就读 全日制学历 202407-202508在家待业</v>
      </c>
    </row>
    <row r="3615" spans="1:9">
      <c r="A3615" s="1" t="str">
        <f>"411324199703193431"</f>
        <v>411324199703193431</v>
      </c>
      <c r="B3615" s="1" t="str">
        <f>"群众"</f>
        <v>群众</v>
      </c>
      <c r="C3615" s="1" t="str">
        <f>"专科"</f>
        <v>专科</v>
      </c>
      <c r="D3615" s="1" t="str">
        <f>"2024.06"</f>
        <v>2024.06</v>
      </c>
      <c r="E3615" s="1" t="str">
        <f>"马鞍山师范高等专科学校"</f>
        <v>马鞍山师范高等专科学校</v>
      </c>
      <c r="F3615" s="1" t="str">
        <f>"小学语文教育（师范）"</f>
        <v>小学语文教育（师范）</v>
      </c>
      <c r="G3615" s="1" t="str">
        <f>"河南省镇平县御景华城"</f>
        <v>河南省镇平县御景华城</v>
      </c>
      <c r="H3615" s="1" t="str">
        <f t="shared" si="1784"/>
        <v>无</v>
      </c>
      <c r="I3615" s="1" t="str">
        <f>"202110-202406  马鞍山师范高等专科学校就读"</f>
        <v>202110-202406  马鞍山师范高等专科学校就读</v>
      </c>
    </row>
    <row r="3616" spans="1:9">
      <c r="A3616" s="1" t="str">
        <f>"411327200108122019"</f>
        <v>411327200108122019</v>
      </c>
      <c r="B3616" s="1" t="str">
        <f>"群众"</f>
        <v>群众</v>
      </c>
      <c r="C3616" s="1" t="str">
        <f t="shared" ref="C3616:C3625" si="1788">"本科"</f>
        <v>本科</v>
      </c>
      <c r="D3616" s="1" t="str">
        <f>"20230612"</f>
        <v>20230612</v>
      </c>
      <c r="E3616" s="1" t="str">
        <f>"新乡医学院"</f>
        <v>新乡医学院</v>
      </c>
      <c r="F3616" s="1" t="str">
        <f>"信息管理与信息系统"</f>
        <v>信息管理与信息系统</v>
      </c>
      <c r="G3616" s="1" t="str">
        <f>"河南省南阳市内乡县师岗镇"</f>
        <v>河南省南阳市内乡县师岗镇</v>
      </c>
      <c r="H3616" s="1" t="str">
        <f t="shared" si="1784"/>
        <v>无</v>
      </c>
      <c r="I3616" s="1" t="str">
        <f>"20190901-20230612 新乡医学院 就读
20240109-20241001 板场乡财政所"</f>
        <v>20190901-20230612 新乡医学院 就读
20240109-20241001 板场乡财政所</v>
      </c>
    </row>
    <row r="3617" spans="1:9">
      <c r="A3617" s="1" t="str">
        <f>"411324200208274256"</f>
        <v>411324200208274256</v>
      </c>
      <c r="B3617" s="1" t="str">
        <f>"中共党员"</f>
        <v>中共党员</v>
      </c>
      <c r="C3617" s="1" t="str">
        <f>"专科"</f>
        <v>专科</v>
      </c>
      <c r="D3617" s="1" t="str">
        <f>"20230701"</f>
        <v>20230701</v>
      </c>
      <c r="E3617" s="1" t="str">
        <f>"信阳职业技术学院"</f>
        <v>信阳职业技术学院</v>
      </c>
      <c r="F3617" s="1" t="str">
        <f>"电子商务"</f>
        <v>电子商务</v>
      </c>
      <c r="G3617" s="1" t="str">
        <f>"河南省南阳市镇平县"</f>
        <v>河南省南阳市镇平县</v>
      </c>
      <c r="H3617" s="1" t="str">
        <f t="shared" si="1784"/>
        <v>无</v>
      </c>
      <c r="I3617" s="1" t="str">
        <f>"2021年12月 荣获第三届河南省大学生跨境电商创新创业运营能力大赛三等奖；
2022年4月荣获第八界OCALE全国跨境电商创新创业能力大赛个人三等奖；
2022年4月在“第三届财商文化交流节”大学生反诈骗演讲比赛中，荣获一等奖；"</f>
        <v>2021年12月 荣获第三届河南省大学生跨境电商创新创业运营能力大赛三等奖；
2022年4月荣获第八界OCALE全国跨境电商创新创业能力大赛个人三等奖；
2022年4月在“第三届财商文化交流节”大学生反诈骗演讲比赛中，荣获一等奖；</v>
      </c>
    </row>
    <row r="3618" spans="1:9">
      <c r="A3618" s="1" t="str">
        <f>"411330199907052523"</f>
        <v>411330199907052523</v>
      </c>
      <c r="B3618" s="1" t="str">
        <f t="shared" ref="B3618:B3620" si="1789">"共青团员"</f>
        <v>共青团员</v>
      </c>
      <c r="C3618" s="1" t="str">
        <f t="shared" si="1788"/>
        <v>本科</v>
      </c>
      <c r="D3618" s="1" t="str">
        <f>"20210701"</f>
        <v>20210701</v>
      </c>
      <c r="E3618" s="1" t="str">
        <f>"河南财经政法大学"</f>
        <v>河南财经政法大学</v>
      </c>
      <c r="F3618" s="1" t="str">
        <f>"农林经济管理"</f>
        <v>农林经济管理</v>
      </c>
      <c r="G3618" s="1" t="str">
        <f>"河南省南阳市西峡县丁河镇"</f>
        <v>河南省南阳市西峡县丁河镇</v>
      </c>
      <c r="H3618" s="1" t="str">
        <f t="shared" si="1784"/>
        <v>无</v>
      </c>
      <c r="I3618" s="1" t="str">
        <f>"201709-202106 河南财经政法大学 农林经济管理专业全日制本科就读
202111-202304 泰康人寿保险集团有限公司 组训老师
202311-202505 京东物流运输有限公司 服务支持员"</f>
        <v>201709-202106 河南财经政法大学 农林经济管理专业全日制本科就读
202111-202304 泰康人寿保险集团有限公司 组训老师
202311-202505 京东物流运输有限公司 服务支持员</v>
      </c>
    </row>
    <row r="3619" spans="1:9">
      <c r="A3619" s="1" t="str">
        <f>"410324200202211114"</f>
        <v>410324200202211114</v>
      </c>
      <c r="B3619" s="1" t="str">
        <f t="shared" si="1789"/>
        <v>共青团员</v>
      </c>
      <c r="C3619" s="1" t="str">
        <f t="shared" si="1788"/>
        <v>本科</v>
      </c>
      <c r="D3619" s="1" t="str">
        <f>"20250701"</f>
        <v>20250701</v>
      </c>
      <c r="E3619" s="1" t="str">
        <f>"平顶山学院"</f>
        <v>平顶山学院</v>
      </c>
      <c r="F3619" s="1" t="str">
        <f>"城乡规划"</f>
        <v>城乡规划</v>
      </c>
      <c r="G3619" s="1" t="str">
        <f>"洛阳市合峪镇"</f>
        <v>洛阳市合峪镇</v>
      </c>
      <c r="H3619" s="1" t="str">
        <f t="shared" si="1784"/>
        <v>无</v>
      </c>
      <c r="I3619" s="1" t="str">
        <f>"202009—202507平顶山学院城乡规划就读"</f>
        <v>202009—202507平顶山学院城乡规划就读</v>
      </c>
    </row>
    <row r="3620" spans="1:9">
      <c r="A3620" s="1" t="str">
        <f>"411327200110130106"</f>
        <v>411327200110130106</v>
      </c>
      <c r="B3620" s="1" t="str">
        <f t="shared" si="1789"/>
        <v>共青团员</v>
      </c>
      <c r="C3620" s="1" t="str">
        <f t="shared" si="1788"/>
        <v>本科</v>
      </c>
      <c r="D3620" s="1" t="str">
        <f>"20250630"</f>
        <v>20250630</v>
      </c>
      <c r="E3620" s="1" t="str">
        <f>"黄河交通学院"</f>
        <v>黄河交通学院</v>
      </c>
      <c r="F3620" s="1" t="str">
        <f>"财务管理"</f>
        <v>财务管理</v>
      </c>
      <c r="G3620" s="1" t="str">
        <f>"河南省南阳市内乡县湍东镇五里堡村扳倒井"</f>
        <v>河南省南阳市内乡县湍东镇五里堡村扳倒井</v>
      </c>
      <c r="H3620" s="1" t="str">
        <f>"人力资源三级管理师资格证、财税应用等级证书、普通话二级甲等证书"</f>
        <v>人力资源三级管理师资格证、财税应用等级证书、普通话二级甲等证书</v>
      </c>
      <c r="I3620" s="1" t="str">
        <f>"202009-202306 黄河科技学院会计专业 全日制
202309-202506 黄河交通学院财务管理专业 全日制"</f>
        <v>202009-202306 黄河科技学院会计专业 全日制
202309-202506 黄河交通学院财务管理专业 全日制</v>
      </c>
    </row>
    <row r="3621" spans="1:9">
      <c r="A3621" s="1" t="str">
        <f>"411327200212070036"</f>
        <v>411327200212070036</v>
      </c>
      <c r="B3621" s="1" t="str">
        <f t="shared" ref="B3621:B3632" si="1790">"群众"</f>
        <v>群众</v>
      </c>
      <c r="C3621" s="1" t="str">
        <f t="shared" si="1788"/>
        <v>本科</v>
      </c>
      <c r="D3621" s="1" t="str">
        <f>"20250606"</f>
        <v>20250606</v>
      </c>
      <c r="E3621" s="1" t="str">
        <f>"河南理工大学"</f>
        <v>河南理工大学</v>
      </c>
      <c r="F3621" s="1" t="str">
        <f>"土木工程"</f>
        <v>土木工程</v>
      </c>
      <c r="G3621" s="1" t="str">
        <f>"河南省南阳市内乡县仙鹤生活区"</f>
        <v>河南省南阳市内乡县仙鹤生活区</v>
      </c>
      <c r="H3621" s="1" t="str">
        <f t="shared" ref="H3621:H3627" si="1791">"无"</f>
        <v>无</v>
      </c>
      <c r="I3621" s="1" t="str">
        <f>"202109-202506 河南理工大学 土木工程学院 土木工程专业 全日制就读"</f>
        <v>202109-202506 河南理工大学 土木工程学院 土木工程专业 全日制就读</v>
      </c>
    </row>
    <row r="3622" spans="1:9">
      <c r="A3622" s="1" t="str">
        <f>"410325200105124517"</f>
        <v>410325200105124517</v>
      </c>
      <c r="B3622" s="1" t="str">
        <f>"中共党员"</f>
        <v>中共党员</v>
      </c>
      <c r="C3622" s="1" t="str">
        <f t="shared" si="1788"/>
        <v>本科</v>
      </c>
      <c r="D3622" s="1" t="str">
        <f>"20230626"</f>
        <v>20230626</v>
      </c>
      <c r="E3622" s="1" t="str">
        <f>"东北林业大学"</f>
        <v>东北林业大学</v>
      </c>
      <c r="F3622" s="1" t="str">
        <f>"会计学"</f>
        <v>会计学</v>
      </c>
      <c r="G3622" s="1" t="str">
        <f>"河南省洛阳市嵩县车村镇白云路"</f>
        <v>河南省洛阳市嵩县车村镇白云路</v>
      </c>
      <c r="H3622" s="1" t="str">
        <f>"初级会计师"</f>
        <v>初级会计师</v>
      </c>
      <c r="I3622" s="1" t="str">
        <f>"20190901-20230626东北林业大学经济管理学院会计学专业就读全日制学历
20230706-20231115中建五局装饰幕墙有限公司工作
20231115至今嵩县车村镇待业"</f>
        <v>20190901-20230626东北林业大学经济管理学院会计学专业就读全日制学历
20230706-20231115中建五局装饰幕墙有限公司工作
20231115至今嵩县车村镇待业</v>
      </c>
    </row>
    <row r="3623" spans="1:9">
      <c r="A3623" s="1" t="str">
        <f>"411327200211260030"</f>
        <v>411327200211260030</v>
      </c>
      <c r="B3623" s="1" t="str">
        <f t="shared" si="1790"/>
        <v>群众</v>
      </c>
      <c r="C3623" s="1" t="str">
        <f t="shared" si="1788"/>
        <v>本科</v>
      </c>
      <c r="D3623" s="1" t="str">
        <f>"20250701"</f>
        <v>20250701</v>
      </c>
      <c r="E3623" s="1" t="str">
        <f>"郑州商学院"</f>
        <v>郑州商学院</v>
      </c>
      <c r="F3623" s="1" t="str">
        <f>"工程管理"</f>
        <v>工程管理</v>
      </c>
      <c r="G3623" s="1" t="str">
        <f>"河南南阳内乡县城关镇新民路174号"</f>
        <v>河南南阳内乡县城关镇新民路174号</v>
      </c>
      <c r="H3623" s="1" t="str">
        <f t="shared" si="1791"/>
        <v>无</v>
      </c>
      <c r="I3623" s="1" t="str">
        <f>"202309-202507在郑州商学院智能建造院系就读工程管理专业，是全日制本科。"</f>
        <v>202309-202507在郑州商学院智能建造院系就读工程管理专业，是全日制本科。</v>
      </c>
    </row>
    <row r="3624" spans="1:9">
      <c r="A3624" s="1" t="str">
        <f>"411327199808110013"</f>
        <v>411327199808110013</v>
      </c>
      <c r="B3624" s="1" t="str">
        <f t="shared" si="1790"/>
        <v>群众</v>
      </c>
      <c r="C3624" s="1" t="str">
        <f t="shared" si="1788"/>
        <v>本科</v>
      </c>
      <c r="D3624" s="1" t="str">
        <f>"20200607"</f>
        <v>20200607</v>
      </c>
      <c r="E3624" s="1" t="str">
        <f>"河南科技学院"</f>
        <v>河南科技学院</v>
      </c>
      <c r="F3624" s="1" t="str">
        <f>"音乐学"</f>
        <v>音乐学</v>
      </c>
      <c r="G3624" s="1" t="str">
        <f>"内乡县方圆商务酒店十字路口西南角"</f>
        <v>内乡县方圆商务酒店十字路口西南角</v>
      </c>
      <c r="H3624" s="1" t="str">
        <f t="shared" si="1791"/>
        <v>无</v>
      </c>
      <c r="I3624" s="1" t="str">
        <f>"201609-202006河南科技学院艺术学院音乐学专业就读 全日制
202006-至今待业"</f>
        <v>201609-202006河南科技学院艺术学院音乐学专业就读 全日制
202006-至今待业</v>
      </c>
    </row>
    <row r="3625" spans="1:9">
      <c r="A3625" s="1" t="str">
        <f>"41048219980317907X"</f>
        <v>41048219980317907X</v>
      </c>
      <c r="B3625" s="1" t="str">
        <f t="shared" si="1790"/>
        <v>群众</v>
      </c>
      <c r="C3625" s="1" t="str">
        <f t="shared" si="1788"/>
        <v>本科</v>
      </c>
      <c r="D3625" s="1" t="str">
        <f>"20210701"</f>
        <v>20210701</v>
      </c>
      <c r="E3625" s="1" t="str">
        <f>"郑州科技学院"</f>
        <v>郑州科技学院</v>
      </c>
      <c r="F3625" s="1" t="str">
        <f>"轨道交通信号与控制"</f>
        <v>轨道交通信号与控制</v>
      </c>
      <c r="G3625" s="1" t="str">
        <f>"河南省汝州市豫苑新区"</f>
        <v>河南省汝州市豫苑新区</v>
      </c>
      <c r="H3625" s="1" t="str">
        <f t="shared" si="1791"/>
        <v>无</v>
      </c>
      <c r="I3625" s="1" t="str">
        <f>"201709-202107 大学 郑州科技学院 电气工程学院 全日制 就读
202107-202204 河南思维自动化设备有限公司 职员
202204-202504 卡斯柯信号有限公司 职员
202204至今 河南省汝州市待业"</f>
        <v>201709-202107 大学 郑州科技学院 电气工程学院 全日制 就读
202107-202204 河南思维自动化设备有限公司 职员
202204-202504 卡斯柯信号有限公司 职员
202204至今 河南省汝州市待业</v>
      </c>
    </row>
    <row r="3626" spans="1:9">
      <c r="A3626" s="1" t="str">
        <f>"411326200310080717"</f>
        <v>411326200310080717</v>
      </c>
      <c r="B3626" s="1" t="str">
        <f t="shared" si="1790"/>
        <v>群众</v>
      </c>
      <c r="C3626" s="1" t="str">
        <f>"专科"</f>
        <v>专科</v>
      </c>
      <c r="D3626" s="1" t="str">
        <f>"20240701"</f>
        <v>20240701</v>
      </c>
      <c r="E3626" s="1" t="str">
        <f>"三门峡职业技术学院"</f>
        <v>三门峡职业技术学院</v>
      </c>
      <c r="F3626" s="1" t="str">
        <f>"工程造价"</f>
        <v>工程造价</v>
      </c>
      <c r="G3626" s="1" t="str">
        <f>"河南省南召县留山镇贺庄村上肖组11号"</f>
        <v>河南省南召县留山镇贺庄村上肖组11号</v>
      </c>
      <c r="H3626" s="1" t="str">
        <f t="shared" si="1791"/>
        <v>无</v>
      </c>
      <c r="I3626" s="1" t="str">
        <f>"202109-202407 三门峡职业技术学院就读。工程造价专业，是全日制学历。"</f>
        <v>202109-202407 三门峡职业技术学院就读。工程造价专业，是全日制学历。</v>
      </c>
    </row>
    <row r="3627" spans="1:9">
      <c r="A3627" s="1" t="str">
        <f>"411323199602152618"</f>
        <v>411323199602152618</v>
      </c>
      <c r="B3627" s="1" t="str">
        <f t="shared" si="1790"/>
        <v>群众</v>
      </c>
      <c r="C3627" s="1" t="str">
        <f t="shared" ref="C3627:C3630" si="1792">"本科"</f>
        <v>本科</v>
      </c>
      <c r="D3627" s="1" t="str">
        <f>"20180627"</f>
        <v>20180627</v>
      </c>
      <c r="E3627" s="1" t="str">
        <f>"齐鲁理工学院"</f>
        <v>齐鲁理工学院</v>
      </c>
      <c r="F3627" s="1" t="str">
        <f>"土木工程"</f>
        <v>土木工程</v>
      </c>
      <c r="G3627" s="1" t="str">
        <f>"河南省淅川县金河镇金蓝湾B区3栋1单元301"</f>
        <v>河南省淅川县金河镇金蓝湾B区3栋1单元301</v>
      </c>
      <c r="H3627" s="1" t="str">
        <f t="shared" si="1791"/>
        <v>无</v>
      </c>
      <c r="I3627" s="1" t="str">
        <f>"2014年9月-2018年6月 齐鲁理工学院土木工程学院土木工程专业学习，全日制学历
2018年7月-2019年7月 山东朗冠建筑工程有限公司设计师岗位
2019年8月-2020年3月 居家待业
2020年4月-2024年2月 烟台睿智工程项目管理有限公司安装预算员岗位
2024年3月-2024年7月 武汉宽泛能源科技有限公司设计预算员岗位
2024年8月-2025年3月 居家待业
2025年4月-至今 长江慧控科技（武汉）有限公司"</f>
        <v>2014年9月-2018年6月 齐鲁理工学院土木工程学院土木工程专业学习，全日制学历
2018年7月-2019年7月 山东朗冠建筑工程有限公司设计师岗位
2019年8月-2020年3月 居家待业
2020年4月-2024年2月 烟台睿智工程项目管理有限公司安装预算员岗位
2024年3月-2024年7月 武汉宽泛能源科技有限公司设计预算员岗位
2024年8月-2025年3月 居家待业
2025年4月-至今 长江慧控科技（武汉）有限公司</v>
      </c>
    </row>
    <row r="3628" spans="1:9">
      <c r="A3628" s="1" t="str">
        <f>"41132719970625151X"</f>
        <v>41132719970625151X</v>
      </c>
      <c r="B3628" s="1" t="str">
        <f t="shared" si="1790"/>
        <v>群众</v>
      </c>
      <c r="C3628" s="1" t="str">
        <f t="shared" si="1792"/>
        <v>本科</v>
      </c>
      <c r="D3628" s="1" t="str">
        <f>"20210701"</f>
        <v>20210701</v>
      </c>
      <c r="E3628" s="1" t="str">
        <f>"郑州科技学院"</f>
        <v>郑州科技学院</v>
      </c>
      <c r="F3628" s="1" t="str">
        <f>"工程造价"</f>
        <v>工程造价</v>
      </c>
      <c r="G3628" s="1" t="str">
        <f>"河南省内乡县郦都国际三期"</f>
        <v>河南省内乡县郦都国际三期</v>
      </c>
      <c r="H3628" s="1" t="str">
        <f>"助理工程师助理级"</f>
        <v>助理工程师助理级</v>
      </c>
      <c r="I3628" s="1" t="str">
        <f>"201709-202107郑州科技学院土木建筑工程学院工程造价专业就读
2021010-至今内乡县供水事业发展服务中心工作"</f>
        <v>201709-202107郑州科技学院土木建筑工程学院工程造价专业就读
2021010-至今内乡县供水事业发展服务中心工作</v>
      </c>
    </row>
    <row r="3629" spans="1:9">
      <c r="A3629" s="1" t="str">
        <f>"411381200204254247"</f>
        <v>411381200204254247</v>
      </c>
      <c r="B3629" s="1" t="str">
        <f t="shared" si="1790"/>
        <v>群众</v>
      </c>
      <c r="C3629" s="1" t="str">
        <f t="shared" si="1792"/>
        <v>本科</v>
      </c>
      <c r="D3629" s="1" t="str">
        <f>"20250607"</f>
        <v>20250607</v>
      </c>
      <c r="E3629" s="1" t="str">
        <f>"长春光华学院"</f>
        <v>长春光华学院</v>
      </c>
      <c r="F3629" s="1" t="str">
        <f>"影视摄影与制作（特效）"</f>
        <v>影视摄影与制作（特效）</v>
      </c>
      <c r="G3629" s="1" t="str">
        <f>"河南省南阳市邓州市十林镇大西村"</f>
        <v>河南省南阳市邓州市十林镇大西村</v>
      </c>
      <c r="H3629" s="1" t="str">
        <f t="shared" ref="H3629:H3633" si="1793">"无"</f>
        <v>无</v>
      </c>
      <c r="I3629" s="1" t="str">
        <f>"202109-202506长春光华学院就读，是全日制学历。"</f>
        <v>202109-202506长春光华学院就读，是全日制学历。</v>
      </c>
    </row>
    <row r="3630" spans="1:9">
      <c r="A3630" s="1" t="str">
        <f>"411327199910271147"</f>
        <v>411327199910271147</v>
      </c>
      <c r="B3630" s="1" t="str">
        <f t="shared" si="1790"/>
        <v>群众</v>
      </c>
      <c r="C3630" s="1" t="str">
        <f t="shared" si="1792"/>
        <v>本科</v>
      </c>
      <c r="D3630" s="1" t="str">
        <f>"20220622"</f>
        <v>20220622</v>
      </c>
      <c r="E3630" s="1" t="str">
        <f>"郑州大学"</f>
        <v>郑州大学</v>
      </c>
      <c r="F3630" s="1" t="str">
        <f>"社会体育指导与管理"</f>
        <v>社会体育指导与管理</v>
      </c>
      <c r="G3630" s="1" t="str">
        <f>"河南省南阳市内乡县赤眉镇王庄村河北组29号"</f>
        <v>河南省南阳市内乡县赤眉镇王庄村河北组29号</v>
      </c>
      <c r="H3630" s="1" t="str">
        <f t="shared" si="1793"/>
        <v>无</v>
      </c>
      <c r="I3630" s="1" t="str">
        <f>"2018.09——2022.06  郑州大学就读  社会体育指导与管理  全日制学历"</f>
        <v>2018.09——2022.06  郑州大学就读  社会体育指导与管理  全日制学历</v>
      </c>
    </row>
    <row r="3631" spans="1:9">
      <c r="A3631" s="1" t="str">
        <f>"410724199909171036"</f>
        <v>410724199909171036</v>
      </c>
      <c r="B3631" s="1" t="str">
        <f t="shared" si="1790"/>
        <v>群众</v>
      </c>
      <c r="C3631" s="1" t="str">
        <f t="shared" ref="C3631:C3635" si="1794">"专科"</f>
        <v>专科</v>
      </c>
      <c r="D3631" s="1" t="str">
        <f>"20190701"</f>
        <v>20190701</v>
      </c>
      <c r="E3631" s="1" t="str">
        <f>"河南司法警官职业学院"</f>
        <v>河南司法警官职业学院</v>
      </c>
      <c r="F3631" s="1" t="str">
        <f>"警察管理"</f>
        <v>警察管理</v>
      </c>
      <c r="G3631" s="1" t="str">
        <f>"河南省获嘉县亢村镇小毛庄村南街07号"</f>
        <v>河南省获嘉县亢村镇小毛庄村南街07号</v>
      </c>
      <c r="H3631" s="1" t="str">
        <f t="shared" si="1793"/>
        <v>无</v>
      </c>
      <c r="I3631" s="1" t="str">
        <f>"201409-201907 在河南司法警官职业学院学习；
201908-202008 在郑州市金水区纪委实习；
202010-至今 在获嘉县公安局工作"</f>
        <v>201409-201907 在河南司法警官职业学院学习；
201908-202008 在郑州市金水区纪委实习；
202010-至今 在获嘉县公安局工作</v>
      </c>
    </row>
    <row r="3632" spans="1:9">
      <c r="A3632" s="1" t="str">
        <f>"411327200010063161"</f>
        <v>411327200010063161</v>
      </c>
      <c r="B3632" s="1" t="str">
        <f t="shared" si="1790"/>
        <v>群众</v>
      </c>
      <c r="C3632" s="1" t="str">
        <f t="shared" ref="C3632:C3637" si="1795">"本科"</f>
        <v>本科</v>
      </c>
      <c r="D3632" s="1" t="str">
        <f>"2023-06-09"</f>
        <v>2023-06-09</v>
      </c>
      <c r="E3632" s="1" t="str">
        <f>"郑州西亚斯学院"</f>
        <v>郑州西亚斯学院</v>
      </c>
      <c r="F3632" s="1" t="str">
        <f>"汉语言文学"</f>
        <v>汉语言文学</v>
      </c>
      <c r="G3632" s="1" t="str">
        <f>"河南省南阳市内乡县梨苑小区八号楼二单元二楼"</f>
        <v>河南省南阳市内乡县梨苑小区八号楼二单元二楼</v>
      </c>
      <c r="H3632" s="1" t="str">
        <f t="shared" si="1793"/>
        <v>无</v>
      </c>
      <c r="I3632" s="1" t="str">
        <f>"201909-202306 在郑州西亚斯学院文法学院就读汉语言文学专业，是全日制本科
202306-至今 在郑州西亚斯学院党政办公室就职行政干事岗位"</f>
        <v>201909-202306 在郑州西亚斯学院文法学院就读汉语言文学专业，是全日制本科
202306-至今 在郑州西亚斯学院党政办公室就职行政干事岗位</v>
      </c>
    </row>
    <row r="3633" spans="1:9">
      <c r="A3633" s="1" t="str">
        <f>"420381199702061240"</f>
        <v>420381199702061240</v>
      </c>
      <c r="B3633" s="1" t="str">
        <f>"共青团员"</f>
        <v>共青团员</v>
      </c>
      <c r="C3633" s="1" t="str">
        <f t="shared" si="1794"/>
        <v>专科</v>
      </c>
      <c r="D3633" s="1" t="str">
        <f>"20180630"</f>
        <v>20180630</v>
      </c>
      <c r="E3633" s="1" t="str">
        <f>"汉江师范学院"</f>
        <v>汉江师范学院</v>
      </c>
      <c r="F3633" s="1" t="str">
        <f>"学前教育"</f>
        <v>学前教育</v>
      </c>
      <c r="G3633" s="1" t="str">
        <f>"湖北省丹江口市丹赵路"</f>
        <v>湖北省丹江口市丹赵路</v>
      </c>
      <c r="H3633" s="1" t="str">
        <f t="shared" si="1793"/>
        <v>无</v>
      </c>
      <c r="I3633" s="1" t="str">
        <f>"201509-201806汉江师范学院教育系学前教育专业 全日制
202103-202306湖北文理学院中文系汉语言文学专业     成人本科"</f>
        <v>201509-201806汉江师范学院教育系学前教育专业 全日制
202103-202306湖北文理学院中文系汉语言文学专业     成人本科</v>
      </c>
    </row>
    <row r="3634" spans="1:9">
      <c r="A3634" s="1" t="str">
        <f>"411302200211080323"</f>
        <v>411302200211080323</v>
      </c>
      <c r="B3634" s="1" t="str">
        <f t="shared" ref="B3634:B3638" si="1796">"群众"</f>
        <v>群众</v>
      </c>
      <c r="C3634" s="1" t="str">
        <f t="shared" si="1795"/>
        <v>本科</v>
      </c>
      <c r="D3634" s="1" t="str">
        <f>"20230701"</f>
        <v>20230701</v>
      </c>
      <c r="E3634" s="1" t="str">
        <f>"郑州升达经贸管理学院"</f>
        <v>郑州升达经贸管理学院</v>
      </c>
      <c r="F3634" s="1" t="str">
        <f>"学前教育"</f>
        <v>学前教育</v>
      </c>
      <c r="G3634" s="1" t="str">
        <f>"河南省南阳市宛城区红泥湾刘寺"</f>
        <v>河南省南阳市宛城区红泥湾刘寺</v>
      </c>
      <c r="H3634" s="1" t="str">
        <f>"小学语文教师资格证书"</f>
        <v>小学语文教师资格证书</v>
      </c>
      <c r="I3634" s="1" t="str">
        <f>"202009-202307。郑州升达经贸管理学院。 学前教育。全日制
202307-至今备考待业"</f>
        <v>202009-202307。郑州升达经贸管理学院。 学前教育。全日制
202307-至今备考待业</v>
      </c>
    </row>
    <row r="3635" spans="1:9">
      <c r="A3635" s="1" t="str">
        <f>"411330199807265724"</f>
        <v>411330199807265724</v>
      </c>
      <c r="B3635" s="1" t="str">
        <f t="shared" si="1796"/>
        <v>群众</v>
      </c>
      <c r="C3635" s="1" t="str">
        <f t="shared" si="1794"/>
        <v>专科</v>
      </c>
      <c r="D3635" s="1" t="str">
        <f>"20250701"</f>
        <v>20250701</v>
      </c>
      <c r="E3635" s="1" t="str">
        <f>"郑州师范学院"</f>
        <v>郑州师范学院</v>
      </c>
      <c r="F3635" s="1" t="str">
        <f>"小学教育"</f>
        <v>小学教育</v>
      </c>
      <c r="G3635" s="1" t="str">
        <f>"河南省西峡县书香逸府1号院"</f>
        <v>河南省西峡县书香逸府1号院</v>
      </c>
      <c r="H3635" s="1" t="str">
        <f t="shared" ref="H3635:H3638" si="1797">"无"</f>
        <v>无</v>
      </c>
      <c r="I3635" s="1" t="str">
        <f>"202305-202507 郑州师范学院小学教育就读，否。"</f>
        <v>202305-202507 郑州师范学院小学教育就读，否。</v>
      </c>
    </row>
    <row r="3636" spans="1:9">
      <c r="A3636" s="1" t="str">
        <f>"411327199810130021"</f>
        <v>411327199810130021</v>
      </c>
      <c r="B3636" s="1" t="str">
        <f>"中共党员"</f>
        <v>中共党员</v>
      </c>
      <c r="C3636" s="1" t="str">
        <f>"硕士研究生"</f>
        <v>硕士研究生</v>
      </c>
      <c r="D3636" s="1" t="str">
        <f>"20230630"</f>
        <v>20230630</v>
      </c>
      <c r="E3636" s="1" t="str">
        <f>"陕西师范大学"</f>
        <v>陕西师范大学</v>
      </c>
      <c r="F3636" s="1" t="str">
        <f>"运动人体科学"</f>
        <v>运动人体科学</v>
      </c>
      <c r="G3636" s="1" t="str">
        <f>"河南省南阳市内乡县实验初中东中通快递门口"</f>
        <v>河南省南阳市内乡县实验初中东中通快递门口</v>
      </c>
      <c r="H3636" s="1" t="str">
        <f t="shared" si="1797"/>
        <v>无</v>
      </c>
      <c r="I3636" s="1" t="str">
        <f>"201309-201606 河南省南阳市内乡县第一高级中学
201609-202006 北京体育大学 运动人体科学
202009-202306 陕西师范大学 运动人体科学
202307-至今 待业
"</f>
        <v>201309-201606 河南省南阳市内乡县第一高级中学
201609-202006 北京体育大学 运动人体科学
202009-202306 陕西师范大学 运动人体科学
202307-至今 待业
</v>
      </c>
    </row>
    <row r="3637" spans="1:9">
      <c r="A3637" s="1" t="str">
        <f>"411327200203180065"</f>
        <v>411327200203180065</v>
      </c>
      <c r="B3637" s="1" t="str">
        <f t="shared" ref="B3637:B3642" si="1798">"共青团员"</f>
        <v>共青团员</v>
      </c>
      <c r="C3637" s="1" t="str">
        <f t="shared" si="1795"/>
        <v>本科</v>
      </c>
      <c r="D3637" s="1" t="str">
        <f>"20240705"</f>
        <v>20240705</v>
      </c>
      <c r="E3637" s="1" t="str">
        <f>"大连大学"</f>
        <v>大连大学</v>
      </c>
      <c r="F3637" s="1" t="str">
        <f>"汉语言文学"</f>
        <v>汉语言文学</v>
      </c>
      <c r="G3637" s="1" t="str">
        <f>"河南省南阳市内乡县城关镇范蠡大街"</f>
        <v>河南省南阳市内乡县城关镇范蠡大街</v>
      </c>
      <c r="H3637" s="1" t="str">
        <f t="shared" si="1797"/>
        <v>无</v>
      </c>
      <c r="I3637" s="1" t="str">
        <f>"202009-202407在大连大学人文学院中国语言文学系汉语言文学专业就读全日制"</f>
        <v>202009-202407在大连大学人文学院中国语言文学系汉语言文学专业就读全日制</v>
      </c>
    </row>
    <row r="3638" spans="1:9">
      <c r="A3638" s="1" t="str">
        <f>"411522199902045122"</f>
        <v>411522199902045122</v>
      </c>
      <c r="B3638" s="1" t="str">
        <f t="shared" si="1796"/>
        <v>群众</v>
      </c>
      <c r="C3638" s="1" t="str">
        <f>"专科"</f>
        <v>专科</v>
      </c>
      <c r="D3638" s="1" t="str">
        <f>"20200701"</f>
        <v>20200701</v>
      </c>
      <c r="E3638" s="1" t="str">
        <f>"郑州财税金融职业学院"</f>
        <v>郑州财税金融职业学院</v>
      </c>
      <c r="F3638" s="1" t="str">
        <f>"物流管理（国际货运代理方向）"</f>
        <v>物流管理（国际货运代理方向）</v>
      </c>
      <c r="G3638" s="1" t="str">
        <f>"内乡县南关廉租房"</f>
        <v>内乡县南关廉租房</v>
      </c>
      <c r="H3638" s="1" t="str">
        <f t="shared" si="1797"/>
        <v>无</v>
      </c>
      <c r="I3638" s="1" t="str">
        <f>"201709-202007 郑州财税金融职业学院  物流管理（国际货运代理方向）就读   是全日制学历
202008-202307在家待业
202308-至今   内乡县司法局政府购岗"</f>
        <v>201709-202007 郑州财税金融职业学院  物流管理（国际货运代理方向）就读   是全日制学历
202008-202307在家待业
202308-至今   内乡县司法局政府购岗</v>
      </c>
    </row>
    <row r="3639" spans="1:9">
      <c r="A3639" s="1" t="str">
        <f>"411327200007134520"</f>
        <v>411327200007134520</v>
      </c>
      <c r="B3639" s="1" t="str">
        <f t="shared" si="1798"/>
        <v>共青团员</v>
      </c>
      <c r="C3639" s="1" t="str">
        <f t="shared" ref="C3639:C3647" si="1799">"本科"</f>
        <v>本科</v>
      </c>
      <c r="D3639" s="1" t="str">
        <f>"20230701"</f>
        <v>20230701</v>
      </c>
      <c r="E3639" s="1" t="str">
        <f>"南阳师范学院"</f>
        <v>南阳师范学院</v>
      </c>
      <c r="F3639" s="1" t="str">
        <f>"旅游管理"</f>
        <v>旅游管理</v>
      </c>
      <c r="G3639" s="1" t="str">
        <f>"河南省南阳市内乡县赵店乡杜沟村"</f>
        <v>河南省南阳市内乡县赵店乡杜沟村</v>
      </c>
      <c r="H3639" s="1" t="str">
        <f>"计算机二级证书 英语六级证书"</f>
        <v>计算机二级证书 英语六级证书</v>
      </c>
      <c r="I3639" s="1" t="str">
        <f>"201909-202307南阳师范学院地理科学与旅游学院旅游管理专业就读，全日制学历；202307-202403在家待业；202403-202505内乡县惠科数据有限公司担任质检；202505-202507在家待业；202507至今于荣科实业有限公司担任文员"</f>
        <v>201909-202307南阳师范学院地理科学与旅游学院旅游管理专业就读，全日制学历；202307-202403在家待业；202403-202505内乡县惠科数据有限公司担任质检；202505-202507在家待业；202507至今于荣科实业有限公司担任文员</v>
      </c>
    </row>
    <row r="3640" spans="1:9">
      <c r="A3640" s="1" t="str">
        <f>"411324199201200048"</f>
        <v>411324199201200048</v>
      </c>
      <c r="B3640" s="1" t="str">
        <f t="shared" ref="B3640:B3644" si="1800">"群众"</f>
        <v>群众</v>
      </c>
      <c r="C3640" s="1" t="str">
        <f>"专科"</f>
        <v>专科</v>
      </c>
      <c r="D3640" s="1" t="str">
        <f>"2015年"</f>
        <v>2015年</v>
      </c>
      <c r="E3640" s="1" t="str">
        <f>"河南省南阳师院"</f>
        <v>河南省南阳师院</v>
      </c>
      <c r="F3640" s="1" t="str">
        <f>"学前教育"</f>
        <v>学前教育</v>
      </c>
      <c r="G3640" s="1" t="str">
        <f>"河南省南阳市镇平县"</f>
        <v>河南省南阳市镇平县</v>
      </c>
      <c r="H3640" s="1" t="str">
        <f t="shared" ref="H3640:H3643" si="1801">"无"</f>
        <v>无</v>
      </c>
      <c r="I3640" s="1" t="str">
        <f>"姓名  李梦丽
性别 女
民族 汉
出生年月 1992.01.20"</f>
        <v>姓名  李梦丽
性别 女
民族 汉
出生年月 1992.01.20</v>
      </c>
    </row>
    <row r="3641" spans="1:9">
      <c r="A3641" s="1" t="str">
        <f>"411321200302100042"</f>
        <v>411321200302100042</v>
      </c>
      <c r="B3641" s="1" t="str">
        <f t="shared" si="1798"/>
        <v>共青团员</v>
      </c>
      <c r="C3641" s="1" t="str">
        <f t="shared" si="1799"/>
        <v>本科</v>
      </c>
      <c r="D3641" s="1" t="str">
        <f>"20250701"</f>
        <v>20250701</v>
      </c>
      <c r="E3641" s="1" t="str">
        <f>"西安外事学院"</f>
        <v>西安外事学院</v>
      </c>
      <c r="F3641" s="1" t="str">
        <f>"计算机科学与技术"</f>
        <v>计算机科学与技术</v>
      </c>
      <c r="G3641" s="1" t="str">
        <f>"河南省南阳市"</f>
        <v>河南省南阳市</v>
      </c>
      <c r="H3641" s="1" t="str">
        <f>"信息处理技术员 初级"</f>
        <v>信息处理技术员 初级</v>
      </c>
      <c r="I3641" s="1" t="str">
        <f>"202109-202507西安外事学院计算机科学与技术专业就读 全日制 "</f>
        <v>202109-202507西安外事学院计算机科学与技术专业就读 全日制 </v>
      </c>
    </row>
    <row r="3642" spans="1:9">
      <c r="A3642" s="1" t="str">
        <f>"411330200203200052"</f>
        <v>411330200203200052</v>
      </c>
      <c r="B3642" s="1" t="str">
        <f t="shared" si="1798"/>
        <v>共青团员</v>
      </c>
      <c r="C3642" s="1" t="str">
        <f t="shared" si="1799"/>
        <v>本科</v>
      </c>
      <c r="D3642" s="1" t="str">
        <f>"20240625"</f>
        <v>20240625</v>
      </c>
      <c r="E3642" s="1" t="str">
        <f>"河南农业大学"</f>
        <v>河南农业大学</v>
      </c>
      <c r="F3642" s="1" t="str">
        <f>"经济林"</f>
        <v>经济林</v>
      </c>
      <c r="G3642" s="1" t="str">
        <f>"河南省南阳市西峡县丹水镇黄坪村"</f>
        <v>河南省南阳市西峡县丹水镇黄坪村</v>
      </c>
      <c r="H3642" s="1" t="str">
        <f t="shared" si="1801"/>
        <v>无</v>
      </c>
      <c r="I3642" s="1" t="str">
        <f>"202009-202406 河南农业大学林学院经济林专业就读，全日制学历；
202407-202502 南阳汉冶特钢有限公司就职
202503-至今 待业"</f>
        <v>202009-202406 河南农业大学林学院经济林专业就读，全日制学历；
202407-202502 南阳汉冶特钢有限公司就职
202503-至今 待业</v>
      </c>
    </row>
    <row r="3643" spans="1:9">
      <c r="A3643" s="1" t="str">
        <f>"411329199111043511"</f>
        <v>411329199111043511</v>
      </c>
      <c r="B3643" s="1" t="str">
        <f t="shared" si="1800"/>
        <v>群众</v>
      </c>
      <c r="C3643" s="1" t="str">
        <f t="shared" si="1799"/>
        <v>本科</v>
      </c>
      <c r="D3643" s="1" t="str">
        <f>"20230701"</f>
        <v>20230701</v>
      </c>
      <c r="E3643" s="1" t="str">
        <f>"南阳理工学院"</f>
        <v>南阳理工学院</v>
      </c>
      <c r="F3643" s="1" t="str">
        <f>"汉语言文学"</f>
        <v>汉语言文学</v>
      </c>
      <c r="G3643" s="1" t="str">
        <f>"社旗县苗店镇苗店街"</f>
        <v>社旗县苗店镇苗店街</v>
      </c>
      <c r="H3643" s="1" t="str">
        <f t="shared" si="1801"/>
        <v>无</v>
      </c>
      <c r="I3643" s="1" t="str">
        <f>"202103——202307   南阳理工学院汉语言文学专业    非全日制"</f>
        <v>202103——202307   南阳理工学院汉语言文学专业    非全日制</v>
      </c>
    </row>
    <row r="3644" spans="1:9">
      <c r="A3644" s="1" t="str">
        <f>"411327199303300022"</f>
        <v>411327199303300022</v>
      </c>
      <c r="B3644" s="1" t="str">
        <f t="shared" si="1800"/>
        <v>群众</v>
      </c>
      <c r="C3644" s="1" t="str">
        <f t="shared" si="1799"/>
        <v>本科</v>
      </c>
      <c r="D3644" s="1" t="str">
        <f>"20150730"</f>
        <v>20150730</v>
      </c>
      <c r="E3644" s="1" t="str">
        <f>"长春大学光华学院"</f>
        <v>长春大学光华学院</v>
      </c>
      <c r="F3644" s="1" t="str">
        <f>"会计学"</f>
        <v>会计学</v>
      </c>
      <c r="G3644" s="1" t="str">
        <f>"河南省南阳市内乡县金盟清华苑以北"</f>
        <v>河南省南阳市内乡县金盟清华苑以北</v>
      </c>
      <c r="H3644" s="1" t="str">
        <f>"会计从业资格证"</f>
        <v>会计从业资格证</v>
      </c>
      <c r="I3644" s="1" t="str">
        <f>"201109-201507 长春大学光华学院 就读
201509-201907 内乡县乍曲初中 就业
201909-至今  内乡县灵山雷锋学校 就业"</f>
        <v>201109-201507 长春大学光华学院 就读
201509-201907 内乡县乍曲初中 就业
201909-至今  内乡县灵山雷锋学校 就业</v>
      </c>
    </row>
    <row r="3645" spans="1:9">
      <c r="A3645" s="1" t="str">
        <f>"410326200104113740"</f>
        <v>410326200104113740</v>
      </c>
      <c r="B3645" s="1" t="str">
        <f>"中共党员"</f>
        <v>中共党员</v>
      </c>
      <c r="C3645" s="1" t="str">
        <f t="shared" si="1799"/>
        <v>本科</v>
      </c>
      <c r="D3645" s="1" t="str">
        <f>"20230701"</f>
        <v>20230701</v>
      </c>
      <c r="E3645" s="1" t="str">
        <f>"南阳师范学院"</f>
        <v>南阳师范学院</v>
      </c>
      <c r="F3645" s="1" t="str">
        <f>"汉语言文学"</f>
        <v>汉语言文学</v>
      </c>
      <c r="G3645" s="1" t="str">
        <f>"河南省汝阳县"</f>
        <v>河南省汝阳县</v>
      </c>
      <c r="H3645" s="1" t="str">
        <f t="shared" ref="H3645:H3649" si="1802">"无"</f>
        <v>无</v>
      </c>
      <c r="I3645" s="1" t="str">
        <f>"201909-202307 南阳师范学院文学院汉语言文学就读，是全日制学历"</f>
        <v>201909-202307 南阳师范学院文学院汉语言文学就读，是全日制学历</v>
      </c>
    </row>
    <row r="3646" spans="1:9">
      <c r="A3646" s="1" t="str">
        <f>"411327200302083367"</f>
        <v>411327200302083367</v>
      </c>
      <c r="B3646" s="1" t="str">
        <f t="shared" ref="B3646:B3650" si="1803">"群众"</f>
        <v>群众</v>
      </c>
      <c r="C3646" s="1" t="str">
        <f t="shared" si="1799"/>
        <v>本科</v>
      </c>
      <c r="D3646" s="1" t="str">
        <f>"20250701"</f>
        <v>20250701</v>
      </c>
      <c r="E3646" s="1" t="str">
        <f>"桂林信息科技学院"</f>
        <v>桂林信息科技学院</v>
      </c>
      <c r="F3646" s="1" t="str">
        <f>"国际经济与贸易"</f>
        <v>国际经济与贸易</v>
      </c>
      <c r="G3646" s="1" t="str">
        <f>"河南省南阳市内乡县城关镇菊园小区287号"</f>
        <v>河南省南阳市内乡县城关镇菊园小区287号</v>
      </c>
      <c r="H3646" s="1" t="str">
        <f t="shared" si="1802"/>
        <v>无</v>
      </c>
      <c r="I3646" s="1" t="str">
        <f>"201809-202506 桂林信息科技学院外贸与外语学院国际经济与贸易专业就读，全日制本科"</f>
        <v>201809-202506 桂林信息科技学院外贸与外语学院国际经济与贸易专业就读，全日制本科</v>
      </c>
    </row>
    <row r="3647" spans="1:9">
      <c r="A3647" s="1" t="str">
        <f>"411302199412110810"</f>
        <v>411302199412110810</v>
      </c>
      <c r="B3647" s="1" t="str">
        <f t="shared" si="1803"/>
        <v>群众</v>
      </c>
      <c r="C3647" s="1" t="str">
        <f t="shared" si="1799"/>
        <v>本科</v>
      </c>
      <c r="D3647" s="1" t="str">
        <f>"20160701"</f>
        <v>20160701</v>
      </c>
      <c r="E3647" s="1" t="str">
        <f>"黄河科技学院"</f>
        <v>黄河科技学院</v>
      </c>
      <c r="F3647" s="1" t="str">
        <f>"软件工程"</f>
        <v>软件工程</v>
      </c>
      <c r="G3647" s="1" t="str">
        <f>"南阳市宛城区万正大帝苑"</f>
        <v>南阳市宛城区万正大帝苑</v>
      </c>
      <c r="H3647" s="1" t="str">
        <f t="shared" si="1802"/>
        <v>无</v>
      </c>
      <c r="I3647" s="1" t="str">
        <f>"2012.9-2014.7 南阳理工学院 专科 软件学院 软件技术 全日制学历
2014.9-2016.7 黄河科技学院 本科 计算机学院 软件工程 全日制学历
2016.2-2019.4 河南盘古信息技术有限公司
2019.5-至今 南阳市宛城区东关街道办事处"</f>
        <v>2012.9-2014.7 南阳理工学院 专科 软件学院 软件技术 全日制学历
2014.9-2016.7 黄河科技学院 本科 计算机学院 软件工程 全日制学历
2016.2-2019.4 河南盘古信息技术有限公司
2019.5-至今 南阳市宛城区东关街道办事处</v>
      </c>
    </row>
    <row r="3648" spans="1:9">
      <c r="A3648" s="1" t="str">
        <f>"410325199909174522"</f>
        <v>410325199909174522</v>
      </c>
      <c r="B3648" s="1" t="str">
        <f>"共青团员"</f>
        <v>共青团员</v>
      </c>
      <c r="C3648" s="1" t="str">
        <f>"硕士研究生"</f>
        <v>硕士研究生</v>
      </c>
      <c r="D3648" s="1" t="str">
        <f>"20240631"</f>
        <v>20240631</v>
      </c>
      <c r="E3648" s="1" t="str">
        <f>"安徽农业大学"</f>
        <v>安徽农业大学</v>
      </c>
      <c r="F3648" s="1" t="str">
        <f>"农艺与种业"</f>
        <v>农艺与种业</v>
      </c>
      <c r="G3648" s="1" t="str">
        <f>"河南省洛阳市嵩县车村镇"</f>
        <v>河南省洛阳市嵩县车村镇</v>
      </c>
      <c r="H3648" s="1" t="str">
        <f t="shared" si="1802"/>
        <v>无</v>
      </c>
      <c r="I3648" s="1" t="str">
        <f>"20180901-20220701 河南农业大学园艺学院茶学专业就读
20220901-20240631 安徽农业大学茶与食品科技学院农艺与种业专业就读"</f>
        <v>20180901-20220701 河南农业大学园艺学院茶学专业就读
20220901-20240631 安徽农业大学茶与食品科技学院农艺与种业专业就读</v>
      </c>
    </row>
    <row r="3649" spans="1:9">
      <c r="A3649" s="1" t="str">
        <f>"411327199807214224"</f>
        <v>411327199807214224</v>
      </c>
      <c r="B3649" s="1" t="str">
        <f t="shared" si="1803"/>
        <v>群众</v>
      </c>
      <c r="C3649" s="1" t="str">
        <f t="shared" ref="C3649:C3652" si="1804">"本科"</f>
        <v>本科</v>
      </c>
      <c r="D3649" s="1" t="str">
        <f>"20200701"</f>
        <v>20200701</v>
      </c>
      <c r="E3649" s="1" t="str">
        <f>"信阳师范学院"</f>
        <v>信阳师范学院</v>
      </c>
      <c r="F3649" s="1" t="str">
        <f>"应用化学"</f>
        <v>应用化学</v>
      </c>
      <c r="G3649" s="1" t="str">
        <f>"河南省南阳市内乡县余关镇王沟村"</f>
        <v>河南省南阳市内乡县余关镇王沟村</v>
      </c>
      <c r="H3649" s="1" t="str">
        <f t="shared" si="1802"/>
        <v>无</v>
      </c>
      <c r="I3649" s="1" t="str">
        <f>"201609-202006信阳师范学院化学化工学院应用化学专业就读；
202007-202209在河南省南阳市内乡县待业；
202210至今南阳普康恒旺药业就业；"</f>
        <v>201609-202006信阳师范学院化学化工学院应用化学专业就读；
202007-202209在河南省南阳市内乡县待业；
202210至今南阳普康恒旺药业就业；</v>
      </c>
    </row>
    <row r="3650" spans="1:9">
      <c r="A3650" s="1" t="str">
        <f>"411327200301050037"</f>
        <v>411327200301050037</v>
      </c>
      <c r="B3650" s="1" t="str">
        <f t="shared" si="1803"/>
        <v>群众</v>
      </c>
      <c r="C3650" s="1" t="str">
        <f t="shared" si="1804"/>
        <v>本科</v>
      </c>
      <c r="D3650" s="1" t="str">
        <f>"20250601"</f>
        <v>20250601</v>
      </c>
      <c r="E3650" s="1" t="str">
        <f>"郑州工商学院"</f>
        <v>郑州工商学院</v>
      </c>
      <c r="F3650" s="1" t="str">
        <f>"旅游管理"</f>
        <v>旅游管理</v>
      </c>
      <c r="G3650" s="1" t="str">
        <f>"余关镇余关村"</f>
        <v>余关镇余关村</v>
      </c>
      <c r="H3650" s="1" t="str">
        <f>"导游人员从业资格证书"</f>
        <v>导游人员从业资格证书</v>
      </c>
      <c r="I3650" s="1" t="str">
        <f>"202109-202506在郑州工商学院就读旅游管理专业，全日制学历。"</f>
        <v>202109-202506在郑州工商学院就读旅游管理专业，全日制学历。</v>
      </c>
    </row>
    <row r="3651" spans="1:9">
      <c r="A3651" s="1" t="str">
        <f>"411325200101174948"</f>
        <v>411325200101174948</v>
      </c>
      <c r="B3651" s="1" t="str">
        <f t="shared" ref="B3651:B3656" si="1805">"共青团员"</f>
        <v>共青团员</v>
      </c>
      <c r="C3651" s="1" t="str">
        <f t="shared" si="1804"/>
        <v>本科</v>
      </c>
      <c r="D3651" s="1" t="str">
        <f>"20230701"</f>
        <v>20230701</v>
      </c>
      <c r="E3651" s="1" t="str">
        <f>"郑州科技学院"</f>
        <v>郑州科技学院</v>
      </c>
      <c r="F3651" s="1" t="str">
        <f>"食品质量与安全"</f>
        <v>食品质量与安全</v>
      </c>
      <c r="G3651" s="1" t="str">
        <f>"河南省南阳市内乡县灌涨镇岗头村"</f>
        <v>河南省南阳市内乡县灌涨镇岗头村</v>
      </c>
      <c r="H3651" s="1" t="str">
        <f>"食品检验工三级"</f>
        <v>食品检验工三级</v>
      </c>
      <c r="I3651" s="1" t="str">
        <f>"201909-202307年在郑州科技学院食品科学与工程学院食品质量与安全专业就读，是全日制本科；202307-202312在南阳好口味食品有限公司任职化验员、过程检验和成品检验员；202403-202506在聚爱数字科技有限公司任职品质管理岗；"</f>
        <v>201909-202307年在郑州科技学院食品科学与工程学院食品质量与安全专业就读，是全日制本科；202307-202312在南阳好口味食品有限公司任职化验员、过程检验和成品检验员；202403-202506在聚爱数字科技有限公司任职品质管理岗；</v>
      </c>
    </row>
    <row r="3652" spans="1:9">
      <c r="A3652" s="1" t="str">
        <f>"412826200001045617"</f>
        <v>412826200001045617</v>
      </c>
      <c r="B3652" s="1" t="str">
        <f>"中共党员"</f>
        <v>中共党员</v>
      </c>
      <c r="C3652" s="1" t="str">
        <f t="shared" si="1804"/>
        <v>本科</v>
      </c>
      <c r="D3652" s="1" t="str">
        <f>"20240701"</f>
        <v>20240701</v>
      </c>
      <c r="E3652" s="1" t="str">
        <f>"郑州商学院"</f>
        <v>郑州商学院</v>
      </c>
      <c r="F3652" s="1" t="str">
        <f>"工程造价"</f>
        <v>工程造价</v>
      </c>
      <c r="G3652" s="1" t="str">
        <f>"河南省驻马店市驿城区雪松路尚城华府小区8号楼8楼"</f>
        <v>河南省驻马店市驿城区雪松路尚城华府小区8号楼8楼</v>
      </c>
      <c r="H3652" s="1" t="str">
        <f t="shared" ref="H3652:H3667" si="1806">"无"</f>
        <v>无</v>
      </c>
      <c r="I3652" s="1" t="str">
        <f>"201909-202207 中原工学院信息商务学院 建筑工程系 建筑工程技术专业就读 全日制专科
202209-202407 郑州商学院 建筑工程学院 工程造价专业就读 全日制本科  202407-至今 待业"</f>
        <v>201909-202207 中原工学院信息商务学院 建筑工程系 建筑工程技术专业就读 全日制专科
202209-202407 郑州商学院 建筑工程学院 工程造价专业就读 全日制本科  202407-至今 待业</v>
      </c>
    </row>
    <row r="3653" spans="1:9">
      <c r="A3653" s="1" t="str">
        <f>"411327199704060322"</f>
        <v>411327199704060322</v>
      </c>
      <c r="B3653" s="1" t="str">
        <f>"群众"</f>
        <v>群众</v>
      </c>
      <c r="C3653" s="1" t="str">
        <f t="shared" ref="C3653:C3658" si="1807">"专科"</f>
        <v>专科</v>
      </c>
      <c r="D3653" s="1" t="str">
        <f>"201907"</f>
        <v>201907</v>
      </c>
      <c r="E3653" s="1" t="str">
        <f>"河南牧业经济学院"</f>
        <v>河南牧业经济学院</v>
      </c>
      <c r="F3653" s="1" t="str">
        <f>"畜牧兽医"</f>
        <v>畜牧兽医</v>
      </c>
      <c r="G3653" s="1" t="str">
        <f>"内乡县马山口镇大寨村"</f>
        <v>内乡县马山口镇大寨村</v>
      </c>
      <c r="H3653" s="1" t="str">
        <f t="shared" si="1806"/>
        <v>无</v>
      </c>
      <c r="I3653" s="1" t="str">
        <f>"201606-201907河南牧业经济学院就读畜牧兽医专业全日制学历
2019.7-至今待业
"</f>
        <v>201606-201907河南牧业经济学院就读畜牧兽医专业全日制学历
2019.7-至今待业
</v>
      </c>
    </row>
    <row r="3654" spans="1:9">
      <c r="A3654" s="1" t="str">
        <f>"411329200110143524"</f>
        <v>411329200110143524</v>
      </c>
      <c r="B3654" s="1" t="str">
        <f t="shared" si="1805"/>
        <v>共青团员</v>
      </c>
      <c r="C3654" s="1" t="str">
        <f>"本科"</f>
        <v>本科</v>
      </c>
      <c r="D3654" s="1" t="str">
        <f>"2024年6月30日"</f>
        <v>2024年6月30日</v>
      </c>
      <c r="E3654" s="1" t="str">
        <f>"新乡学院"</f>
        <v>新乡学院</v>
      </c>
      <c r="F3654" s="1" t="str">
        <f>"学前教育"</f>
        <v>学前教育</v>
      </c>
      <c r="G3654" s="1" t="str">
        <f>"河南省南阳市社旗县苗店镇小贺庄村"</f>
        <v>河南省南阳市社旗县苗店镇小贺庄村</v>
      </c>
      <c r="H3654" s="1" t="str">
        <f t="shared" si="1806"/>
        <v>无</v>
      </c>
      <c r="I3654" s="1" t="str">
        <f>"2020年10月-2025年7月在新乡学院就读学前教育专业，全日制本科"</f>
        <v>2020年10月-2025年7月在新乡学院就读学前教育专业，全日制本科</v>
      </c>
    </row>
    <row r="3655" spans="1:9">
      <c r="A3655" s="1" t="str">
        <f>"411327199610140049"</f>
        <v>411327199610140049</v>
      </c>
      <c r="B3655" s="1" t="str">
        <f t="shared" si="1805"/>
        <v>共青团员</v>
      </c>
      <c r="C3655" s="1" t="str">
        <f t="shared" si="1807"/>
        <v>专科</v>
      </c>
      <c r="D3655" s="1" t="str">
        <f>"20190701"</f>
        <v>20190701</v>
      </c>
      <c r="E3655" s="1" t="str">
        <f>"商丘医学高等专科学校"</f>
        <v>商丘医学高等专科学校</v>
      </c>
      <c r="F3655" s="1" t="str">
        <f>"医学影像技术"</f>
        <v>医学影像技术</v>
      </c>
      <c r="G3655" s="1" t="str">
        <f>"河南省南阳市内乡县财富广场"</f>
        <v>河南省南阳市内乡县财富广场</v>
      </c>
      <c r="H3655" s="1" t="str">
        <f t="shared" si="1806"/>
        <v>无</v>
      </c>
      <c r="I3655" s="1" t="str">
        <f>"20160901——20190701 商丘医学高等专科学校
20200801——至今内乡县中医院工作
20230701——20231001南阳市医学高等专科学校第一附属医院进修"</f>
        <v>20160901——20190701 商丘医学高等专科学校
20200801——至今内乡县中医院工作
20230701——20231001南阳市医学高等专科学校第一附属医院进修</v>
      </c>
    </row>
    <row r="3656" spans="1:9">
      <c r="A3656" s="1" t="str">
        <f>"411324199912170017"</f>
        <v>411324199912170017</v>
      </c>
      <c r="B3656" s="1" t="str">
        <f t="shared" si="1805"/>
        <v>共青团员</v>
      </c>
      <c r="C3656" s="1" t="str">
        <f t="shared" si="1807"/>
        <v>专科</v>
      </c>
      <c r="D3656" s="1" t="str">
        <f>"20210720"</f>
        <v>20210720</v>
      </c>
      <c r="E3656" s="1" t="str">
        <f>"西安铁路职业技术学院"</f>
        <v>西安铁路职业技术学院</v>
      </c>
      <c r="F3656" s="1" t="str">
        <f>"动车组检修技术"</f>
        <v>动车组检修技术</v>
      </c>
      <c r="G3656" s="1" t="str">
        <f>"河南省南阳市镇平县国税局家属院四栋二楼东户"</f>
        <v>河南省南阳市镇平县国税局家属院四栋二楼东户</v>
      </c>
      <c r="H3656" s="1" t="str">
        <f t="shared" si="1806"/>
        <v>无</v>
      </c>
      <c r="I3656" s="1" t="str">
        <f>"201809-202107西安铁路职业技术学院机电工程系动车组检修技术专业就读，是全日制学历"</f>
        <v>201809-202107西安铁路职业技术学院机电工程系动车组检修技术专业就读，是全日制学历</v>
      </c>
    </row>
    <row r="3657" spans="1:9">
      <c r="A3657" s="1" t="str">
        <f>"411381199003260813"</f>
        <v>411381199003260813</v>
      </c>
      <c r="B3657" s="1" t="str">
        <f t="shared" ref="B3657:B3662" si="1808">"群众"</f>
        <v>群众</v>
      </c>
      <c r="C3657" s="1" t="str">
        <f t="shared" si="1807"/>
        <v>专科</v>
      </c>
      <c r="D3657" s="1" t="str">
        <f>"20120701"</f>
        <v>20120701</v>
      </c>
      <c r="E3657" s="1" t="str">
        <f>"商丘工学院"</f>
        <v>商丘工学院</v>
      </c>
      <c r="F3657" s="1" t="str">
        <f>"数控技术"</f>
        <v>数控技术</v>
      </c>
      <c r="G3657" s="1" t="str">
        <f>"河南省邓州市小城北街056号"</f>
        <v>河南省邓州市小城北街056号</v>
      </c>
      <c r="H3657" s="1" t="str">
        <f t="shared" si="1806"/>
        <v>无</v>
      </c>
      <c r="I3657" s="1" t="str">
        <f>"20090901——20120701   商丘工学院
20120801——20141130   中国平安人寿股份有限公司上海分公司
20141220——20240930   河南省凌佳实业有限公司
20241001——至今            邓州市公安局三产分局 辅警"</f>
        <v>20090901——20120701   商丘工学院
20120801——20141130   中国平安人寿股份有限公司上海分公司
20141220——20240930   河南省凌佳实业有限公司
20241001——至今            邓州市公安局三产分局 辅警</v>
      </c>
    </row>
    <row r="3658" spans="1:9">
      <c r="A3658" s="1" t="str">
        <f>"411324200004100035"</f>
        <v>411324200004100035</v>
      </c>
      <c r="B3658" s="1" t="str">
        <f t="shared" ref="B3658:B3665" si="1809">"共青团员"</f>
        <v>共青团员</v>
      </c>
      <c r="C3658" s="1" t="str">
        <f t="shared" si="1807"/>
        <v>专科</v>
      </c>
      <c r="D3658" s="1" t="str">
        <f>"20210701"</f>
        <v>20210701</v>
      </c>
      <c r="E3658" s="1" t="str">
        <f>"郑州财税金融职业学院"</f>
        <v>郑州财税金融职业学院</v>
      </c>
      <c r="F3658" s="1" t="str">
        <f>"金融管理"</f>
        <v>金融管理</v>
      </c>
      <c r="G3658" s="1" t="str">
        <f>"河南省南阳市镇平县"</f>
        <v>河南省南阳市镇平县</v>
      </c>
      <c r="H3658" s="1" t="str">
        <f t="shared" si="1806"/>
        <v>无</v>
      </c>
      <c r="I3658" s="1" t="str">
        <f>"201809-202106 郑州财税金融职业学院就读 全日制学历
202107-202202 在家待业
202203-202408 在桐柏开车
202409-至今在家做销售"</f>
        <v>201809-202106 郑州财税金融职业学院就读 全日制学历
202107-202202 在家待业
202203-202408 在桐柏开车
202409-至今在家做销售</v>
      </c>
    </row>
    <row r="3659" spans="1:9">
      <c r="A3659" s="1" t="str">
        <f>"41292619901117202X"</f>
        <v>41292619901117202X</v>
      </c>
      <c r="B3659" s="1" t="str">
        <f t="shared" si="1808"/>
        <v>群众</v>
      </c>
      <c r="C3659" s="1" t="str">
        <f t="shared" ref="C3659:C3673" si="1810">"本科"</f>
        <v>本科</v>
      </c>
      <c r="D3659" s="1" t="str">
        <f>"20170701"</f>
        <v>20170701</v>
      </c>
      <c r="E3659" s="1" t="str">
        <f>"郑州航空工业管理学院"</f>
        <v>郑州航空工业管理学院</v>
      </c>
      <c r="F3659" s="1" t="str">
        <f>"市场营销"</f>
        <v>市场营销</v>
      </c>
      <c r="G3659" s="1" t="str">
        <f>"河南省内乡县林场小区"</f>
        <v>河南省内乡县林场小区</v>
      </c>
      <c r="H3659" s="1" t="str">
        <f t="shared" si="1806"/>
        <v>无</v>
      </c>
      <c r="I3659" s="1" t="str">
        <f>"201209-201507 河南财政税务高等专科学校 信息工程系 电子商务专业就读 是全日制学历
201509-201707 郑州航空工业管理学院 工商管理系 市场营销专业 就读   是全日制学历
201708-201804 江苏盛世康禾生物技术有限公司 工作
201805-202109 江苏恒瑞医药股份有限公司 工作
202110-202409 在内乡待业
202410-至今   桐柏县委政法委 工作
"</f>
        <v>201209-201507 河南财政税务高等专科学校 信息工程系 电子商务专业就读 是全日制学历
201509-201707 郑州航空工业管理学院 工商管理系 市场营销专业 就读   是全日制学历
201708-201804 江苏盛世康禾生物技术有限公司 工作
201805-202109 江苏恒瑞医药股份有限公司 工作
202110-202409 在内乡待业
202410-至今   桐柏县委政法委 工作
</v>
      </c>
    </row>
    <row r="3660" spans="1:9">
      <c r="A3660" s="1" t="str">
        <f>"411326200304301528"</f>
        <v>411326200304301528</v>
      </c>
      <c r="B3660" s="1" t="str">
        <f t="shared" si="1809"/>
        <v>共青团员</v>
      </c>
      <c r="C3660" s="1" t="str">
        <f t="shared" si="1810"/>
        <v>本科</v>
      </c>
      <c r="D3660" s="1" t="str">
        <f>"20240701"</f>
        <v>20240701</v>
      </c>
      <c r="E3660" s="1" t="str">
        <f>"华北水利水电大学"</f>
        <v>华北水利水电大学</v>
      </c>
      <c r="F3660" s="1" t="str">
        <f>"道路桥梁与渡河工程"</f>
        <v>道路桥梁与渡河工程</v>
      </c>
      <c r="G3660" s="1" t="str">
        <f>"河南省南阳市云阳镇"</f>
        <v>河南省南阳市云阳镇</v>
      </c>
      <c r="H3660" s="1" t="str">
        <f t="shared" si="1806"/>
        <v>无</v>
      </c>
      <c r="I3660" s="1" t="str">
        <f>"202009-202407华北水利水电大学土木与交通学院道路桥梁与渡河工程就读，是全日制学历。202407-至今在南阳市南召县云阳镇家里待业。"</f>
        <v>202009-202407华北水利水电大学土木与交通学院道路桥梁与渡河工程就读，是全日制学历。202407-至今在南阳市南召县云阳镇家里待业。</v>
      </c>
    </row>
    <row r="3661" spans="1:9">
      <c r="A3661" s="1" t="str">
        <f>"411327200212174521"</f>
        <v>411327200212174521</v>
      </c>
      <c r="B3661" s="1" t="str">
        <f t="shared" si="1808"/>
        <v>群众</v>
      </c>
      <c r="C3661" s="1" t="str">
        <f>"专科"</f>
        <v>专科</v>
      </c>
      <c r="D3661" s="1" t="str">
        <f>"20250715"</f>
        <v>20250715</v>
      </c>
      <c r="E3661" s="1" t="str">
        <f>" 河南工业贸易职业学院"</f>
        <v> 河南工业贸易职业学院</v>
      </c>
      <c r="F3661" s="1" t="str">
        <f>"现代物流管理"</f>
        <v>现代物流管理</v>
      </c>
      <c r="G3661" s="1" t="str">
        <f>"河南省南阳市内乡县"</f>
        <v>河南省南阳市内乡县</v>
      </c>
      <c r="H3661" s="1" t="str">
        <f t="shared" si="1806"/>
        <v>无</v>
      </c>
      <c r="I3661" s="1" t="str">
        <f>"202209-202506 河南工业贸易职业学院 全日制现代物流管理专业就读"</f>
        <v>202209-202506 河南工业贸易职业学院 全日制现代物流管理专业就读</v>
      </c>
    </row>
    <row r="3662" spans="1:9">
      <c r="A3662" s="1" t="str">
        <f>"411628199203108220"</f>
        <v>411628199203108220</v>
      </c>
      <c r="B3662" s="1" t="str">
        <f t="shared" si="1808"/>
        <v>群众</v>
      </c>
      <c r="C3662" s="1" t="str">
        <f t="shared" si="1810"/>
        <v>本科</v>
      </c>
      <c r="D3662" s="1" t="str">
        <f>"202001"</f>
        <v>202001</v>
      </c>
      <c r="E3662" s="1" t="str">
        <f>"国家开放大学"</f>
        <v>国家开放大学</v>
      </c>
      <c r="F3662" s="1" t="str">
        <f>"汉语言文学"</f>
        <v>汉语言文学</v>
      </c>
      <c r="G3662" s="1" t="str">
        <f>"河南省鹿邑县"</f>
        <v>河南省鹿邑县</v>
      </c>
      <c r="H3662" s="1" t="str">
        <f t="shared" si="1806"/>
        <v>无</v>
      </c>
      <c r="I3662" s="1" t="str">
        <f>"201109-201406西安理工大学印刷图文信息处理专业就读非全日制
201407-201709待业
201709-202001国家开放大学汉语言文学就读 非全日制
202001-202410待业
202410-202503山东金生活物业服务有限公司任发卡员"</f>
        <v>201109-201406西安理工大学印刷图文信息处理专业就读非全日制
201407-201709待业
201709-202001国家开放大学汉语言文学就读 非全日制
202001-202410待业
202410-202503山东金生活物业服务有限公司任发卡员</v>
      </c>
    </row>
    <row r="3663" spans="1:9">
      <c r="A3663" s="1" t="str">
        <f>"411330199808081521"</f>
        <v>411330199808081521</v>
      </c>
      <c r="B3663" s="1" t="str">
        <f t="shared" si="1809"/>
        <v>共青团员</v>
      </c>
      <c r="C3663" s="1" t="str">
        <f t="shared" si="1810"/>
        <v>本科</v>
      </c>
      <c r="D3663" s="1" t="str">
        <f>"2021.07"</f>
        <v>2021.07</v>
      </c>
      <c r="E3663" s="1" t="str">
        <f>"河南大学民生学院"</f>
        <v>河南大学民生学院</v>
      </c>
      <c r="F3663" s="1" t="str">
        <f>"金融学（金融统计方向）"</f>
        <v>金融学（金融统计方向）</v>
      </c>
      <c r="G3663" s="1" t="str">
        <f>"河南省南阳市西峡县白羽路社会保险局旁平安小区后居民区"</f>
        <v>河南省南阳市西峡县白羽路社会保险局旁平安小区后居民区</v>
      </c>
      <c r="H3663" s="1" t="str">
        <f t="shared" si="1806"/>
        <v>无</v>
      </c>
      <c r="I3663" s="1" t="str">
        <f>"201709-202107河南大学民生学院经济学院金融学（金融统计方向）就读，是全日制学历；202107-202112待业；202201-202309就职河南省恒晏房地产开发有限公司；202310-202507就职西峡县金米克科技有限公司"</f>
        <v>201709-202107河南大学民生学院经济学院金融学（金融统计方向）就读，是全日制学历；202107-202112待业；202201-202309就职河南省恒晏房地产开发有限公司；202310-202507就职西峡县金米克科技有限公司</v>
      </c>
    </row>
    <row r="3664" spans="1:9">
      <c r="A3664" s="1" t="str">
        <f>"350722199912074617"</f>
        <v>350722199912074617</v>
      </c>
      <c r="B3664" s="1" t="str">
        <f t="shared" si="1809"/>
        <v>共青团员</v>
      </c>
      <c r="C3664" s="1" t="str">
        <f t="shared" si="1810"/>
        <v>本科</v>
      </c>
      <c r="D3664" s="1" t="str">
        <f>"20220612"</f>
        <v>20220612</v>
      </c>
      <c r="E3664" s="1" t="str">
        <f>"浙大宁波理工学院"</f>
        <v>浙大宁波理工学院</v>
      </c>
      <c r="F3664" s="1" t="str">
        <f>"能源与环境系统工程"</f>
        <v>能源与环境系统工程</v>
      </c>
      <c r="G3664" s="1" t="str">
        <f>"浙江省丽水市遂昌县柘岱口乡际下村"</f>
        <v>浙江省丽水市遂昌县柘岱口乡际下村</v>
      </c>
      <c r="H3664" s="1" t="str">
        <f t="shared" si="1806"/>
        <v>无</v>
      </c>
      <c r="I3664" s="1" t="str">
        <f>"201809-202206在浙大宁波理工学院机电与能源工程学院能源与环境系统工程就读，全日制学历；202206-202207在家待业；202207-202409在青岛海信日立空调系统有限公司任售前技术支持工程师；202409-202502在家待业；202502-202505在遂昌美创暖通工程设备有限公司任设计师；202505-202507在浙江欧恒食品有限公司任化验员；202507-至今在家待业"</f>
        <v>201809-202206在浙大宁波理工学院机电与能源工程学院能源与环境系统工程就读，全日制学历；202206-202207在家待业；202207-202409在青岛海信日立空调系统有限公司任售前技术支持工程师；202409-202502在家待业；202502-202505在遂昌美创暖通工程设备有限公司任设计师；202505-202507在浙江欧恒食品有限公司任化验员；202507-至今在家待业</v>
      </c>
    </row>
    <row r="3665" spans="1:9">
      <c r="A3665" s="1" t="str">
        <f>"411327200110261122"</f>
        <v>411327200110261122</v>
      </c>
      <c r="B3665" s="1" t="str">
        <f t="shared" si="1809"/>
        <v>共青团员</v>
      </c>
      <c r="C3665" s="1" t="str">
        <f t="shared" si="1810"/>
        <v>本科</v>
      </c>
      <c r="D3665" s="1" t="str">
        <f>"20240701"</f>
        <v>20240701</v>
      </c>
      <c r="E3665" s="1" t="str">
        <f>"河南科技职业大学"</f>
        <v>河南科技职业大学</v>
      </c>
      <c r="F3665" s="1" t="str">
        <f t="shared" ref="F3665:F3670" si="1811">"学前教育"</f>
        <v>学前教育</v>
      </c>
      <c r="G3665" s="1" t="str">
        <f>"河南省南阳市内乡县赤眉镇赤眉村街西北组"</f>
        <v>河南省南阳市内乡县赤眉镇赤眉村街西北组</v>
      </c>
      <c r="H3665" s="1" t="str">
        <f t="shared" si="1806"/>
        <v>无</v>
      </c>
      <c r="I3665" s="1" t="str">
        <f>"202209-202407  河南科技职业大学教育科学学院学前教育系就读      全日制
201909-202207  安阳幼儿师范专科学校学前教育系学前教育专业就读  全日制
201609-201907   内乡县第三高级中学就读"</f>
        <v>202209-202407  河南科技职业大学教育科学学院学前教育系就读      全日制
201909-202207  安阳幼儿师范专科学校学前教育系学前教育专业就读  全日制
201609-201907   内乡县第三高级中学就读</v>
      </c>
    </row>
    <row r="3666" spans="1:9">
      <c r="A3666" s="1" t="str">
        <f>"411302200206140184"</f>
        <v>411302200206140184</v>
      </c>
      <c r="B3666" s="1" t="str">
        <f>"中共党员"</f>
        <v>中共党员</v>
      </c>
      <c r="C3666" s="1" t="str">
        <f t="shared" si="1810"/>
        <v>本科</v>
      </c>
      <c r="D3666" s="1" t="str">
        <f>"20230701"</f>
        <v>20230701</v>
      </c>
      <c r="E3666" s="1" t="str">
        <f>"南阳师范学院"</f>
        <v>南阳师范学院</v>
      </c>
      <c r="F3666" s="1" t="str">
        <f t="shared" si="1811"/>
        <v>学前教育</v>
      </c>
      <c r="G3666" s="1" t="str">
        <f>"河南省南阳市宛城区独山大道中段606号交通局家属院"</f>
        <v>河南省南阳市宛城区独山大道中段606号交通局家属院</v>
      </c>
      <c r="H3666" s="1" t="str">
        <f t="shared" si="1806"/>
        <v>无</v>
      </c>
      <c r="I3666" s="1" t="str">
        <f>"201809-202107河南财政金融学院软件学院现代教育技术专业就读，是全日制学历；202109-202307南阳师范学院教育科学学院学前教育专业就读，是全日制学历。"</f>
        <v>201809-202107河南财政金融学院软件学院现代教育技术专业就读，是全日制学历；202109-202307南阳师范学院教育科学学院学前教育专业就读，是全日制学历。</v>
      </c>
    </row>
    <row r="3667" spans="1:9">
      <c r="A3667" s="1" t="str">
        <f>"142702200108126423"</f>
        <v>142702200108126423</v>
      </c>
      <c r="B3667" s="1" t="str">
        <f t="shared" ref="B3667:B3670" si="1812">"群众"</f>
        <v>群众</v>
      </c>
      <c r="C3667" s="1" t="str">
        <f t="shared" si="1810"/>
        <v>本科</v>
      </c>
      <c r="D3667" s="1" t="str">
        <f>"20230701"</f>
        <v>20230701</v>
      </c>
      <c r="E3667" s="1" t="str">
        <f>"山西大同大学"</f>
        <v>山西大同大学</v>
      </c>
      <c r="F3667" s="1" t="str">
        <f>"心理学"</f>
        <v>心理学</v>
      </c>
      <c r="G3667" s="1" t="str">
        <f>"山西省运城市盐湖区"</f>
        <v>山西省运城市盐湖区</v>
      </c>
      <c r="H3667" s="1" t="str">
        <f t="shared" si="1806"/>
        <v>无</v>
      </c>
      <c r="I3667" s="1" t="str">
        <f>"201909—202307 在山西大同大学教育科学与技术学院系心理学专业就读，是全日制学历，202307—202507在运城待业。"</f>
        <v>201909—202307 在山西大同大学教育科学与技术学院系心理学专业就读，是全日制学历，202307—202507在运城待业。</v>
      </c>
    </row>
    <row r="3668" spans="1:9">
      <c r="A3668" s="1" t="str">
        <f>"411326199012100710"</f>
        <v>411326199012100710</v>
      </c>
      <c r="B3668" s="1" t="str">
        <f t="shared" si="1812"/>
        <v>群众</v>
      </c>
      <c r="C3668" s="1" t="str">
        <f t="shared" si="1810"/>
        <v>本科</v>
      </c>
      <c r="D3668" s="1" t="str">
        <f>"20150701"</f>
        <v>20150701</v>
      </c>
      <c r="E3668" s="1" t="str">
        <f>"河南城建学院"</f>
        <v>河南城建学院</v>
      </c>
      <c r="F3668" s="1" t="str">
        <f>"市场营销"</f>
        <v>市场营销</v>
      </c>
      <c r="G3668" s="1" t="str">
        <f>"河南省南召县城郊乡理想社区"</f>
        <v>河南省南召县城郊乡理想社区</v>
      </c>
      <c r="H3668" s="1" t="str">
        <f>"初级中学教师资格证、C2 机动车驾驶证"</f>
        <v>初级中学教师资格证、C2 机动车驾驶证</v>
      </c>
      <c r="I3668" s="1" t="str">
        <f>"201109-201507  就读于河南城建学院 工商管理系市场营销专业  全日制本科；
201505-201512  上海58同城 实习及就职  销售专员；
201601-201612  就职于上海百年建筑网有限公司   销售经理；
201701-202203   就职于恒利康生物科技股份有限公司 销售经理、采购主管；
202204-至今    就职于南召华润燃气有限公司   燃气管家、民用户安检、维修、综合服务产品销售；
"</f>
        <v>201109-201507  就读于河南城建学院 工商管理系市场营销专业  全日制本科；
201505-201512  上海58同城 实习及就职  销售专员；
201601-201612  就职于上海百年建筑网有限公司   销售经理；
201701-202203   就职于恒利康生物科技股份有限公司 销售经理、采购主管；
202204-至今    就职于南召华润燃气有限公司   燃气管家、民用户安检、维修、综合服务产品销售；
</v>
      </c>
    </row>
    <row r="3669" spans="1:9">
      <c r="A3669" s="1" t="str">
        <f>"411327199104241517"</f>
        <v>411327199104241517</v>
      </c>
      <c r="B3669" s="1" t="str">
        <f t="shared" si="1812"/>
        <v>群众</v>
      </c>
      <c r="C3669" s="1" t="str">
        <f t="shared" si="1810"/>
        <v>本科</v>
      </c>
      <c r="D3669" s="1" t="str">
        <f>"20150703"</f>
        <v>20150703</v>
      </c>
      <c r="E3669" s="1" t="str">
        <f>"聊城大学东昌学院"</f>
        <v>聊城大学东昌学院</v>
      </c>
      <c r="F3669" s="1" t="str">
        <f>"经济学"</f>
        <v>经济学</v>
      </c>
      <c r="G3669" s="1" t="str">
        <f>"河南省南阳市内乡县湍东镇五里堡村"</f>
        <v>河南省南阳市内乡县湍东镇五里堡村</v>
      </c>
      <c r="H3669" s="1" t="str">
        <f>"计算机二级、初级会计师"</f>
        <v>计算机二级、初级会计师</v>
      </c>
      <c r="I3669" s="1" t="str">
        <f>"2011.9-2015.7 聊城大学东昌学院    经济学   本科
2015.8-2016.11   河南火食餐饮管理有限公司   会计
2016.12-2019.6   郑州市大阳自动化设备有限公司   会计
2019.7-2020.5   牧原食品股份有限公司   融资
2020.6-至今   牧原肉食品有限公司  销售、会计"</f>
        <v>2011.9-2015.7 聊城大学东昌学院    经济学   本科
2015.8-2016.11   河南火食餐饮管理有限公司   会计
2016.12-2019.6   郑州市大阳自动化设备有限公司   会计
2019.7-2020.5   牧原食品股份有限公司   融资
2020.6-至今   牧原肉食品有限公司  销售、会计</v>
      </c>
    </row>
    <row r="3670" spans="1:9">
      <c r="A3670" s="1" t="str">
        <f>"411327199811151123"</f>
        <v>411327199811151123</v>
      </c>
      <c r="B3670" s="1" t="str">
        <f t="shared" si="1812"/>
        <v>群众</v>
      </c>
      <c r="C3670" s="1" t="str">
        <f t="shared" si="1810"/>
        <v>本科</v>
      </c>
      <c r="D3670" s="1" t="str">
        <f>"20200701"</f>
        <v>20200701</v>
      </c>
      <c r="E3670" s="1" t="str">
        <f>"商丘工学院"</f>
        <v>商丘工学院</v>
      </c>
      <c r="F3670" s="1" t="str">
        <f t="shared" si="1811"/>
        <v>学前教育</v>
      </c>
      <c r="G3670" s="1" t="str">
        <f>"河南省南阳市内乡县赤眉镇朱陈村"</f>
        <v>河南省南阳市内乡县赤眉镇朱陈村</v>
      </c>
      <c r="H3670" s="1" t="str">
        <f t="shared" ref="H3670:H3672" si="1813">"无"</f>
        <v>无</v>
      </c>
      <c r="I3670" s="1" t="str">
        <f>"201609-202007 商丘工学院教育与现代艺术学院学前教育专业就读，是
202008-202110 内乡待业
202110-202409 内乡县民族宗教和侨务服务中心 公益性岗位职员
202409-202504 内乡待业
202504-至今 河南医华迪健康咨询服务有限公司内乡分公司文员
"</f>
        <v>201609-202007 商丘工学院教育与现代艺术学院学前教育专业就读，是
202008-202110 内乡待业
202110-202409 内乡县民族宗教和侨务服务中心 公益性岗位职员
202409-202504 内乡待业
202504-至今 河南医华迪健康咨询服务有限公司内乡分公司文员
</v>
      </c>
    </row>
    <row r="3671" spans="1:9">
      <c r="A3671" s="1" t="str">
        <f>"411303199007141521"</f>
        <v>411303199007141521</v>
      </c>
      <c r="B3671" s="1" t="str">
        <f>"中共党员"</f>
        <v>中共党员</v>
      </c>
      <c r="C3671" s="1" t="str">
        <f t="shared" si="1810"/>
        <v>本科</v>
      </c>
      <c r="D3671" s="1" t="str">
        <f>"201607"</f>
        <v>201607</v>
      </c>
      <c r="E3671" s="1" t="str">
        <f>"南阳师范学院"</f>
        <v>南阳师范学院</v>
      </c>
      <c r="F3671" s="1" t="str">
        <f>"工商管理专业"</f>
        <v>工商管理专业</v>
      </c>
      <c r="G3671" s="1" t="str">
        <f>"南阳市卧龙区武侯街道崔庄村社区"</f>
        <v>南阳市卧龙区武侯街道崔庄村社区</v>
      </c>
      <c r="H3671" s="1" t="str">
        <f t="shared" si="1813"/>
        <v>无</v>
      </c>
      <c r="I3671" s="1" t="str">
        <f>"200909-201207郑州经贸职业学院市场营销专业就读，全日制
201301-202304南阳市产品质量检验测试中心就业   人事代理
201403-201607南阳师范学院工商管理专业就读  非全日制
202305至今待业"</f>
        <v>200909-201207郑州经贸职业学院市场营销专业就读，全日制
201301-202304南阳市产品质量检验测试中心就业   人事代理
201403-201607南阳师范学院工商管理专业就读  非全日制
202305至今待业</v>
      </c>
    </row>
    <row r="3672" spans="1:9">
      <c r="A3672" s="1" t="str">
        <f>"411521199801020050"</f>
        <v>411521199801020050</v>
      </c>
      <c r="B3672" s="1" t="str">
        <f t="shared" ref="B3672:B3677" si="1814">"群众"</f>
        <v>群众</v>
      </c>
      <c r="C3672" s="1" t="str">
        <f t="shared" si="1810"/>
        <v>本科</v>
      </c>
      <c r="D3672" s="1" t="str">
        <f>"20220626"</f>
        <v>20220626</v>
      </c>
      <c r="E3672" s="1" t="str">
        <f>"云南艺术学院"</f>
        <v>云南艺术学院</v>
      </c>
      <c r="F3672" s="1" t="str">
        <f>"视觉传达设计"</f>
        <v>视觉传达设计</v>
      </c>
      <c r="G3672" s="1" t="str">
        <f>"河南省信阳市罗山县城关镇"</f>
        <v>河南省信阳市罗山县城关镇</v>
      </c>
      <c r="H3672" s="1" t="str">
        <f t="shared" si="1813"/>
        <v>无</v>
      </c>
      <c r="I3672" s="1" t="str">
        <f>"201809-202206 云南艺术学院    设计学院    视觉传达设计专业 就读    是全日制学历"</f>
        <v>201809-202206 云南艺术学院    设计学院    视觉传达设计专业 就读    是全日制学历</v>
      </c>
    </row>
    <row r="3673" spans="1:9">
      <c r="A3673" s="1" t="str">
        <f>"410521199402105523"</f>
        <v>410521199402105523</v>
      </c>
      <c r="B3673" s="1" t="str">
        <f t="shared" si="1814"/>
        <v>群众</v>
      </c>
      <c r="C3673" s="1" t="str">
        <f t="shared" si="1810"/>
        <v>本科</v>
      </c>
      <c r="D3673" s="1" t="str">
        <f>"20230701"</f>
        <v>20230701</v>
      </c>
      <c r="E3673" s="1" t="str">
        <f>"郑州师范学院"</f>
        <v>郑州师范学院</v>
      </c>
      <c r="F3673" s="1" t="str">
        <f>"小学教育"</f>
        <v>小学教育</v>
      </c>
      <c r="G3673" s="1" t="str">
        <f>"郑州管城区紫荆之星1403"</f>
        <v>郑州管城区紫荆之星1403</v>
      </c>
      <c r="H3673" s="1" t="str">
        <f>"普通话证二甲"</f>
        <v>普通话证二甲</v>
      </c>
      <c r="I3673" s="1" t="str">
        <f>"201309-201606郑州幼儿师范高等专科学校  全日制就读
201609-201906郑州北大附中双语幼儿园
201909-202506郑州美高科幼儿园
202103-202307郑州师范学院  网络教育"</f>
        <v>201309-201606郑州幼儿师范高等专科学校  全日制就读
201609-201906郑州北大附中双语幼儿园
201909-202506郑州美高科幼儿园
202103-202307郑州师范学院  网络教育</v>
      </c>
    </row>
    <row r="3674" spans="1:9">
      <c r="A3674" s="1" t="str">
        <f>"411323200004100039"</f>
        <v>411323200004100039</v>
      </c>
      <c r="B3674" s="1" t="str">
        <f>"共青团员"</f>
        <v>共青团员</v>
      </c>
      <c r="C3674" s="1" t="str">
        <f t="shared" ref="C3674:C3678" si="1815">"专科"</f>
        <v>专科</v>
      </c>
      <c r="D3674" s="1" t="str">
        <f>"20210701"</f>
        <v>20210701</v>
      </c>
      <c r="E3674" s="1" t="str">
        <f>"河南科技职业大学"</f>
        <v>河南科技职业大学</v>
      </c>
      <c r="F3674" s="1" t="str">
        <f>"计算机网络技术"</f>
        <v>计算机网络技术</v>
      </c>
      <c r="G3674" s="1" t="str">
        <f>"河南省南阳市淅川县上集镇罗池贯"</f>
        <v>河南省南阳市淅川县上集镇罗池贯</v>
      </c>
      <c r="H3674" s="1" t="str">
        <f t="shared" ref="H3674:H3682" si="1816">"无"</f>
        <v>无</v>
      </c>
      <c r="I3674" s="1" t="str">
        <f>"201809-202107 河南科技职业大学 计算机系计算机网络技术专业就读
202107-至今待业"</f>
        <v>201809-202107 河南科技职业大学 计算机系计算机网络技术专业就读
202107-至今待业</v>
      </c>
    </row>
    <row r="3675" spans="1:9">
      <c r="A3675" s="1" t="str">
        <f>"411381200408120312"</f>
        <v>411381200408120312</v>
      </c>
      <c r="B3675" s="1" t="str">
        <f>"中共党员"</f>
        <v>中共党员</v>
      </c>
      <c r="C3675" s="1" t="str">
        <f t="shared" si="1815"/>
        <v>专科</v>
      </c>
      <c r="D3675" s="1" t="str">
        <f>"20250612"</f>
        <v>20250612</v>
      </c>
      <c r="E3675" s="1" t="str">
        <f>"黄河科技学院"</f>
        <v>黄河科技学院</v>
      </c>
      <c r="F3675" s="1" t="str">
        <f>"学前教育"</f>
        <v>学前教育</v>
      </c>
      <c r="G3675" s="1" t="str">
        <f>"河南省邓州市北京大道财富名家"</f>
        <v>河南省邓州市北京大道财富名家</v>
      </c>
      <c r="H3675" s="1" t="str">
        <f t="shared" si="1816"/>
        <v>无</v>
      </c>
      <c r="I3675" s="1" t="str">
        <f>"202209-202506 黄河科技学院职业技术学院学前教育专业就读 是全日制学历"</f>
        <v>202209-202506 黄河科技学院职业技术学院学前教育专业就读 是全日制学历</v>
      </c>
    </row>
    <row r="3676" spans="1:9">
      <c r="A3676" s="1" t="str">
        <f>"411327199912260089"</f>
        <v>411327199912260089</v>
      </c>
      <c r="B3676" s="1" t="str">
        <f t="shared" si="1814"/>
        <v>群众</v>
      </c>
      <c r="C3676" s="1" t="str">
        <f t="shared" ref="C3676:C3682" si="1817">"本科"</f>
        <v>本科</v>
      </c>
      <c r="D3676" s="1" t="str">
        <f>"20230701"</f>
        <v>20230701</v>
      </c>
      <c r="E3676" s="1" t="str">
        <f>"南阳理工学院"</f>
        <v>南阳理工学院</v>
      </c>
      <c r="F3676" s="1" t="str">
        <f>"工商管理"</f>
        <v>工商管理</v>
      </c>
      <c r="G3676" s="1" t="str">
        <f>"河南省南阳市内乡县黉学街166号"</f>
        <v>河南省南阳市内乡县黉学街166号</v>
      </c>
      <c r="H3676" s="1" t="str">
        <f t="shared" si="1816"/>
        <v>无</v>
      </c>
      <c r="I3676" s="1" t="str">
        <f>"201409-201707，在天府航空学院就读航空服务专业；201709-202001，西南科技大学系工商企业管理专业，网络教育；202103-202307，南阳理工学院系工商管理专业，函授性质；202304至今在司法局工作。"</f>
        <v>201409-201707，在天府航空学院就读航空服务专业；201709-202001，西南科技大学系工商企业管理专业，网络教育；202103-202307，南阳理工学院系工商管理专业，函授性质；202304至今在司法局工作。</v>
      </c>
    </row>
    <row r="3677" spans="1:9">
      <c r="A3677" s="1" t="str">
        <f>"411327200005181155"</f>
        <v>411327200005181155</v>
      </c>
      <c r="B3677" s="1" t="str">
        <f t="shared" si="1814"/>
        <v>群众</v>
      </c>
      <c r="C3677" s="1" t="str">
        <f t="shared" si="1817"/>
        <v>本科</v>
      </c>
      <c r="D3677" s="1" t="str">
        <f>"2022-06-10"</f>
        <v>2022-06-10</v>
      </c>
      <c r="E3677" s="1" t="str">
        <f>"信阳学院"</f>
        <v>信阳学院</v>
      </c>
      <c r="F3677" s="1" t="str">
        <f>"音乐学"</f>
        <v>音乐学</v>
      </c>
      <c r="G3677" s="1" t="str">
        <f>"河南省内乡县赤眉镇王庄村刘家庄31号"</f>
        <v>河南省内乡县赤眉镇王庄村刘家庄31号</v>
      </c>
      <c r="H3677" s="1" t="str">
        <f t="shared" si="1816"/>
        <v>无</v>
      </c>
      <c r="I3677" s="1" t="str">
        <f>"201809—202206信阳学院就读 "</f>
        <v>201809—202206信阳学院就读 </v>
      </c>
    </row>
    <row r="3678" spans="1:9">
      <c r="A3678" s="1" t="str">
        <f>"411327200010250012"</f>
        <v>411327200010250012</v>
      </c>
      <c r="B3678" s="1" t="str">
        <f t="shared" ref="B3678:B3683" si="1818">"共青团员"</f>
        <v>共青团员</v>
      </c>
      <c r="C3678" s="1" t="str">
        <f t="shared" si="1815"/>
        <v>专科</v>
      </c>
      <c r="D3678" s="1" t="str">
        <f>"2021年7月1日"</f>
        <v>2021年7月1日</v>
      </c>
      <c r="E3678" s="1" t="str">
        <f>"郑州财税金融职业学院"</f>
        <v>郑州财税金融职业学院</v>
      </c>
      <c r="F3678" s="1" t="str">
        <f>"会计信息管理"</f>
        <v>会计信息管理</v>
      </c>
      <c r="G3678" s="1" t="str">
        <f>"河南省南阳市内乡县北园村二组"</f>
        <v>河南省南阳市内乡县北园村二组</v>
      </c>
      <c r="H3678" s="1" t="str">
        <f t="shared" si="1816"/>
        <v>无</v>
      </c>
      <c r="I3678" s="1" t="str">
        <f>"201809-2021-7就读于郑州财税金融职业学院 会计信息管理专业
202304-202507就读于郑州轻工业大学函授 财务管理专业
"</f>
        <v>201809-2021-7就读于郑州财税金融职业学院 会计信息管理专业
202304-202507就读于郑州轻工业大学函授 财务管理专业
</v>
      </c>
    </row>
    <row r="3679" spans="1:9">
      <c r="A3679" s="1" t="str">
        <f>"612501200105181721"</f>
        <v>612501200105181721</v>
      </c>
      <c r="B3679" s="1" t="str">
        <f>"群众"</f>
        <v>群众</v>
      </c>
      <c r="C3679" s="1" t="str">
        <f t="shared" si="1817"/>
        <v>本科</v>
      </c>
      <c r="D3679" s="1" t="str">
        <f>"20230701"</f>
        <v>20230701</v>
      </c>
      <c r="E3679" s="1" t="str">
        <f>"宝鸡文理学院"</f>
        <v>宝鸡文理学院</v>
      </c>
      <c r="F3679" s="1" t="str">
        <f>"工商管理"</f>
        <v>工商管理</v>
      </c>
      <c r="G3679" s="1" t="str">
        <f>"陕西省商洛市商州区刘湾街道办事处"</f>
        <v>陕西省商洛市商州区刘湾街道办事处</v>
      </c>
      <c r="H3679" s="1" t="str">
        <f t="shared" si="1816"/>
        <v>无</v>
      </c>
      <c r="I3679" s="1" t="str">
        <f>"201909-202307，就读于宝鸡文理学院工商管理专业，全日制统招。
202308-202402，实习于商洛市聚鑫源财务咨询服务公司。
202403-202507，商洛市商州区待业。"</f>
        <v>201909-202307，就读于宝鸡文理学院工商管理专业，全日制统招。
202308-202402，实习于商洛市聚鑫源财务咨询服务公司。
202403-202507，商洛市商州区待业。</v>
      </c>
    </row>
    <row r="3680" spans="1:9">
      <c r="A3680" s="1" t="str">
        <f>"411327199801082048"</f>
        <v>411327199801082048</v>
      </c>
      <c r="B3680" s="1" t="str">
        <f>"群众"</f>
        <v>群众</v>
      </c>
      <c r="C3680" s="1" t="str">
        <f t="shared" si="1817"/>
        <v>本科</v>
      </c>
      <c r="D3680" s="1" t="str">
        <f>"20200630"</f>
        <v>20200630</v>
      </c>
      <c r="E3680" s="1" t="str">
        <f>"郑州师范学院"</f>
        <v>郑州师范学院</v>
      </c>
      <c r="F3680" s="1" t="str">
        <f>"英语"</f>
        <v>英语</v>
      </c>
      <c r="G3680" s="1" t="str">
        <f>"河南省南阳市内乡县城关镇"</f>
        <v>河南省南阳市内乡县城关镇</v>
      </c>
      <c r="H3680" s="1" t="str">
        <f t="shared" si="1816"/>
        <v>无</v>
      </c>
      <c r="I3680" s="1" t="str">
        <f>"201609-202006郑州师范学院外国语学院英语专业就读"</f>
        <v>201609-202006郑州师范学院外国语学院英语专业就读</v>
      </c>
    </row>
    <row r="3681" spans="1:9">
      <c r="A3681" s="1" t="str">
        <f>"411327199810120317"</f>
        <v>411327199810120317</v>
      </c>
      <c r="B3681" s="1" t="str">
        <f t="shared" si="1818"/>
        <v>共青团员</v>
      </c>
      <c r="C3681" s="1" t="str">
        <f t="shared" si="1817"/>
        <v>本科</v>
      </c>
      <c r="D3681" s="1" t="str">
        <f>"20210701"</f>
        <v>20210701</v>
      </c>
      <c r="E3681" s="1" t="str">
        <f>"河南科技学院"</f>
        <v>河南科技学院</v>
      </c>
      <c r="F3681" s="1" t="str">
        <f>"机械设计制造及其自动化（中外合作办学）"</f>
        <v>机械设计制造及其自动化（中外合作办学）</v>
      </c>
      <c r="G3681" s="1" t="str">
        <f>"河南省内乡县国税花苑小区四号楼一单元五楼东户"</f>
        <v>河南省内乡县国税花苑小区四号楼一单元五楼东户</v>
      </c>
      <c r="H3681" s="1" t="str">
        <f t="shared" si="1816"/>
        <v>无</v>
      </c>
      <c r="I3681" s="1" t="str">
        <f>"201709—202107 河南科技学院机电学院机械设计制造及其自动化（中外合作办学）专业就读 全日制学历
202107-202205 河南省南阳市内乡县牧原肉食品有限公司 职员
202205-202305 待业
202305-至今 内乡县公安局 城关派出所 辅警"</f>
        <v>201709—202107 河南科技学院机电学院机械设计制造及其自动化（中外合作办学）专业就读 全日制学历
202107-202205 河南省南阳市内乡县牧原肉食品有限公司 职员
202205-202305 待业
202305-至今 内乡县公安局 城关派出所 辅警</v>
      </c>
    </row>
    <row r="3682" spans="1:9">
      <c r="A3682" s="1" t="str">
        <f>"411522200110146916"</f>
        <v>411522200110146916</v>
      </c>
      <c r="B3682" s="1" t="str">
        <f t="shared" si="1818"/>
        <v>共青团员</v>
      </c>
      <c r="C3682" s="1" t="str">
        <f t="shared" si="1817"/>
        <v>本科</v>
      </c>
      <c r="D3682" s="1" t="str">
        <f>"20240701"</f>
        <v>20240701</v>
      </c>
      <c r="E3682" s="1" t="str">
        <f>"安阳学院"</f>
        <v>安阳学院</v>
      </c>
      <c r="F3682" s="1" t="str">
        <f>"土木工程"</f>
        <v>土木工程</v>
      </c>
      <c r="G3682" s="1" t="str">
        <f>"河南省信阳市光山县文殊乡方洼村塘店村民组"</f>
        <v>河南省信阳市光山县文殊乡方洼村塘店村民组</v>
      </c>
      <c r="H3682" s="1" t="str">
        <f t="shared" si="1816"/>
        <v>无</v>
      </c>
      <c r="I3682" s="1" t="str">
        <f>"202009-202407 安阳学院就读 全日制学历
202407-至今于河南省信阳市光山县待业"</f>
        <v>202009-202407 安阳学院就读 全日制学历
202407-至今于河南省信阳市光山县待业</v>
      </c>
    </row>
    <row r="3683" spans="1:9">
      <c r="A3683" s="1" t="str">
        <f>"411325200203022021"</f>
        <v>411325200203022021</v>
      </c>
      <c r="B3683" s="1" t="str">
        <f t="shared" si="1818"/>
        <v>共青团员</v>
      </c>
      <c r="C3683" s="1" t="str">
        <f>"专科"</f>
        <v>专科</v>
      </c>
      <c r="D3683" s="1" t="str">
        <f>"20250703"</f>
        <v>20250703</v>
      </c>
      <c r="E3683" s="1" t="str">
        <f>"郑州财税金融职业学院"</f>
        <v>郑州财税金融职业学院</v>
      </c>
      <c r="F3683" s="1" t="str">
        <f>"大数据与审计"</f>
        <v>大数据与审计</v>
      </c>
      <c r="G3683" s="1" t="str">
        <f>"河南省南阳市内乡县师岗镇跨子营村"</f>
        <v>河南省南阳市内乡县师岗镇跨子营村</v>
      </c>
      <c r="H3683" s="1" t="str">
        <f>"会计从业资格证"</f>
        <v>会计从业资格证</v>
      </c>
      <c r="I3683" s="1" t="str">
        <f>"20220901-20250703 郑州财税金融职业学院会计学院大数据与审计专业就读 全日制大专"</f>
        <v>20220901-20250703 郑州财税金融职业学院会计学院大数据与审计专业就读 全日制大专</v>
      </c>
    </row>
    <row r="3684" spans="1:9">
      <c r="A3684" s="1" t="str">
        <f>"411327200106183328"</f>
        <v>411327200106183328</v>
      </c>
      <c r="B3684" s="1" t="str">
        <f>"中共党员"</f>
        <v>中共党员</v>
      </c>
      <c r="C3684" s="1" t="str">
        <f t="shared" ref="C3684:C3689" si="1819">"本科"</f>
        <v>本科</v>
      </c>
      <c r="D3684" s="1" t="str">
        <f>"20250701"</f>
        <v>20250701</v>
      </c>
      <c r="E3684" s="1" t="str">
        <f>"河南警察学院"</f>
        <v>河南警察学院</v>
      </c>
      <c r="F3684" s="1" t="str">
        <f>"法学"</f>
        <v>法学</v>
      </c>
      <c r="G3684" s="1" t="str">
        <f>"河南省南阳市内乡县郦都花园"</f>
        <v>河南省南阳市内乡县郦都花园</v>
      </c>
      <c r="H3684" s="1" t="str">
        <f t="shared" ref="H3684:H3691" si="1820">"无"</f>
        <v>无</v>
      </c>
      <c r="I3684" s="1" t="str">
        <f>"200809-201406王店小学就读
201409-201706实验初中就读
201709-202006第三高级中学就读
202010-202307河南检察职业学院检察系检察事务专业就读
202309-202507河南警察学院开封校区法学专业就读"</f>
        <v>200809-201406王店小学就读
201409-201706实验初中就读
201709-202006第三高级中学就读
202010-202307河南检察职业学院检察系检察事务专业就读
202309-202507河南警察学院开封校区法学专业就读</v>
      </c>
    </row>
    <row r="3685" spans="1:9">
      <c r="A3685" s="1" t="str">
        <f>"411325200206303929"</f>
        <v>411325200206303929</v>
      </c>
      <c r="B3685" s="1" t="str">
        <f>"群众"</f>
        <v>群众</v>
      </c>
      <c r="C3685" s="1" t="str">
        <f t="shared" si="1819"/>
        <v>本科</v>
      </c>
      <c r="D3685" s="1" t="str">
        <f>"20260617"</f>
        <v>20260617</v>
      </c>
      <c r="E3685" s="1" t="str">
        <f>"佳木斯大学"</f>
        <v>佳木斯大学</v>
      </c>
      <c r="F3685" s="1" t="str">
        <f>"无机非金属材料工程专业"</f>
        <v>无机非金属材料工程专业</v>
      </c>
      <c r="G3685" s="1" t="str">
        <f>"河南省南阳市西峡县"</f>
        <v>河南省南阳市西峡县</v>
      </c>
      <c r="H3685" s="1" t="str">
        <f t="shared" si="1820"/>
        <v>无</v>
      </c>
      <c r="I3685" s="1" t="str">
        <f>"202109-202506佳木斯大学无机非金属材料工程专业就读，全日制"</f>
        <v>202109-202506佳木斯大学无机非金属材料工程专业就读，全日制</v>
      </c>
    </row>
    <row r="3686" spans="1:9">
      <c r="A3686" s="1" t="str">
        <f>"411324200304200919"</f>
        <v>411324200304200919</v>
      </c>
      <c r="B3686" s="1" t="str">
        <f t="shared" ref="B3686:B3688" si="1821">"共青团员"</f>
        <v>共青团员</v>
      </c>
      <c r="C3686" s="1" t="str">
        <f>"专科"</f>
        <v>专科</v>
      </c>
      <c r="D3686" s="1" t="str">
        <f>"2024-07-01"</f>
        <v>2024-07-01</v>
      </c>
      <c r="E3686" s="1" t="str">
        <f>"鹤壁职业技术学院"</f>
        <v>鹤壁职业技术学院</v>
      </c>
      <c r="F3686" s="1" t="str">
        <f>"小学教育"</f>
        <v>小学教育</v>
      </c>
      <c r="G3686" s="1" t="str">
        <f>"河南省南阳市镇平县"</f>
        <v>河南省南阳市镇平县</v>
      </c>
      <c r="H3686" s="1" t="str">
        <f t="shared" si="1820"/>
        <v>无</v>
      </c>
      <c r="I3686" s="1" t="str">
        <f>"2021.7.1——2024.9.1在鹤壁职业技术学院"</f>
        <v>2021.7.1——2024.9.1在鹤壁职业技术学院</v>
      </c>
    </row>
    <row r="3687" spans="1:9">
      <c r="A3687" s="1" t="str">
        <f>"411330200109120080"</f>
        <v>411330200109120080</v>
      </c>
      <c r="B3687" s="1" t="str">
        <f t="shared" si="1821"/>
        <v>共青团员</v>
      </c>
      <c r="C3687" s="1" t="str">
        <f t="shared" si="1819"/>
        <v>本科</v>
      </c>
      <c r="D3687" s="1" t="str">
        <f>"20250701"</f>
        <v>20250701</v>
      </c>
      <c r="E3687" s="1" t="str">
        <f>"信阳师范大学"</f>
        <v>信阳师范大学</v>
      </c>
      <c r="F3687" s="1" t="str">
        <f>"广播电视编导"</f>
        <v>广播电视编导</v>
      </c>
      <c r="G3687" s="1" t="str">
        <f>"河南省西峡县土门新房组"</f>
        <v>河南省西峡县土门新房组</v>
      </c>
      <c r="H3687" s="1" t="str">
        <f t="shared" si="1820"/>
        <v>无</v>
      </c>
      <c r="I3687" s="1" t="str">
        <f>"202109-202507 信阳师范大学 传媒学院 广播电视编导专业就读 全日制本科"</f>
        <v>202109-202507 信阳师范大学 传媒学院 广播电视编导专业就读 全日制本科</v>
      </c>
    </row>
    <row r="3688" spans="1:9">
      <c r="A3688" s="1" t="str">
        <f>"411326200412220725"</f>
        <v>411326200412220725</v>
      </c>
      <c r="B3688" s="1" t="str">
        <f t="shared" si="1821"/>
        <v>共青团员</v>
      </c>
      <c r="C3688" s="1" t="str">
        <f t="shared" si="1819"/>
        <v>本科</v>
      </c>
      <c r="D3688" s="1" t="str">
        <f>"20250615"</f>
        <v>20250615</v>
      </c>
      <c r="E3688" s="1" t="str">
        <f>"新疆财经大学"</f>
        <v>新疆财经大学</v>
      </c>
      <c r="F3688" s="1" t="str">
        <f>"经济学"</f>
        <v>经济学</v>
      </c>
      <c r="G3688" s="1" t="str">
        <f>"河南省南阳市南召县留山镇西街村一组3号"</f>
        <v>河南省南阳市南召县留山镇西街村一组3号</v>
      </c>
      <c r="H3688" s="1" t="str">
        <f t="shared" si="1820"/>
        <v>无</v>
      </c>
      <c r="I3688" s="1" t="str">
        <f>"202109-202506在新疆财经大学经济学院经济学就读，全日制学历。
201809-202106在南召县第一高级中学就读。
201509-201806在鸭河通城中学就读。
200909-201506在留山镇第一完全中心小学校就读。"</f>
        <v>202109-202506在新疆财经大学经济学院经济学就读，全日制学历。
201809-202106在南召县第一高级中学就读。
201509-201806在鸭河通城中学就读。
200909-201506在留山镇第一完全中心小学校就读。</v>
      </c>
    </row>
    <row r="3689" spans="1:9">
      <c r="A3689" s="1" t="str">
        <f>"411327200101180048"</f>
        <v>411327200101180048</v>
      </c>
      <c r="B3689" s="1" t="str">
        <f t="shared" ref="B3689:B3692" si="1822">"群众"</f>
        <v>群众</v>
      </c>
      <c r="C3689" s="1" t="str">
        <f t="shared" si="1819"/>
        <v>本科</v>
      </c>
      <c r="D3689" s="1" t="str">
        <f>"20220706"</f>
        <v>20220706</v>
      </c>
      <c r="E3689" s="1" t="str">
        <f>"西安理工大学高科学院"</f>
        <v>西安理工大学高科学院</v>
      </c>
      <c r="F3689" s="1" t="str">
        <f>"电子信息工程"</f>
        <v>电子信息工程</v>
      </c>
      <c r="G3689" s="1" t="str">
        <f>"内乡县城关镇"</f>
        <v>内乡县城关镇</v>
      </c>
      <c r="H3689" s="1" t="str">
        <f t="shared" si="1820"/>
        <v>无</v>
      </c>
      <c r="I3689" s="1" t="str">
        <f>"201809-202207西安理工大学高科学院电子信息工程就读
202208-202303在家待业202304至今于内乡郦都学校就业"</f>
        <v>201809-202207西安理工大学高科学院电子信息工程就读
202208-202303在家待业202304至今于内乡郦都学校就业</v>
      </c>
    </row>
    <row r="3690" spans="1:9">
      <c r="A3690" s="1" t="str">
        <f>"411330200210012025"</f>
        <v>411330200210012025</v>
      </c>
      <c r="B3690" s="1" t="str">
        <f t="shared" ref="B3690:B3694" si="1823">"共青团员"</f>
        <v>共青团员</v>
      </c>
      <c r="C3690" s="1" t="str">
        <f>"专科"</f>
        <v>专科</v>
      </c>
      <c r="D3690" s="1" t="str">
        <f>"202407"</f>
        <v>202407</v>
      </c>
      <c r="E3690" s="1" t="str">
        <f>"平顶山工业职业技术学院"</f>
        <v>平顶山工业职业技术学院</v>
      </c>
      <c r="F3690" s="1" t="str">
        <f>"工程测量技术"</f>
        <v>工程测量技术</v>
      </c>
      <c r="G3690" s="1" t="str">
        <f>"河南省南阳市西峡县五里桥镇北堂村315号"</f>
        <v>河南省南阳市西峡县五里桥镇北堂村315号</v>
      </c>
      <c r="H3690" s="1" t="str">
        <f t="shared" si="1820"/>
        <v>无</v>
      </c>
      <c r="I3690" s="1" t="str">
        <f>"2015.09-2018.07就读于五里桥初中
2018.09-2021.06就读于西峡二高
2021.09-2023.07就读于平顶山工业职业技术学院"</f>
        <v>2015.09-2018.07就读于五里桥初中
2018.09-2021.06就读于西峡二高
2021.09-2023.07就读于平顶山工业职业技术学院</v>
      </c>
    </row>
    <row r="3691" spans="1:9">
      <c r="A3691" s="1" t="str">
        <f>"41130320030128019X"</f>
        <v>41130320030128019X</v>
      </c>
      <c r="B3691" s="1" t="str">
        <f t="shared" si="1822"/>
        <v>群众</v>
      </c>
      <c r="C3691" s="1" t="str">
        <f t="shared" ref="C3691:C3694" si="1824">"本科"</f>
        <v>本科</v>
      </c>
      <c r="D3691" s="1" t="str">
        <f>"20230701"</f>
        <v>20230701</v>
      </c>
      <c r="E3691" s="1" t="str">
        <f>"华北水利水电大学"</f>
        <v>华北水利水电大学</v>
      </c>
      <c r="F3691" s="1" t="str">
        <f>"能源与动力工程（水动）"</f>
        <v>能源与动力工程（水动）</v>
      </c>
      <c r="G3691" s="1" t="str">
        <f>"河南省南阳市卧龙区"</f>
        <v>河南省南阳市卧龙区</v>
      </c>
      <c r="H3691" s="1" t="str">
        <f t="shared" si="1820"/>
        <v>无</v>
      </c>
      <c r="I3691" s="1" t="str">
        <f>"201909-202307 华北水利水电大学 就读"</f>
        <v>201909-202307 华北水利水电大学 就读</v>
      </c>
    </row>
    <row r="3692" spans="1:9">
      <c r="A3692" s="1" t="str">
        <f>"411327199412150676"</f>
        <v>411327199412150676</v>
      </c>
      <c r="B3692" s="1" t="str">
        <f t="shared" si="1822"/>
        <v>群众</v>
      </c>
      <c r="C3692" s="1" t="str">
        <f t="shared" si="1824"/>
        <v>本科</v>
      </c>
      <c r="D3692" s="1" t="str">
        <f>"20170630"</f>
        <v>20170630</v>
      </c>
      <c r="E3692" s="1" t="str">
        <f>"中国地质大学江城学院"</f>
        <v>中国地质大学江城学院</v>
      </c>
      <c r="F3692" s="1" t="str">
        <f>"工程管理"</f>
        <v>工程管理</v>
      </c>
      <c r="G3692" s="1" t="str">
        <f>"河南省南阳市内乡县城关镇金水港小区"</f>
        <v>河南省南阳市内乡县城关镇金水港小区</v>
      </c>
      <c r="H3692" s="1" t="str">
        <f>"初级工程师"</f>
        <v>初级工程师</v>
      </c>
      <c r="I3692" s="1" t="str">
        <f>"201309-201706 在中国地质大学江城学院经济管理学院工程管理专业 就读 全日制学历"</f>
        <v>201309-201706 在中国地质大学江城学院经济管理学院工程管理专业 就读 全日制学历</v>
      </c>
    </row>
    <row r="3693" spans="1:9">
      <c r="A3693" s="1" t="str">
        <f>"411327199803102532"</f>
        <v>411327199803102532</v>
      </c>
      <c r="B3693" s="1" t="str">
        <f t="shared" si="1823"/>
        <v>共青团员</v>
      </c>
      <c r="C3693" s="1" t="str">
        <f t="shared" si="1824"/>
        <v>本科</v>
      </c>
      <c r="D3693" s="1" t="str">
        <f>"20210630"</f>
        <v>20210630</v>
      </c>
      <c r="E3693" s="1" t="str">
        <f>"吉林师范大学"</f>
        <v>吉林师范大学</v>
      </c>
      <c r="F3693" s="1" t="str">
        <f>"思想政治教育"</f>
        <v>思想政治教育</v>
      </c>
      <c r="G3693" s="1" t="str">
        <f>"河南省南阳市内乡县湍东镇郦都国际三期"</f>
        <v>河南省南阳市内乡县湍东镇郦都国际三期</v>
      </c>
      <c r="H3693" s="1" t="str">
        <f t="shared" ref="H3693:H3700" si="1825">"无"</f>
        <v>无</v>
      </c>
      <c r="I3693" s="1" t="str">
        <f>"201709-202102 吉林师范大学马克思主义学院思想政治教育专业就读
202103-202502 服役于中国人民解放军66736部队
202503至今           内乡县待业"</f>
        <v>201709-202102 吉林师范大学马克思主义学院思想政治教育专业就读
202103-202502 服役于中国人民解放军66736部队
202503至今           内乡县待业</v>
      </c>
    </row>
    <row r="3694" spans="1:9">
      <c r="A3694" s="1" t="str">
        <f>"411327200203283128"</f>
        <v>411327200203283128</v>
      </c>
      <c r="B3694" s="1" t="str">
        <f t="shared" si="1823"/>
        <v>共青团员</v>
      </c>
      <c r="C3694" s="1" t="str">
        <f t="shared" si="1824"/>
        <v>本科</v>
      </c>
      <c r="D3694" s="1" t="str">
        <f>"2024.06"</f>
        <v>2024.06</v>
      </c>
      <c r="E3694" s="1" t="str">
        <f>"信阳学院"</f>
        <v>信阳学院</v>
      </c>
      <c r="F3694" s="1" t="str">
        <f>"小学教育"</f>
        <v>小学教育</v>
      </c>
      <c r="G3694" s="1" t="str">
        <f>"河南省内乡县夏馆镇大栗坪村"</f>
        <v>河南省内乡县夏馆镇大栗坪村</v>
      </c>
      <c r="H3694" s="1" t="str">
        <f t="shared" si="1825"/>
        <v>无</v>
      </c>
      <c r="I3694" s="1" t="str">
        <f>"2020-2024信阳学院学教育学院小学教育就读，全日制
2024-2025在内乡复兴学校上班"</f>
        <v>2020-2024信阳学院学教育学院小学教育就读，全日制
2024-2025在内乡复兴学校上班</v>
      </c>
    </row>
    <row r="3695" spans="1:9">
      <c r="A3695" s="1" t="str">
        <f>"41132720000911251X"</f>
        <v>41132720000911251X</v>
      </c>
      <c r="B3695" s="1" t="str">
        <f>"中共党员"</f>
        <v>中共党员</v>
      </c>
      <c r="C3695" s="1" t="str">
        <f t="shared" ref="C3695:C3699" si="1826">"专科"</f>
        <v>专科</v>
      </c>
      <c r="D3695" s="1" t="str">
        <f>"20210701"</f>
        <v>20210701</v>
      </c>
      <c r="E3695" s="1" t="str">
        <f>"平顶山工业职业技术学院"</f>
        <v>平顶山工业职业技术学院</v>
      </c>
      <c r="F3695" s="1" t="str">
        <f>"建筑工程技术"</f>
        <v>建筑工程技术</v>
      </c>
      <c r="G3695" s="1" t="str">
        <f>"河南省南阳市内乡县王店镇堰张村"</f>
        <v>河南省南阳市内乡县王店镇堰张村</v>
      </c>
      <c r="H3695" s="1" t="str">
        <f t="shared" si="1825"/>
        <v>无</v>
      </c>
      <c r="I3695" s="1" t="str">
        <f>"2018.09---2021.07&amp;#160;&amp;#160;&amp;#160;&amp;#160; &amp;#160;平顶山工业职业技术学院就读         资源开发学院建筑工程技术专业    全日制
2021.08---2022.08      &amp;#160;牧原股份有限公司工作
2022.09---2024.09       参军入伍
2024.09---至今&amp;#160;&amp;#160;&amp;#160;&amp;#160;&amp;#160;&amp;#160;&amp;#160;&amp;#160;&amp;#160;&amp;#160;   &amp;#160;在家待业"</f>
        <v>2018.09---2021.07&amp;#160;&amp;#160;&amp;#160;&amp;#160; &amp;#160;平顶山工业职业技术学院就读         资源开发学院建筑工程技术专业    全日制
2021.08---2022.08      &amp;#160;牧原股份有限公司工作
2022.09---2024.09       参军入伍
2024.09---至今&amp;#160;&amp;#160;&amp;#160;&amp;#160;&amp;#160;&amp;#160;&amp;#160;&amp;#160;&amp;#160;&amp;#160;   &amp;#160;在家待业</v>
      </c>
    </row>
    <row r="3696" spans="1:9">
      <c r="A3696" s="1" t="str">
        <f>"411327199906214510"</f>
        <v>411327199906214510</v>
      </c>
      <c r="B3696" s="1" t="str">
        <f>"共青团员"</f>
        <v>共青团员</v>
      </c>
      <c r="C3696" s="1" t="str">
        <f t="shared" ref="C3696:C3700" si="1827">"本科"</f>
        <v>本科</v>
      </c>
      <c r="D3696" s="1" t="str">
        <f>"20230701"</f>
        <v>20230701</v>
      </c>
      <c r="E3696" s="1" t="str">
        <f>"华北水利水电大学"</f>
        <v>华北水利水电大学</v>
      </c>
      <c r="F3696" s="1" t="str">
        <f>"应用化学"</f>
        <v>应用化学</v>
      </c>
      <c r="G3696" s="1" t="str">
        <f>"河南省南阳市内乡县赵店乡赵店村李坡跟36号"</f>
        <v>河南省南阳市内乡县赵店乡赵店村李坡跟36号</v>
      </c>
      <c r="H3696" s="1" t="str">
        <f t="shared" si="1825"/>
        <v>无</v>
      </c>
      <c r="I3696" s="1" t="str">
        <f>"201709-202307华北水利水电大学环境与市政工程学院应用化学专业就读全日制本科"</f>
        <v>201709-202307华北水利水电大学环境与市政工程学院应用化学专业就读全日制本科</v>
      </c>
    </row>
    <row r="3697" spans="1:9">
      <c r="A3697" s="1" t="str">
        <f>"411327199706110020"</f>
        <v>411327199706110020</v>
      </c>
      <c r="B3697" s="1" t="str">
        <f t="shared" ref="B3697:B3701" si="1828">"群众"</f>
        <v>群众</v>
      </c>
      <c r="C3697" s="1" t="str">
        <f t="shared" si="1827"/>
        <v>本科</v>
      </c>
      <c r="D3697" s="1" t="str">
        <f>"20200701"</f>
        <v>20200701</v>
      </c>
      <c r="E3697" s="1" t="str">
        <f>"郑州升达经贸管理学院"</f>
        <v>郑州升达经贸管理学院</v>
      </c>
      <c r="F3697" s="1" t="str">
        <f>"金融学"</f>
        <v>金融学</v>
      </c>
      <c r="G3697" s="1" t="str">
        <f>"河南省南阳市内乡县城关镇书院村"</f>
        <v>河南省南阳市内乡县城关镇书院村</v>
      </c>
      <c r="H3697" s="1" t="str">
        <f t="shared" si="1825"/>
        <v>无</v>
      </c>
      <c r="I3697" s="1" t="str">
        <f>"201609-202006 郑州升达经贸管理学院 就读
202007-至今 中原银行南阳分行内乡支行 职工"</f>
        <v>201609-202006 郑州升达经贸管理学院 就读
202007-至今 中原银行南阳分行内乡支行 职工</v>
      </c>
    </row>
    <row r="3698" spans="1:9">
      <c r="A3698" s="1" t="str">
        <f>"411302200205080191"</f>
        <v>411302200205080191</v>
      </c>
      <c r="B3698" s="1" t="str">
        <f t="shared" ref="B3698:B3703" si="1829">"共青团员"</f>
        <v>共青团员</v>
      </c>
      <c r="C3698" s="1" t="str">
        <f t="shared" si="1826"/>
        <v>专科</v>
      </c>
      <c r="D3698" s="1" t="str">
        <f>"2023.07"</f>
        <v>2023.07</v>
      </c>
      <c r="E3698" s="1" t="str">
        <f>"河南司法警官职业学院"</f>
        <v>河南司法警官职业学院</v>
      </c>
      <c r="F3698" s="1" t="str">
        <f>"司法鉴定技术"</f>
        <v>司法鉴定技术</v>
      </c>
      <c r="G3698" s="1" t="str">
        <f>"河南省南阳市宛城区茶庵乡茶庵路口"</f>
        <v>河南省南阳市宛城区茶庵乡茶庵路口</v>
      </c>
      <c r="H3698" s="1" t="str">
        <f t="shared" si="1825"/>
        <v>无</v>
      </c>
      <c r="I3698" s="1" t="str">
        <f>"202009-202307在河南司法警官职业学院警察管理系司法鉴定技术专业就读，全日制学历
202309-202506在许昌市公安局特殊警务支队工作，辅警
202506至今，待业"</f>
        <v>202009-202307在河南司法警官职业学院警察管理系司法鉴定技术专业就读，全日制学历
202309-202506在许昌市公安局特殊警务支队工作，辅警
202506至今，待业</v>
      </c>
    </row>
    <row r="3699" spans="1:9">
      <c r="A3699" s="1" t="str">
        <f>"411327199206214923"</f>
        <v>411327199206214923</v>
      </c>
      <c r="B3699" s="1" t="str">
        <f t="shared" si="1828"/>
        <v>群众</v>
      </c>
      <c r="C3699" s="1" t="str">
        <f t="shared" si="1826"/>
        <v>专科</v>
      </c>
      <c r="D3699" s="1" t="str">
        <f>"20140701"</f>
        <v>20140701</v>
      </c>
      <c r="E3699" s="1" t="str">
        <f>"郑州航空工业管理学院"</f>
        <v>郑州航空工业管理学院</v>
      </c>
      <c r="F3699" s="1" t="str">
        <f>"会计与统计核算"</f>
        <v>会计与统计核算</v>
      </c>
      <c r="G3699" s="1" t="str">
        <f>"河南省南阳市内乡县郦都二期"</f>
        <v>河南省南阳市内乡县郦都二期</v>
      </c>
      <c r="H3699" s="1" t="str">
        <f t="shared" si="1825"/>
        <v>无</v>
      </c>
      <c r="I3699" s="1" t="str">
        <f>"201703-201907，南阳师范学院，工商管理，非全日制
201407-201703，无业
201109-201407，郑州航空工业管理学院，会计与统计核算，全日制"</f>
        <v>201703-201907，南阳师范学院，工商管理，非全日制
201407-201703，无业
201109-201407，郑州航空工业管理学院，会计与统计核算，全日制</v>
      </c>
    </row>
    <row r="3700" spans="1:9">
      <c r="A3700" s="1" t="str">
        <f>"411081199307090351"</f>
        <v>411081199307090351</v>
      </c>
      <c r="B3700" s="1" t="str">
        <f>"中共党员"</f>
        <v>中共党员</v>
      </c>
      <c r="C3700" s="1" t="str">
        <f t="shared" si="1827"/>
        <v>本科</v>
      </c>
      <c r="D3700" s="1" t="str">
        <f>"20160701"</f>
        <v>20160701</v>
      </c>
      <c r="E3700" s="1" t="str">
        <f>"安阳师范学院"</f>
        <v>安阳师范学院</v>
      </c>
      <c r="F3700" s="1" t="str">
        <f>"软件工程（JAVA方向）"</f>
        <v>软件工程（JAVA方向）</v>
      </c>
      <c r="G3700" s="1" t="str">
        <f>"河南省许昌市魏都区"</f>
        <v>河南省许昌市魏都区</v>
      </c>
      <c r="H3700" s="1" t="str">
        <f t="shared" si="1825"/>
        <v>无</v>
      </c>
      <c r="I3700" s="1" t="str">
        <f>"201209-201607 安阳师范学院计算机系软件工程（JAVA方向）专业就读，全日制学历；
201608-201707在河南省许昌市待业；
201708-202403 在河南省中国人寿保险股份有限公司许昌分公司工作；
202404-202507 在河南省许昌市待业。"</f>
        <v>201209-201607 安阳师范学院计算机系软件工程（JAVA方向）专业就读，全日制学历；
201608-201707在河南省许昌市待业；
201708-202403 在河南省中国人寿保险股份有限公司许昌分公司工作；
202404-202507 在河南省许昌市待业。</v>
      </c>
    </row>
    <row r="3701" spans="1:9">
      <c r="A3701" s="1" t="str">
        <f>"411381200108240427"</f>
        <v>411381200108240427</v>
      </c>
      <c r="B3701" s="1" t="str">
        <f t="shared" si="1828"/>
        <v>群众</v>
      </c>
      <c r="C3701" s="1" t="str">
        <f>"专科"</f>
        <v>专科</v>
      </c>
      <c r="D3701" s="1" t="str">
        <f>"2022-07-01"</f>
        <v>2022-07-01</v>
      </c>
      <c r="E3701" s="1" t="str">
        <f>"许昌职业技术学院"</f>
        <v>许昌职业技术学院</v>
      </c>
      <c r="F3701" s="1" t="str">
        <f>"应用英语"</f>
        <v>应用英语</v>
      </c>
      <c r="G3701" s="1" t="str">
        <f>"河南省邓州市南阁路卷烟厂家属院9号楼"</f>
        <v>河南省邓州市南阁路卷烟厂家属院9号楼</v>
      </c>
      <c r="H3701" s="1" t="str">
        <f>"小学英语教师资格证"</f>
        <v>小学英语教师资格证</v>
      </c>
      <c r="I3701" s="1" t="str">
        <f>"2019.09-2022.07许昌职业技术学院 外国语学院 应用英语专业就读  全日制大专"</f>
        <v>2019.09-2022.07许昌职业技术学院 外国语学院 应用英语专业就读  全日制大专</v>
      </c>
    </row>
    <row r="3702" spans="1:9">
      <c r="A3702" s="1" t="str">
        <f>"41132720021106008X"</f>
        <v>41132720021106008X</v>
      </c>
      <c r="B3702" s="1" t="str">
        <f t="shared" si="1829"/>
        <v>共青团员</v>
      </c>
      <c r="C3702" s="1" t="str">
        <f t="shared" ref="C3702:C3707" si="1830">"本科"</f>
        <v>本科</v>
      </c>
      <c r="D3702" s="1" t="str">
        <f>"20240701"</f>
        <v>20240701</v>
      </c>
      <c r="E3702" s="1" t="str">
        <f>"河南科技学院"</f>
        <v>河南科技学院</v>
      </c>
      <c r="F3702" s="1" t="str">
        <f>"动物医学"</f>
        <v>动物医学</v>
      </c>
      <c r="G3702" s="1" t="str">
        <f>"河南省南阳市内乡县城关镇老检察院"</f>
        <v>河南省南阳市内乡县城关镇老检察院</v>
      </c>
      <c r="H3702" s="1" t="str">
        <f>"执业兽医资格证—执业兽医师"</f>
        <v>执业兽医资格证—执业兽医师</v>
      </c>
      <c r="I3702" s="1" t="str">
        <f>"202009-202407 河南科技学院 动物科技学院 动物医学专业就读 全日制本科
202407-至今 待业"</f>
        <v>202009-202407 河南科技学院 动物科技学院 动物医学专业就读 全日制本科
202407-至今 待业</v>
      </c>
    </row>
    <row r="3703" spans="1:9">
      <c r="A3703" s="1" t="str">
        <f>"411324199801033415"</f>
        <v>411324199801033415</v>
      </c>
      <c r="B3703" s="1" t="str">
        <f t="shared" si="1829"/>
        <v>共青团员</v>
      </c>
      <c r="C3703" s="1" t="str">
        <f t="shared" si="1830"/>
        <v>本科</v>
      </c>
      <c r="D3703" s="1" t="str">
        <f>"2020.7"</f>
        <v>2020.7</v>
      </c>
      <c r="E3703" s="1" t="str">
        <f>"郑州轻工业大学"</f>
        <v>郑州轻工业大学</v>
      </c>
      <c r="F3703" s="1" t="str">
        <f>"数学与应用数学"</f>
        <v>数学与应用数学</v>
      </c>
      <c r="G3703" s="1" t="str">
        <f>"河南省南阳市贾宋镇闵河村4组"</f>
        <v>河南省南阳市贾宋镇闵河村4组</v>
      </c>
      <c r="H3703" s="1" t="str">
        <f t="shared" ref="H3703:H3708" si="1831">"无"</f>
        <v>无</v>
      </c>
      <c r="I3703" s="1" t="str">
        <f>"201609-202007郑州轻工业大学信息科学技术学院数学与应用数学专业全日制
202007-202103永青集团
202104-202107想念食品股份有限公司
202108-202203腾越建筑有限公司
202204-202308延津县城北高中
202308-至今卧龙区新时代精英学校"</f>
        <v>201609-202007郑州轻工业大学信息科学技术学院数学与应用数学专业全日制
202007-202103永青集团
202104-202107想念食品股份有限公司
202108-202203腾越建筑有限公司
202204-202308延津县城北高中
202308-至今卧龙区新时代精英学校</v>
      </c>
    </row>
    <row r="3704" spans="1:9">
      <c r="A3704" s="1" t="str">
        <f>"411325199705257810"</f>
        <v>411325199705257810</v>
      </c>
      <c r="B3704" s="1" t="str">
        <f>"群众"</f>
        <v>群众</v>
      </c>
      <c r="C3704" s="1" t="str">
        <f>"专科"</f>
        <v>专科</v>
      </c>
      <c r="D3704" s="1" t="str">
        <f>"20230710"</f>
        <v>20230710</v>
      </c>
      <c r="E3704" s="1" t="str">
        <f>"广东开放大学"</f>
        <v>广东开放大学</v>
      </c>
      <c r="F3704" s="1" t="str">
        <f>"计算机应用技术"</f>
        <v>计算机应用技术</v>
      </c>
      <c r="G3704" s="1" t="str">
        <f>"河南省南阳市唐河县"</f>
        <v>河南省南阳市唐河县</v>
      </c>
      <c r="H3704" s="1" t="str">
        <f t="shared" si="1831"/>
        <v>无</v>
      </c>
      <c r="I3704" s="1" t="str">
        <f>"201609-201910 平顶山学院机械学院机械电子工程专业就读（全日制）
201910-202111家中待业
202009-202307广东开放大学金领分校计算机应用技术专业就读（非全日制）
202111-202311南阳市保安服务有限公司唐河押运大队工作
202311-202402家中待业
202402至今唐河县公安局特勤大队工作"</f>
        <v>201609-201910 平顶山学院机械学院机械电子工程专业就读（全日制）
201910-202111家中待业
202009-202307广东开放大学金领分校计算机应用技术专业就读（非全日制）
202111-202311南阳市保安服务有限公司唐河押运大队工作
202311-202402家中待业
202402至今唐河县公安局特勤大队工作</v>
      </c>
    </row>
    <row r="3705" spans="1:9">
      <c r="A3705" s="1" t="str">
        <f>"411327199801041123"</f>
        <v>411327199801041123</v>
      </c>
      <c r="B3705" s="1" t="str">
        <f>"群众"</f>
        <v>群众</v>
      </c>
      <c r="C3705" s="1" t="str">
        <f t="shared" si="1830"/>
        <v>本科</v>
      </c>
      <c r="D3705" s="1" t="str">
        <f>"20190619"</f>
        <v>20190619</v>
      </c>
      <c r="E3705" s="1" t="str">
        <f>"河北工程大学科信学院"</f>
        <v>河北工程大学科信学院</v>
      </c>
      <c r="F3705" s="1" t="str">
        <f>"食品科学与工程"</f>
        <v>食品科学与工程</v>
      </c>
      <c r="G3705" s="1" t="str">
        <f>"河南省南阳市内乡县五里堡北500米"</f>
        <v>河南省南阳市内乡县五里堡北500米</v>
      </c>
      <c r="H3705" s="1" t="str">
        <f t="shared" si="1831"/>
        <v>无</v>
      </c>
      <c r="I3705" s="1" t="str">
        <f>"201509-201906 河北工程大学科信学院就读食品科学与工程  全日制
201908-202411  北京华钦互娱科技有限公司
202412至今  南阳待业"</f>
        <v>201509-201906 河北工程大学科信学院就读食品科学与工程  全日制
201908-202411  北京华钦互娱科技有限公司
202412至今  南阳待业</v>
      </c>
    </row>
    <row r="3706" spans="1:9">
      <c r="A3706" s="1" t="str">
        <f>"411324199909120078"</f>
        <v>411324199909120078</v>
      </c>
      <c r="B3706" s="1" t="str">
        <f>"共青团员"</f>
        <v>共青团员</v>
      </c>
      <c r="C3706" s="1" t="str">
        <f t="shared" si="1830"/>
        <v>本科</v>
      </c>
      <c r="D3706" s="1" t="str">
        <f>"20230701"</f>
        <v>20230701</v>
      </c>
      <c r="E3706" s="1" t="str">
        <f>"华北水利水电大学"</f>
        <v>华北水利水电大学</v>
      </c>
      <c r="F3706" s="1" t="str">
        <f>"能源与动力工程（热动）"</f>
        <v>能源与动力工程（热动）</v>
      </c>
      <c r="G3706" s="1" t="str">
        <f>"河南省南阳市镇平县城关镇花园街"</f>
        <v>河南省南阳市镇平县城关镇花园街</v>
      </c>
      <c r="H3706" s="1" t="str">
        <f t="shared" si="1831"/>
        <v>无</v>
      </c>
      <c r="I3706" s="1" t="str">
        <f>"201909-202307 华北水利水电大学 乌拉尔学院 能源与动力工程专业就读，为全日制本科；202307-至今 华润电力焦作有限公司就职。"</f>
        <v>201909-202307 华北水利水电大学 乌拉尔学院 能源与动力工程专业就读，为全日制本科；202307-至今 华润电力焦作有限公司就职。</v>
      </c>
    </row>
    <row r="3707" spans="1:9">
      <c r="A3707" s="1" t="str">
        <f>"411324199805252420"</f>
        <v>411324199805252420</v>
      </c>
      <c r="B3707" s="1" t="str">
        <f t="shared" ref="B3707:B3709" si="1832">"中共党员"</f>
        <v>中共党员</v>
      </c>
      <c r="C3707" s="1" t="str">
        <f t="shared" si="1830"/>
        <v>本科</v>
      </c>
      <c r="D3707" s="1" t="str">
        <f>"20200701"</f>
        <v>20200701</v>
      </c>
      <c r="E3707" s="1" t="str">
        <f>"郑州航空工业管理学院"</f>
        <v>郑州航空工业管理学院</v>
      </c>
      <c r="F3707" s="1" t="str">
        <f>"旅游管理"</f>
        <v>旅游管理</v>
      </c>
      <c r="G3707" s="1" t="str">
        <f>"河南省南阳市内乡县南关幸福小区6号楼3单元3楼"</f>
        <v>河南省南阳市内乡县南关幸福小区6号楼3单元3楼</v>
      </c>
      <c r="H3707" s="1" t="str">
        <f t="shared" si="1831"/>
        <v>无</v>
      </c>
      <c r="I3707" s="1" t="str">
        <f>"201609--202007 郑州航空工业管理学院工商管理系旅游管理专业就读，是全日制学历。"</f>
        <v>201609--202007 郑州航空工业管理学院工商管理系旅游管理专业就读，是全日制学历。</v>
      </c>
    </row>
    <row r="3708" spans="1:9">
      <c r="A3708" s="1" t="str">
        <f>"411328199512155075"</f>
        <v>411328199512155075</v>
      </c>
      <c r="B3708" s="1" t="str">
        <f t="shared" si="1832"/>
        <v>中共党员</v>
      </c>
      <c r="C3708" s="1" t="str">
        <f>"硕士研究生"</f>
        <v>硕士研究生</v>
      </c>
      <c r="D3708" s="1" t="str">
        <f>"2023-06-13"</f>
        <v>2023-06-13</v>
      </c>
      <c r="E3708" s="1" t="str">
        <f>"辽宁师范大学"</f>
        <v>辽宁师范大学</v>
      </c>
      <c r="F3708" s="1" t="str">
        <f>"中国史"</f>
        <v>中国史</v>
      </c>
      <c r="G3708" s="1" t="str">
        <f>"河南省南阳市新野县上港乡小五村小河西7组"</f>
        <v>河南省南阳市新野县上港乡小五村小河西7组</v>
      </c>
      <c r="H3708" s="1" t="str">
        <f t="shared" si="1831"/>
        <v>无</v>
      </c>
      <c r="I3708" s="1" t="str">
        <f>"201609-202006安阳师范学院就读是全日制
202009-202306辽宁师范大学就读是全日制
202307-202404在河南南阳新野待业
202405-202406武汉传媒学院工作
202412-202507在河南南阳新野待业
202408-202411湖北文理学院工作
"</f>
        <v>201609-202006安阳师范学院就读是全日制
202009-202306辽宁师范大学就读是全日制
202307-202404在河南南阳新野待业
202405-202406武汉传媒学院工作
202412-202507在河南南阳新野待业
202408-202411湖北文理学院工作
</v>
      </c>
    </row>
    <row r="3709" spans="1:9">
      <c r="A3709" s="1" t="str">
        <f>"411302199804166039"</f>
        <v>411302199804166039</v>
      </c>
      <c r="B3709" s="1" t="str">
        <f t="shared" si="1832"/>
        <v>中共党员</v>
      </c>
      <c r="C3709" s="1" t="str">
        <f>"硕士研究生"</f>
        <v>硕士研究生</v>
      </c>
      <c r="D3709" s="1" t="str">
        <f>"2025-06-07"</f>
        <v>2025-06-07</v>
      </c>
      <c r="E3709" s="1" t="str">
        <f>"华中师范大学"</f>
        <v>华中师范大学</v>
      </c>
      <c r="F3709" s="1" t="str">
        <f>"法律（非法学）"</f>
        <v>法律（非法学）</v>
      </c>
      <c r="G3709" s="1" t="str">
        <f>"河南省南阳市宛城区范蠡东路东城一品"</f>
        <v>河南省南阳市宛城区范蠡东路东城一品</v>
      </c>
      <c r="H3709" s="1" t="str">
        <f>"法律职业资格证书（编号A20224113020546）"</f>
        <v>法律职业资格证书（编号A20224113020546）</v>
      </c>
      <c r="I3709" s="1" t="str">
        <f>"2016-2020 河南大学 迈阿密学院电子信息科学与技术专业 全日制
2020-2022 待业
2022-2025 华中师范大学 法学院法律（非法学）专业 非全日制
"</f>
        <v>2016-2020 河南大学 迈阿密学院电子信息科学与技术专业 全日制
2020-2022 待业
2022-2025 华中师范大学 法学院法律（非法学）专业 非全日制
</v>
      </c>
    </row>
    <row r="3710" spans="1:9">
      <c r="A3710" s="1" t="str">
        <f>"411327199005173133"</f>
        <v>411327199005173133</v>
      </c>
      <c r="B3710" s="1" t="str">
        <f t="shared" ref="B3710:B3715" si="1833">"群众"</f>
        <v>群众</v>
      </c>
      <c r="C3710" s="1" t="str">
        <f t="shared" ref="C3710:C3713" si="1834">"本科"</f>
        <v>本科</v>
      </c>
      <c r="D3710" s="1" t="str">
        <f>"20140607"</f>
        <v>20140607</v>
      </c>
      <c r="E3710" s="1" t="str">
        <f>"洛阳理工学院"</f>
        <v>洛阳理工学院</v>
      </c>
      <c r="F3710" s="1" t="str">
        <f>"车辆工程"</f>
        <v>车辆工程</v>
      </c>
      <c r="G3710" s="1" t="str">
        <f>"河南省内乡县夏管镇"</f>
        <v>河南省内乡县夏管镇</v>
      </c>
      <c r="H3710" s="1" t="str">
        <f t="shared" ref="H3710:H3723" si="1835">"无"</f>
        <v>无</v>
      </c>
      <c r="I3710" s="1" t="str">
        <f>"201009-201406 洛阳理工学院就读，全日制学历；
201407-201502 西安待业；
201503-201708 郑州宏拓超硬材料制品有限公司上班；
201709-202507 内乡菊潭学校上班；"</f>
        <v>201009-201406 洛阳理工学院就读，全日制学历；
201407-201502 西安待业；
201503-201708 郑州宏拓超硬材料制品有限公司上班；
201709-202507 内乡菊潭学校上班；</v>
      </c>
    </row>
    <row r="3711" spans="1:9">
      <c r="A3711" s="1" t="str">
        <f>"411327200003051525"</f>
        <v>411327200003051525</v>
      </c>
      <c r="B3711" s="1" t="str">
        <f t="shared" si="1833"/>
        <v>群众</v>
      </c>
      <c r="C3711" s="1" t="str">
        <f t="shared" si="1834"/>
        <v>本科</v>
      </c>
      <c r="D3711" s="1" t="str">
        <f>"20210701"</f>
        <v>20210701</v>
      </c>
      <c r="E3711" s="1" t="str">
        <f>"郑州航空工业管理学院"</f>
        <v>郑州航空工业管理学院</v>
      </c>
      <c r="F3711" s="1" t="str">
        <f>"工商管理"</f>
        <v>工商管理</v>
      </c>
      <c r="G3711" s="1" t="str">
        <f>"河南省内乡县湍东镇庞营村东六13号"</f>
        <v>河南省内乡县湍东镇庞营村东六13号</v>
      </c>
      <c r="H3711" s="1" t="str">
        <f>"教师资格证"</f>
        <v>教师资格证</v>
      </c>
      <c r="I3711" s="1" t="str">
        <f>"2017.09-2021.07 郑州航空工业管理学院商学院工商管理专业 全日制学生 
2021.08-2021.11 西峡龙成特种材料有限公司 职员
2021.12-2022.08 河南省聚爱数字科技有限公司 职员
2022.09-2023.07 待业
2023.08至今 内乡县聚爱食材销售有限公司 职员"</f>
        <v>2017.09-2021.07 郑州航空工业管理学院商学院工商管理专业 全日制学生 
2021.08-2021.11 西峡龙成特种材料有限公司 职员
2021.12-2022.08 河南省聚爱数字科技有限公司 职员
2022.09-2023.07 待业
2023.08至今 内乡县聚爱食材销售有限公司 职员</v>
      </c>
    </row>
    <row r="3712" spans="1:9">
      <c r="A3712" s="1" t="str">
        <f>"412822200208184117"</f>
        <v>412822200208184117</v>
      </c>
      <c r="B3712" s="1" t="str">
        <f>"中共党员"</f>
        <v>中共党员</v>
      </c>
      <c r="C3712" s="1" t="str">
        <f t="shared" si="1834"/>
        <v>本科</v>
      </c>
      <c r="D3712" s="1" t="str">
        <f>"2025-07-01"</f>
        <v>2025-07-01</v>
      </c>
      <c r="E3712" s="1" t="str">
        <f>"郑州商学院"</f>
        <v>郑州商学院</v>
      </c>
      <c r="F3712" s="1" t="str">
        <f>"汉语言文学"</f>
        <v>汉语言文学</v>
      </c>
      <c r="G3712" s="1" t="str">
        <f>"河南省驻马店市泌阳县花园街道北一环卓鑫怡景"</f>
        <v>河南省驻马店市泌阳县花园街道北一环卓鑫怡景</v>
      </c>
      <c r="H3712" s="1" t="str">
        <f t="shared" si="1835"/>
        <v>无</v>
      </c>
      <c r="I3712" s="1" t="str">
        <f>"202009-202307 周口职业技术学院文化教育学院语文教育专业全日制就读
202309-202507 郑州商学院文学与新闻传播学院汉语言文学专业全日制就读"</f>
        <v>202009-202307 周口职业技术学院文化教育学院语文教育专业全日制就读
202309-202507 郑州商学院文学与新闻传播学院汉语言文学专业全日制就读</v>
      </c>
    </row>
    <row r="3713" spans="1:9">
      <c r="A3713" s="1" t="str">
        <f>"410103200203290093"</f>
        <v>410103200203290093</v>
      </c>
      <c r="B3713" s="1" t="str">
        <f>"中共党员"</f>
        <v>中共党员</v>
      </c>
      <c r="C3713" s="1" t="str">
        <f t="shared" si="1834"/>
        <v>本科</v>
      </c>
      <c r="D3713" s="1" t="str">
        <f>"20240701"</f>
        <v>20240701</v>
      </c>
      <c r="E3713" s="1" t="str">
        <f>"河南科技职业大学"</f>
        <v>河南科技职业大学</v>
      </c>
      <c r="F3713" s="1" t="str">
        <f>"网络工程"</f>
        <v>网络工程</v>
      </c>
      <c r="G3713" s="1" t="str">
        <f>"河南省郑州市新郑市祥云路5号工贸人才公寓6号楼"</f>
        <v>河南省郑州市新郑市祥云路5号工贸人才公寓6号楼</v>
      </c>
      <c r="H3713" s="1" t="str">
        <f t="shared" si="1835"/>
        <v>无</v>
      </c>
      <c r="I3713" s="1" t="str">
        <f>"202009-202407河南科技职业大学 信息工程学院 网络工程专业 全日制"</f>
        <v>202009-202407河南科技职业大学 信息工程学院 网络工程专业 全日制</v>
      </c>
    </row>
    <row r="3714" spans="1:9">
      <c r="A3714" s="1" t="str">
        <f>"411327200103080040"</f>
        <v>411327200103080040</v>
      </c>
      <c r="B3714" s="1" t="str">
        <f t="shared" ref="B3714:B3717" si="1836">"共青团员"</f>
        <v>共青团员</v>
      </c>
      <c r="C3714" s="1" t="str">
        <f>"专科"</f>
        <v>专科</v>
      </c>
      <c r="D3714" s="1" t="str">
        <f>"20230701"</f>
        <v>20230701</v>
      </c>
      <c r="E3714" s="1" t="str">
        <f>"郑州工商学院"</f>
        <v>郑州工商学院</v>
      </c>
      <c r="F3714" s="1" t="str">
        <f>"财务管理"</f>
        <v>财务管理</v>
      </c>
      <c r="G3714" s="1" t="str">
        <f>"河南省内乡县城关镇书院村书院南路104号"</f>
        <v>河南省内乡县城关镇书院村书院南路104号</v>
      </c>
      <c r="H3714" s="1" t="str">
        <f t="shared" si="1835"/>
        <v>无</v>
      </c>
      <c r="I3714" s="1" t="str">
        <f>"202009-202307郑州工商学院财税学院财务管理专业 就读全日制
202403-202607郑州轻工业大学财务管理专业 就读非全日制"</f>
        <v>202009-202307郑州工商学院财税学院财务管理专业 就读全日制
202403-202607郑州轻工业大学财务管理专业 就读非全日制</v>
      </c>
    </row>
    <row r="3715" spans="1:9">
      <c r="A3715" s="1" t="str">
        <f>"411330199806242029"</f>
        <v>411330199806242029</v>
      </c>
      <c r="B3715" s="1" t="str">
        <f t="shared" si="1833"/>
        <v>群众</v>
      </c>
      <c r="C3715" s="1" t="str">
        <f t="shared" ref="C3715:C3719" si="1837">"本科"</f>
        <v>本科</v>
      </c>
      <c r="D3715" s="1" t="str">
        <f>"20200701"</f>
        <v>20200701</v>
      </c>
      <c r="E3715" s="1" t="str">
        <f>"南阳师范学院"</f>
        <v>南阳师范学院</v>
      </c>
      <c r="F3715" s="1" t="str">
        <f>"数学与应用数学"</f>
        <v>数学与应用数学</v>
      </c>
      <c r="G3715" s="1" t="str">
        <f>"河南省南阳市西峡县五里桥"</f>
        <v>河南省南阳市西峡县五里桥</v>
      </c>
      <c r="H3715" s="1" t="str">
        <f t="shared" si="1835"/>
        <v>无</v>
      </c>
      <c r="I3715" s="1" t="str">
        <f>"201709-202107南阳师范学院就读
202108-202208内乡县职业中等专业学校
202209至今内乡县第三高级中学
"</f>
        <v>201709-202107南阳师范学院就读
202108-202208内乡县职业中等专业学校
202209至今内乡县第三高级中学
</v>
      </c>
    </row>
    <row r="3716" spans="1:9">
      <c r="A3716" s="1" t="str">
        <f>"411381200411058441"</f>
        <v>411381200411058441</v>
      </c>
      <c r="B3716" s="1" t="str">
        <f t="shared" si="1836"/>
        <v>共青团员</v>
      </c>
      <c r="C3716" s="1" t="str">
        <f>"专科"</f>
        <v>专科</v>
      </c>
      <c r="D3716" s="1" t="str">
        <f>"20250701"</f>
        <v>20250701</v>
      </c>
      <c r="E3716" s="1" t="str">
        <f>"郑州体育职业学院"</f>
        <v>郑州体育职业学院</v>
      </c>
      <c r="F3716" s="1" t="str">
        <f>"旅游管理"</f>
        <v>旅游管理</v>
      </c>
      <c r="G3716" s="1" t="str">
        <f>"河南省邓州市解放社区四网格36号"</f>
        <v>河南省邓州市解放社区四网格36号</v>
      </c>
      <c r="H3716" s="1" t="str">
        <f t="shared" si="1835"/>
        <v>无</v>
      </c>
      <c r="I3716" s="1" t="str">
        <f>"202209-202507 郑州体育职业学院旅游管理专业就读 是全日制学历"</f>
        <v>202209-202507 郑州体育职业学院旅游管理专业就读 是全日制学历</v>
      </c>
    </row>
    <row r="3717" spans="1:9">
      <c r="A3717" s="1" t="str">
        <f>"411330200103111546"</f>
        <v>411330200103111546</v>
      </c>
      <c r="B3717" s="1" t="str">
        <f t="shared" si="1836"/>
        <v>共青团员</v>
      </c>
      <c r="C3717" s="1" t="str">
        <f t="shared" si="1837"/>
        <v>本科</v>
      </c>
      <c r="D3717" s="1" t="str">
        <f>"20230703"</f>
        <v>20230703</v>
      </c>
      <c r="E3717" s="1" t="str">
        <f>"郑州商学院"</f>
        <v>郑州商学院</v>
      </c>
      <c r="F3717" s="1" t="str">
        <f>"环境设计"</f>
        <v>环境设计</v>
      </c>
      <c r="G3717" s="1" t="str">
        <f>"河南省南阳市西峡县城关镇师范南路18号"</f>
        <v>河南省南阳市西峡县城关镇师范南路18号</v>
      </c>
      <c r="H3717" s="1" t="str">
        <f t="shared" si="1835"/>
        <v>无</v>
      </c>
      <c r="I3717" s="1" t="str">
        <f>"2019.09-2023.07:在郑州商学院读大学&amp;#160;&amp;#160;&amp;#160;&amp;#160;&amp;#160;&amp;#160;&amp;#160;&amp;#160;&amp;#160;&amp;#160;&amp;#160;&amp;#160;
2023.07-至今：待业
"</f>
        <v>2019.09-2023.07:在郑州商学院读大学&amp;#160;&amp;#160;&amp;#160;&amp;#160;&amp;#160;&amp;#160;&amp;#160;&amp;#160;&amp;#160;&amp;#160;&amp;#160;&amp;#160;
2023.07-至今：待业
</v>
      </c>
    </row>
    <row r="3718" spans="1:9">
      <c r="A3718" s="1" t="str">
        <f>"412825200109070279"</f>
        <v>412825200109070279</v>
      </c>
      <c r="B3718" s="1" t="str">
        <f>"群众"</f>
        <v>群众</v>
      </c>
      <c r="C3718" s="1" t="str">
        <f t="shared" si="1837"/>
        <v>本科</v>
      </c>
      <c r="D3718" s="1" t="str">
        <f>"20240701"</f>
        <v>20240701</v>
      </c>
      <c r="E3718" s="1" t="str">
        <f>"郑州工业应用技术学院"</f>
        <v>郑州工业应用技术学院</v>
      </c>
      <c r="F3718" s="1" t="str">
        <f>"城乡规划"</f>
        <v>城乡规划</v>
      </c>
      <c r="G3718" s="1" t="str">
        <f>"河南省驻马店市上蔡县物资公司家属院"</f>
        <v>河南省驻马店市上蔡县物资公司家属院</v>
      </c>
      <c r="H3718" s="1" t="str">
        <f t="shared" si="1835"/>
        <v>无</v>
      </c>
      <c r="I3718" s="1" t="str">
        <f>"201909-202207 河南交通职业技术学院就读
202209-202407 郑州工业应用技术学院就读
全是全日制"</f>
        <v>201909-202207 河南交通职业技术学院就读
202209-202407 郑州工业应用技术学院就读
全是全日制</v>
      </c>
    </row>
    <row r="3719" spans="1:9">
      <c r="A3719" s="1" t="str">
        <f>"41162820021211031X"</f>
        <v>41162820021211031X</v>
      </c>
      <c r="B3719" s="1" t="str">
        <f t="shared" ref="B3719:B3722" si="1838">"中共党员"</f>
        <v>中共党员</v>
      </c>
      <c r="C3719" s="1" t="str">
        <f t="shared" si="1837"/>
        <v>本科</v>
      </c>
      <c r="D3719" s="1" t="str">
        <f>"20250701"</f>
        <v>20250701</v>
      </c>
      <c r="E3719" s="1" t="str">
        <f>"河南工程学院"</f>
        <v>河南工程学院</v>
      </c>
      <c r="F3719" s="1" t="str">
        <f>"人工智能"</f>
        <v>人工智能</v>
      </c>
      <c r="G3719" s="1" t="str">
        <f>"河南省周口市鹿邑县东大街187号"</f>
        <v>河南省周口市鹿邑县东大街187号</v>
      </c>
      <c r="H3719" s="1" t="str">
        <f t="shared" si="1835"/>
        <v>无</v>
      </c>
      <c r="I3719" s="1" t="str">
        <f>"202109-202507 河南工程学院电气信息工程学院人工智能专业就读 全日制学历"</f>
        <v>202109-202507 河南工程学院电气信息工程学院人工智能专业就读 全日制学历</v>
      </c>
    </row>
    <row r="3720" spans="1:9">
      <c r="A3720" s="1" t="str">
        <f>"411325199811074153"</f>
        <v>411325199811074153</v>
      </c>
      <c r="B3720" s="1" t="str">
        <f>"群众"</f>
        <v>群众</v>
      </c>
      <c r="C3720" s="1" t="str">
        <f>"专科"</f>
        <v>专科</v>
      </c>
      <c r="D3720" s="1" t="str">
        <f>"20190701"</f>
        <v>20190701</v>
      </c>
      <c r="E3720" s="1" t="str">
        <f>"南阳师范学院"</f>
        <v>南阳师范学院</v>
      </c>
      <c r="F3720" s="1" t="str">
        <f>"无人机应用技术"</f>
        <v>无人机应用技术</v>
      </c>
      <c r="G3720" s="1" t="str">
        <f>"河南省南阳市唐河县苍台镇后湾村"</f>
        <v>河南省南阳市唐河县苍台镇后湾村</v>
      </c>
      <c r="H3720" s="1" t="str">
        <f t="shared" si="1835"/>
        <v>无</v>
      </c>
      <c r="I3720" s="1" t="str">
        <f>"201609-201907 南阳师范学院 地理科学与旅游学院 无人机应用技术专业
就读
201907-202107 南阳师范学院 地理科学与旅游学院 地理科学专业 就读
202107-202202  南阳师范学院 待业
202202-202211 神州龙（深圳）空间技术有限公司 就业
202211-202408 唐河县苍台陈朝亮家庭农场 就业
20208-202504 共青城东新人力资源有限公司 就业
202504-202507 河南省南阳市卧龙区 待业"</f>
        <v>201609-201907 南阳师范学院 地理科学与旅游学院 无人机应用技术专业
就读
201907-202107 南阳师范学院 地理科学与旅游学院 地理科学专业 就读
202107-202202  南阳师范学院 待业
202202-202211 神州龙（深圳）空间技术有限公司 就业
202211-202408 唐河县苍台陈朝亮家庭农场 就业
20208-202504 共青城东新人力资源有限公司 就业
202504-202507 河南省南阳市卧龙区 待业</v>
      </c>
    </row>
    <row r="3721" spans="1:9">
      <c r="A3721" s="1" t="str">
        <f>"411303199812034569"</f>
        <v>411303199812034569</v>
      </c>
      <c r="B3721" s="1" t="str">
        <f t="shared" si="1838"/>
        <v>中共党员</v>
      </c>
      <c r="C3721" s="1" t="str">
        <f t="shared" ref="C3721:C3723" si="1839">"本科"</f>
        <v>本科</v>
      </c>
      <c r="D3721" s="1" t="str">
        <f>"20240607"</f>
        <v>20240607</v>
      </c>
      <c r="E3721" s="1" t="str">
        <f>"南阳师范学院"</f>
        <v>南阳师范学院</v>
      </c>
      <c r="F3721" s="1" t="str">
        <f>"音乐表演"</f>
        <v>音乐表演</v>
      </c>
      <c r="G3721" s="1" t="str">
        <f>"河南省南阳市宛城区红泥湾镇彦章村14组"</f>
        <v>河南省南阳市宛城区红泥湾镇彦章村14组</v>
      </c>
      <c r="H3721" s="1" t="str">
        <f t="shared" si="1835"/>
        <v>无</v>
      </c>
      <c r="I3721" s="1" t="str">
        <f>"202209-202406南阳师范学院就读
202406-202506郑州高途教育中心"</f>
        <v>202209-202406南阳师范学院就读
202406-202506郑州高途教育中心</v>
      </c>
    </row>
    <row r="3722" spans="1:9">
      <c r="A3722" s="1" t="str">
        <f>"410326200004097536"</f>
        <v>410326200004097536</v>
      </c>
      <c r="B3722" s="1" t="str">
        <f t="shared" si="1838"/>
        <v>中共党员</v>
      </c>
      <c r="C3722" s="1" t="str">
        <f t="shared" si="1839"/>
        <v>本科</v>
      </c>
      <c r="D3722" s="1" t="str">
        <f>"20220701"</f>
        <v>20220701</v>
      </c>
      <c r="E3722" s="1" t="str">
        <f>"云南师范大学文理学院"</f>
        <v>云南师范大学文理学院</v>
      </c>
      <c r="F3722" s="1" t="str">
        <f>"数学与应用数学"</f>
        <v>数学与应用数学</v>
      </c>
      <c r="G3722" s="1" t="str">
        <f>"河南省洛阳市涧西区银川路11号名门盛世1栋3门1501"</f>
        <v>河南省洛阳市涧西区银川路11号名门盛世1栋3门1501</v>
      </c>
      <c r="H3722" s="1" t="str">
        <f t="shared" si="1835"/>
        <v>无</v>
      </c>
      <c r="I3722" s="1" t="str">
        <f>"201809-202207 云南师范大学文理学院  数学与应用数学专业 全日制 就读
202207-今 待业"</f>
        <v>201809-202207 云南师范大学文理学院  数学与应用数学专业 全日制 就读
202207-今 待业</v>
      </c>
    </row>
    <row r="3723" spans="1:9">
      <c r="A3723" s="1" t="str">
        <f>"41132619990927001X"</f>
        <v>41132619990927001X</v>
      </c>
      <c r="B3723" s="1" t="str">
        <f t="shared" ref="B3723:B3726" si="1840">"共青团员"</f>
        <v>共青团员</v>
      </c>
      <c r="C3723" s="1" t="str">
        <f t="shared" si="1839"/>
        <v>本科</v>
      </c>
      <c r="D3723" s="1" t="str">
        <f>"20240701"</f>
        <v>20240701</v>
      </c>
      <c r="E3723" s="1" t="str">
        <f>"广州理工学院"</f>
        <v>广州理工学院</v>
      </c>
      <c r="F3723" s="1" t="str">
        <f>"物联网工程"</f>
        <v>物联网工程</v>
      </c>
      <c r="G3723" s="1" t="str">
        <f>"河南省南阳市南召县滨河路祥和小区"</f>
        <v>河南省南阳市南召县滨河路祥和小区</v>
      </c>
      <c r="H3723" s="1" t="str">
        <f t="shared" si="1835"/>
        <v>无</v>
      </c>
      <c r="I3723" s="1" t="str">
        <f>"201809-202107 河南测绘职业学院就读计算机系计算机网络技术专业 全日制专科
202107-202209 待业
202209-202407 广州理工学院就读智能制造与电气工程学院物联网工程专业 全日制本科
202407-至今 待业"</f>
        <v>201809-202107 河南测绘职业学院就读计算机系计算机网络技术专业 全日制专科
202107-202209 待业
202209-202407 广州理工学院就读智能制造与电气工程学院物联网工程专业 全日制本科
202407-至今 待业</v>
      </c>
    </row>
    <row r="3724" spans="1:9">
      <c r="A3724" s="1" t="str">
        <f>"411327199112090077"</f>
        <v>411327199112090077</v>
      </c>
      <c r="B3724" s="1" t="str">
        <f t="shared" ref="B3724:B3728" si="1841">"群众"</f>
        <v>群众</v>
      </c>
      <c r="C3724" s="1" t="str">
        <f t="shared" ref="C3724:C3728" si="1842">"专科"</f>
        <v>专科</v>
      </c>
      <c r="D3724" s="1" t="str">
        <f>"2013-07-01"</f>
        <v>2013-07-01</v>
      </c>
      <c r="E3724" s="1" t="str">
        <f>"郑州交通职业学院"</f>
        <v>郑州交通职业学院</v>
      </c>
      <c r="F3724" s="1" t="str">
        <f>"汽车运用技术"</f>
        <v>汽车运用技术</v>
      </c>
      <c r="G3724" s="1" t="str">
        <f>"河南省南阳市内乡县红学村"</f>
        <v>河南省南阳市内乡县红学村</v>
      </c>
      <c r="H3724" s="1" t="str">
        <f>"中级维修工 "</f>
        <v>中级维修工 </v>
      </c>
      <c r="I3724" s="1" t="str">
        <f>"201009-201307 郑州交通职业学院 汽车运用工程系 汽车运用技术专业 就读 是全日制学历"</f>
        <v>201009-201307 郑州交通职业学院 汽车运用工程系 汽车运用技术专业 就读 是全日制学历</v>
      </c>
    </row>
    <row r="3725" spans="1:9">
      <c r="A3725" s="1" t="str">
        <f>"411330200208274528"</f>
        <v>411330200208274528</v>
      </c>
      <c r="B3725" s="1" t="str">
        <f t="shared" si="1840"/>
        <v>共青团员</v>
      </c>
      <c r="C3725" s="1" t="str">
        <f t="shared" ref="C3725:C3733" si="1843">"本科"</f>
        <v>本科</v>
      </c>
      <c r="D3725" s="1" t="str">
        <f>"20240620"</f>
        <v>20240620</v>
      </c>
      <c r="E3725" s="1" t="str">
        <f>"河南工学院"</f>
        <v>河南工学院</v>
      </c>
      <c r="F3725" s="1" t="str">
        <f>"汽车服务工程"</f>
        <v>汽车服务工程</v>
      </c>
      <c r="G3725" s="1" t="str">
        <f>"河南省南阳市西峡县米坪镇秧田村四组196号"</f>
        <v>河南省南阳市西峡县米坪镇秧田村四组196号</v>
      </c>
      <c r="H3725" s="1" t="str">
        <f>"汽车维修三级证书"</f>
        <v>汽车维修三级证书</v>
      </c>
      <c r="I3725" s="1" t="str">
        <f>"202009-202406河南工学院车辆与交通学院就读汽车服务工程，全日制；
202406-至今河南南阳西峡待业"</f>
        <v>202009-202406河南工学院车辆与交通学院就读汽车服务工程，全日制；
202406-至今河南南阳西峡待业</v>
      </c>
    </row>
    <row r="3726" spans="1:9">
      <c r="A3726" s="1" t="str">
        <f>"411327200202090017"</f>
        <v>411327200202090017</v>
      </c>
      <c r="B3726" s="1" t="str">
        <f t="shared" si="1840"/>
        <v>共青团员</v>
      </c>
      <c r="C3726" s="1" t="str">
        <f t="shared" si="1843"/>
        <v>本科</v>
      </c>
      <c r="D3726" s="1" t="str">
        <f>"230627"</f>
        <v>230627</v>
      </c>
      <c r="E3726" s="1" t="str">
        <f>"西安工程大学"</f>
        <v>西安工程大学</v>
      </c>
      <c r="F3726" s="1" t="str">
        <f>"环境工程"</f>
        <v>环境工程</v>
      </c>
      <c r="G3726" s="1" t="str">
        <f>"河南省南阳市内乡县城关镇"</f>
        <v>河南省南阳市内乡县城关镇</v>
      </c>
      <c r="H3726" s="1" t="str">
        <f t="shared" ref="H3726:H3732" si="1844">"无"</f>
        <v>无</v>
      </c>
      <c r="I3726" s="1" t="str">
        <f>"201908-202306 西安工程大学 环境与化学工程学院 环境工程专业 就读
202307-202311 苏州苏瑞膜有限公司 就业
202311至今 待就业"</f>
        <v>201908-202306 西安工程大学 环境与化学工程学院 环境工程专业 就读
202307-202311 苏州苏瑞膜有限公司 就业
202311至今 待就业</v>
      </c>
    </row>
    <row r="3727" spans="1:9">
      <c r="A3727" s="1" t="str">
        <f>"411528200308103012"</f>
        <v>411528200308103012</v>
      </c>
      <c r="B3727" s="1" t="str">
        <f t="shared" si="1841"/>
        <v>群众</v>
      </c>
      <c r="C3727" s="1" t="str">
        <f t="shared" si="1842"/>
        <v>专科</v>
      </c>
      <c r="D3727" s="1" t="str">
        <f>"20250701"</f>
        <v>20250701</v>
      </c>
      <c r="E3727" s="1" t="str">
        <f>"三门峡职业技术学院"</f>
        <v>三门峡职业技术学院</v>
      </c>
      <c r="F3727" s="1" t="str">
        <f>"计算机应用技术"</f>
        <v>计算机应用技术</v>
      </c>
      <c r="G3727" s="1" t="str">
        <f>"河南省信阳市平桥区"</f>
        <v>河南省信阳市平桥区</v>
      </c>
      <c r="H3727" s="1" t="str">
        <f t="shared" si="1844"/>
        <v>无</v>
      </c>
      <c r="I3727" s="1" t="str">
        <f>"202305-202507三门峡职业技术学院就读，非全日制学历"</f>
        <v>202305-202507三门峡职业技术学院就读，非全日制学历</v>
      </c>
    </row>
    <row r="3728" spans="1:9">
      <c r="A3728" s="1" t="str">
        <f>"411327199601010015"</f>
        <v>411327199601010015</v>
      </c>
      <c r="B3728" s="1" t="str">
        <f t="shared" si="1841"/>
        <v>群众</v>
      </c>
      <c r="C3728" s="1" t="str">
        <f t="shared" si="1842"/>
        <v>专科</v>
      </c>
      <c r="D3728" s="1" t="str">
        <f>"20180701"</f>
        <v>20180701</v>
      </c>
      <c r="E3728" s="1" t="str">
        <f>"商丘医学高等专科学校"</f>
        <v>商丘医学高等专科学校</v>
      </c>
      <c r="F3728" s="1" t="str">
        <f>"医学影像技术"</f>
        <v>医学影像技术</v>
      </c>
      <c r="G3728" s="1" t="str">
        <f>"河南省内乡县"</f>
        <v>河南省内乡县</v>
      </c>
      <c r="H3728" s="1" t="str">
        <f t="shared" si="1844"/>
        <v>无</v>
      </c>
      <c r="I3728" s="1" t="str">
        <f>"201509-201807 商丘医学高等专科学校学校 就读 是全日制学历
2019年在内乡县第一人民医院实习并上班"</f>
        <v>201509-201807 商丘医学高等专科学校学校 就读 是全日制学历
2019年在内乡县第一人民医院实习并上班</v>
      </c>
    </row>
    <row r="3729" spans="1:9">
      <c r="A3729" s="1" t="str">
        <f>"411325200104162969"</f>
        <v>411325200104162969</v>
      </c>
      <c r="B3729" s="1" t="str">
        <f t="shared" ref="B3729:B3732" si="1845">"中共党员"</f>
        <v>中共党员</v>
      </c>
      <c r="C3729" s="1" t="str">
        <f>"硕士研究生"</f>
        <v>硕士研究生</v>
      </c>
      <c r="D3729" s="1" t="str">
        <f>"2024.06"</f>
        <v>2024.06</v>
      </c>
      <c r="E3729" s="1" t="str">
        <f>"山东农业大学"</f>
        <v>山东农业大学</v>
      </c>
      <c r="F3729" s="1" t="str">
        <f>"畜牧"</f>
        <v>畜牧</v>
      </c>
      <c r="G3729" s="1" t="str">
        <f>"河南省南阳市内乡县瓦亭镇"</f>
        <v>河南省南阳市内乡县瓦亭镇</v>
      </c>
      <c r="H3729" s="1" t="str">
        <f t="shared" si="1844"/>
        <v>无</v>
      </c>
      <c r="I3729" s="1" t="str">
        <f>"201809-202206 信阳农林学院动物科技学院动物科学专业就读全日制学历
202209-202406 山东农业大学动物科技学院畜牧专业就读全日制学历
202406-至今 内乡县待业"</f>
        <v>201809-202206 信阳农林学院动物科技学院动物科学专业就读全日制学历
202209-202406 山东农业大学动物科技学院畜牧专业就读全日制学历
202406-至今 内乡县待业</v>
      </c>
    </row>
    <row r="3730" spans="1:9">
      <c r="A3730" s="1" t="str">
        <f>"411324200102280519"</f>
        <v>411324200102280519</v>
      </c>
      <c r="B3730" s="1" t="str">
        <f t="shared" ref="B3730:B3735" si="1846">"群众"</f>
        <v>群众</v>
      </c>
      <c r="C3730" s="1" t="str">
        <f t="shared" si="1843"/>
        <v>本科</v>
      </c>
      <c r="D3730" s="1" t="str">
        <f>"20230701"</f>
        <v>20230701</v>
      </c>
      <c r="E3730" s="1" t="str">
        <f>"集美大学"</f>
        <v>集美大学</v>
      </c>
      <c r="F3730" s="1" t="str">
        <f>"汉语言文学"</f>
        <v>汉语言文学</v>
      </c>
      <c r="G3730" s="1" t="str">
        <f>"河南省南阳市桐柏县政府大楼邮政收发室"</f>
        <v>河南省南阳市桐柏县政府大楼邮政收发室</v>
      </c>
      <c r="H3730" s="1" t="str">
        <f t="shared" si="1844"/>
        <v>无</v>
      </c>
      <c r="I3730" s="1" t="str">
        <f>"2016.09-2019.06 镇平县第一高级中学就读
2019.09-2023.07 集美大学 汉语言文学专业就读 全日制
2023.07-2023.11 待业
2023.11-2024.11 桐柏县人大常委会研究室试用期人员
2024.11-至今 桐柏县人大常委会研究室九级职员"</f>
        <v>2016.09-2019.06 镇平县第一高级中学就读
2019.09-2023.07 集美大学 汉语言文学专业就读 全日制
2023.07-2023.11 待业
2023.11-2024.11 桐柏县人大常委会研究室试用期人员
2024.11-至今 桐柏县人大常委会研究室九级职员</v>
      </c>
    </row>
    <row r="3731" spans="1:9">
      <c r="A3731" s="1" t="str">
        <f>"411321200103130038"</f>
        <v>411321200103130038</v>
      </c>
      <c r="B3731" s="1" t="str">
        <f t="shared" si="1845"/>
        <v>中共党员</v>
      </c>
      <c r="C3731" s="1" t="str">
        <f t="shared" si="1843"/>
        <v>本科</v>
      </c>
      <c r="D3731" s="1" t="str">
        <f>"20240701"</f>
        <v>20240701</v>
      </c>
      <c r="E3731" s="1" t="str">
        <f>"武汉科技大学"</f>
        <v>武汉科技大学</v>
      </c>
      <c r="F3731" s="1" t="str">
        <f>"行政管理"</f>
        <v>行政管理</v>
      </c>
      <c r="G3731" s="1" t="str">
        <f>"17613829898"</f>
        <v>17613829898</v>
      </c>
      <c r="H3731" s="1" t="str">
        <f t="shared" si="1844"/>
        <v>无</v>
      </c>
      <c r="I3731" s="1" t="str">
        <f>"201809-202107郑州信息科技职业技术学院（全日制）计算机系移动应用开发专业就读
202203-202407武汉科技大学（函授）行政管理专业就读"</f>
        <v>201809-202107郑州信息科技职业技术学院（全日制）计算机系移动应用开发专业就读
202203-202407武汉科技大学（函授）行政管理专业就读</v>
      </c>
    </row>
    <row r="3732" spans="1:9">
      <c r="A3732" s="1" t="str">
        <f>"411327199508270613"</f>
        <v>411327199508270613</v>
      </c>
      <c r="B3732" s="1" t="str">
        <f t="shared" si="1845"/>
        <v>中共党员</v>
      </c>
      <c r="C3732" s="1" t="str">
        <f t="shared" si="1843"/>
        <v>本科</v>
      </c>
      <c r="D3732" s="1" t="str">
        <f>"20180730"</f>
        <v>20180730</v>
      </c>
      <c r="E3732" s="1" t="str">
        <f>"郑州大学"</f>
        <v>郑州大学</v>
      </c>
      <c r="F3732" s="1" t="str">
        <f>"国际经济与贸易"</f>
        <v>国际经济与贸易</v>
      </c>
      <c r="G3732" s="1" t="str">
        <f>"河南省内乡县马山口镇外河街99号"</f>
        <v>河南省内乡县马山口镇外河街99号</v>
      </c>
      <c r="H3732" s="1" t="str">
        <f t="shared" si="1844"/>
        <v>无</v>
      </c>
      <c r="I3732" s="1" t="str">
        <f>"201309-201807郑州大学西亚斯国际学院国际经济与贸易专业就读，是全日制；
201807-201902 在内乡县待业；
201902-202404 在南阳市神威爆破工程有限公司工作；
202404至今在河北宏达爆破工程有限公司工作。"</f>
        <v>201309-201807郑州大学西亚斯国际学院国际经济与贸易专业就读，是全日制；
201807-201902 在内乡县待业；
201902-202404 在南阳市神威爆破工程有限公司工作；
202404至今在河北宏达爆破工程有限公司工作。</v>
      </c>
    </row>
    <row r="3733" spans="1:9">
      <c r="A3733" s="1" t="str">
        <f>"410182199208226525"</f>
        <v>410182199208226525</v>
      </c>
      <c r="B3733" s="1" t="str">
        <f t="shared" si="1846"/>
        <v>群众</v>
      </c>
      <c r="C3733" s="1" t="str">
        <f t="shared" si="1843"/>
        <v>本科</v>
      </c>
      <c r="D3733" s="1" t="str">
        <f>"20200701"</f>
        <v>20200701</v>
      </c>
      <c r="E3733" s="1" t="str">
        <f>"河南财经政法大学"</f>
        <v>河南财经政法大学</v>
      </c>
      <c r="F3733" s="1" t="str">
        <f>"会计学"</f>
        <v>会计学</v>
      </c>
      <c r="G3733" s="1" t="str">
        <f>"新密市白寨镇"</f>
        <v>新密市白寨镇</v>
      </c>
      <c r="H3733" s="1" t="str">
        <f>"中级会计师"</f>
        <v>中级会计师</v>
      </c>
      <c r="I3733" s="1" t="str">
        <f>"201009-201306，郑州经贸职业学院就读，就读与会计系会计与审计专业，是全日制学历。201803-202007，于河南财经政法大学就读，就读与会计学专业，专升本函授学习。"</f>
        <v>201009-201306，郑州经贸职业学院就读，就读与会计系会计与审计专业，是全日制学历。201803-202007，于河南财经政法大学就读，就读与会计学专业，专升本函授学习。</v>
      </c>
    </row>
    <row r="3734" spans="1:9">
      <c r="A3734" s="1" t="str">
        <f>"411327199702181518"</f>
        <v>411327199702181518</v>
      </c>
      <c r="B3734" s="1" t="str">
        <f>"中共预备党员"</f>
        <v>中共预备党员</v>
      </c>
      <c r="C3734" s="1" t="str">
        <f t="shared" ref="C3734:C3738" si="1847">"专科"</f>
        <v>专科</v>
      </c>
      <c r="D3734" s="1" t="str">
        <f>"20180701"</f>
        <v>20180701</v>
      </c>
      <c r="E3734" s="1" t="str">
        <f>"郑州工业应用技术学院"</f>
        <v>郑州工业应用技术学院</v>
      </c>
      <c r="F3734" s="1" t="str">
        <f>"会计电算化"</f>
        <v>会计电算化</v>
      </c>
      <c r="G3734" s="1" t="str">
        <f>"内乡县天春苑小区"</f>
        <v>内乡县天春苑小区</v>
      </c>
      <c r="H3734" s="1" t="str">
        <f t="shared" ref="H3734:H3744" si="1848">"无"</f>
        <v>无</v>
      </c>
      <c r="I3734" s="1" t="str">
        <f>"201509-201807 郑州工业应用技术学院就读"</f>
        <v>201509-201807 郑州工业应用技术学院就读</v>
      </c>
    </row>
    <row r="3735" spans="1:9">
      <c r="A3735" s="1" t="str">
        <f>"411327199607160022"</f>
        <v>411327199607160022</v>
      </c>
      <c r="B3735" s="1" t="str">
        <f t="shared" si="1846"/>
        <v>群众</v>
      </c>
      <c r="C3735" s="1" t="str">
        <f t="shared" ref="C3735:C3739" si="1849">"本科"</f>
        <v>本科</v>
      </c>
      <c r="D3735" s="1" t="str">
        <f>"20180630"</f>
        <v>20180630</v>
      </c>
      <c r="E3735" s="1" t="str">
        <f>"天津商业大学"</f>
        <v>天津商业大学</v>
      </c>
      <c r="F3735" s="1" t="str">
        <f>"自动化"</f>
        <v>自动化</v>
      </c>
      <c r="G3735" s="1" t="str">
        <f>"河南省南阳市内乡县万事达小区"</f>
        <v>河南省南阳市内乡县万事达小区</v>
      </c>
      <c r="H3735" s="1" t="str">
        <f t="shared" si="1848"/>
        <v>无</v>
      </c>
      <c r="I3735" s="1" t="str">
        <f>"201409-201806 天津商业大学 自动化 就读 全日制学历"</f>
        <v>201409-201806 天津商业大学 自动化 就读 全日制学历</v>
      </c>
    </row>
    <row r="3736" spans="1:9">
      <c r="A3736" s="1" t="str">
        <f>"412825199203017911"</f>
        <v>412825199203017911</v>
      </c>
      <c r="B3736" s="1" t="str">
        <f>"中共党员"</f>
        <v>中共党员</v>
      </c>
      <c r="C3736" s="1" t="str">
        <f t="shared" si="1849"/>
        <v>本科</v>
      </c>
      <c r="D3736" s="1" t="str">
        <f>"20160701"</f>
        <v>20160701</v>
      </c>
      <c r="E3736" s="1" t="str">
        <f>"河南理工大学"</f>
        <v>河南理工大学</v>
      </c>
      <c r="F3736" s="1" t="str">
        <f>"汉语言文学"</f>
        <v>汉语言文学</v>
      </c>
      <c r="G3736" s="1" t="str">
        <f>"河南省驻马店市汝南县综治中心"</f>
        <v>河南省驻马店市汝南县综治中心</v>
      </c>
      <c r="H3736" s="1" t="str">
        <f t="shared" si="1848"/>
        <v>无</v>
      </c>
      <c r="I3736" s="1" t="str">
        <f>"201209-201607河南理工大学文法学院汉语言文学专业就读，全日制本科学历；201607-202012在河南省上蔡县东洪镇龚庄大队袁庄村待业；202012-至今，在汝南县委政法委工作。"</f>
        <v>201209-201607河南理工大学文法学院汉语言文学专业就读，全日制本科学历；201607-202012在河南省上蔡县东洪镇龚庄大队袁庄村待业；202012-至今，在汝南县委政法委工作。</v>
      </c>
    </row>
    <row r="3737" spans="1:9">
      <c r="A3737" s="1" t="str">
        <f>"411327200205110044"</f>
        <v>411327200205110044</v>
      </c>
      <c r="B3737" s="1" t="str">
        <f>"中共预备党员"</f>
        <v>中共预备党员</v>
      </c>
      <c r="C3737" s="1" t="str">
        <f t="shared" si="1847"/>
        <v>专科</v>
      </c>
      <c r="D3737" s="1" t="str">
        <f>"2025-07-01"</f>
        <v>2025-07-01</v>
      </c>
      <c r="E3737" s="1" t="str">
        <f>"郑州师范学院"</f>
        <v>郑州师范学院</v>
      </c>
      <c r="F3737" s="1" t="str">
        <f>"现代家政服务与管理"</f>
        <v>现代家政服务与管理</v>
      </c>
      <c r="G3737" s="1" t="str">
        <f>"河南省内乡县维多利亚小区"</f>
        <v>河南省内乡县维多利亚小区</v>
      </c>
      <c r="H3737" s="1" t="str">
        <f t="shared" si="1848"/>
        <v>无</v>
      </c>
      <c r="I3737" s="1" t="str">
        <f>"202209-202507郑州师范学院社会服务与发展学院现代家政服务与管理转业就读，全日制学历；202507至今在家待业。"</f>
        <v>202209-202507郑州师范学院社会服务与发展学院现代家政服务与管理转业就读，全日制学历；202507至今在家待业。</v>
      </c>
    </row>
    <row r="3738" spans="1:9">
      <c r="A3738" s="1" t="str">
        <f>"410325199511216016"</f>
        <v>410325199511216016</v>
      </c>
      <c r="B3738" s="1" t="str">
        <f t="shared" ref="B3738:B3742" si="1850">"群众"</f>
        <v>群众</v>
      </c>
      <c r="C3738" s="1" t="str">
        <f t="shared" si="1847"/>
        <v>专科</v>
      </c>
      <c r="D3738" s="1" t="str">
        <f>"20170701"</f>
        <v>20170701</v>
      </c>
      <c r="E3738" s="1" t="str">
        <f>"河南交通职业技术学院"</f>
        <v>河南交通职业技术学院</v>
      </c>
      <c r="F3738" s="1" t="str">
        <f>"城市轨道交通控制"</f>
        <v>城市轨道交通控制</v>
      </c>
      <c r="G3738" s="1" t="str">
        <f>"河南洛阳"</f>
        <v>河南洛阳</v>
      </c>
      <c r="H3738" s="1" t="str">
        <f t="shared" si="1848"/>
        <v>无</v>
      </c>
      <c r="I3738" s="1" t="str">
        <f>"201409-201707河南交通职业技术学院就读   专业：信息工程系城市轨道交通控制专业  全日制   　　职业经历：201801-202008就职于深圳盒子信息科技有限公司。　　　　202103-202412就职于河南中犇检测认证有限公司。　　　　　　　　　　　　　　　　　　　　　　　　　"</f>
        <v>201409-201707河南交通职业技术学院就读   专业：信息工程系城市轨道交通控制专业  全日制   　　职业经历：201801-202008就职于深圳盒子信息科技有限公司。　　　　202103-202412就职于河南中犇检测认证有限公司。　　　　　　　　　　　　　　　　　　　　　　　　　</v>
      </c>
    </row>
    <row r="3739" spans="1:9">
      <c r="A3739" s="1" t="str">
        <f>"411327200207120625"</f>
        <v>411327200207120625</v>
      </c>
      <c r="B3739" s="1" t="str">
        <f>"共青团员"</f>
        <v>共青团员</v>
      </c>
      <c r="C3739" s="1" t="str">
        <f t="shared" si="1849"/>
        <v>本科</v>
      </c>
      <c r="D3739" s="1" t="str">
        <f>"20240620"</f>
        <v>20240620</v>
      </c>
      <c r="E3739" s="1" t="str">
        <f>"河南大学"</f>
        <v>河南大学</v>
      </c>
      <c r="F3739" s="1" t="str">
        <f>"土木工程"</f>
        <v>土木工程</v>
      </c>
      <c r="G3739" s="1" t="str">
        <f>"河南省南阳市内乡县湍东镇茶庵村许东188号"</f>
        <v>河南省南阳市内乡县湍东镇茶庵村许东188号</v>
      </c>
      <c r="H3739" s="1" t="str">
        <f t="shared" si="1848"/>
        <v>无</v>
      </c>
      <c r="I3739" s="1" t="str">
        <f>"202009-202406 河南大学土木工程专业全日制学历就读
202409-至今内乡郦都学校工作"</f>
        <v>202009-202406 河南大学土木工程专业全日制学历就读
202409-至今内乡郦都学校工作</v>
      </c>
    </row>
    <row r="3740" spans="1:9">
      <c r="A3740" s="1" t="str">
        <f>"411324199807031111"</f>
        <v>411324199807031111</v>
      </c>
      <c r="B3740" s="1" t="str">
        <f>"中共党员"</f>
        <v>中共党员</v>
      </c>
      <c r="C3740" s="1" t="str">
        <f>"专科"</f>
        <v>专科</v>
      </c>
      <c r="D3740" s="1" t="str">
        <f>"20190709"</f>
        <v>20190709</v>
      </c>
      <c r="E3740" s="1" t="str">
        <f>"国家开放大学"</f>
        <v>国家开放大学</v>
      </c>
      <c r="F3740" s="1" t="str">
        <f>"行政管理"</f>
        <v>行政管理</v>
      </c>
      <c r="G3740" s="1" t="str">
        <f>"河南省南阳市卧龙区百里奚街道舒心园"</f>
        <v>河南省南阳市卧龙区百里奚街道舒心园</v>
      </c>
      <c r="H3740" s="1" t="str">
        <f t="shared" si="1848"/>
        <v>无</v>
      </c>
      <c r="I3740" s="1" t="str">
        <f>"2014.09-2022.09    服役于武警山西总队长治支队
2022.09-2023.12    就职于南阳市镇平县公安局看护大队
2024.01至今            就职于南阳市公安局特警支队"</f>
        <v>2014.09-2022.09    服役于武警山西总队长治支队
2022.09-2023.12    就职于南阳市镇平县公安局看护大队
2024.01至今            就职于南阳市公安局特警支队</v>
      </c>
    </row>
    <row r="3741" spans="1:9">
      <c r="A3741" s="1" t="str">
        <f>"41132720020714298X"</f>
        <v>41132720020714298X</v>
      </c>
      <c r="B3741" s="1" t="str">
        <f t="shared" si="1850"/>
        <v>群众</v>
      </c>
      <c r="C3741" s="1" t="str">
        <f t="shared" ref="C3741:C3745" si="1851">"本科"</f>
        <v>本科</v>
      </c>
      <c r="D3741" s="1" t="str">
        <f>"2025-07-01"</f>
        <v>2025-07-01</v>
      </c>
      <c r="E3741" s="1" t="str">
        <f>"信阳学院"</f>
        <v>信阳学院</v>
      </c>
      <c r="F3741" s="1" t="str">
        <f>"数学与应用数学"</f>
        <v>数学与应用数学</v>
      </c>
      <c r="G3741" s="1" t="str">
        <f>"河南省内乡县湍东镇东王营村王中组21号"</f>
        <v>河南省内乡县湍东镇东王营村王中组21号</v>
      </c>
      <c r="H3741" s="1" t="str">
        <f t="shared" si="1848"/>
        <v>无</v>
      </c>
      <c r="I3741" s="1" t="str">
        <f>"202109-202506信阳学院数学与统计学院数学与应用数学就读，全日制学历"</f>
        <v>202109-202506信阳学院数学与统计学院数学与应用数学就读，全日制学历</v>
      </c>
    </row>
    <row r="3742" spans="1:9">
      <c r="A3742" s="1" t="str">
        <f>"411522199606175117"</f>
        <v>411522199606175117</v>
      </c>
      <c r="B3742" s="1" t="str">
        <f t="shared" si="1850"/>
        <v>群众</v>
      </c>
      <c r="C3742" s="1" t="str">
        <f>"硕士研究生"</f>
        <v>硕士研究生</v>
      </c>
      <c r="D3742" s="1" t="str">
        <f>"20250701"</f>
        <v>20250701</v>
      </c>
      <c r="E3742" s="1" t="str">
        <f>"云南民族大学"</f>
        <v>云南民族大学</v>
      </c>
      <c r="F3742" s="1" t="str">
        <f>"国际贸易学"</f>
        <v>国际贸易学</v>
      </c>
      <c r="G3742" s="1" t="str">
        <f>"河南省郑州市二七区仁恒上元"</f>
        <v>河南省郑州市二七区仁恒上元</v>
      </c>
      <c r="H3742" s="1" t="str">
        <f t="shared" si="1848"/>
        <v>无</v>
      </c>
      <c r="I3742" s="1" t="str">
        <f>"201509-201807 河南财政金融学院物流管理专业就读。全日制专科
201809-202007 郑州财经学院（专升本）物流管理专业就读。全日制本科
202007-202209 在家待业
202209-202507 云南民族大学国际贸易专业就读。全日制研究生"</f>
        <v>201509-201807 河南财政金融学院物流管理专业就读。全日制专科
201809-202007 郑州财经学院（专升本）物流管理专业就读。全日制本科
202007-202209 在家待业
202209-202507 云南民族大学国际贸易专业就读。全日制研究生</v>
      </c>
    </row>
    <row r="3743" spans="1:9">
      <c r="A3743" s="1" t="str">
        <f>"410881200107304026"</f>
        <v>410881200107304026</v>
      </c>
      <c r="B3743" s="1" t="str">
        <f>"中共党员"</f>
        <v>中共党员</v>
      </c>
      <c r="C3743" s="1" t="str">
        <f t="shared" si="1851"/>
        <v>本科</v>
      </c>
      <c r="D3743" s="1" t="str">
        <f>"20230701"</f>
        <v>20230701</v>
      </c>
      <c r="E3743" s="1" t="str">
        <f>"安阳师范学院"</f>
        <v>安阳师范学院</v>
      </c>
      <c r="F3743" s="1" t="str">
        <f>"汉语言文学"</f>
        <v>汉语言文学</v>
      </c>
      <c r="G3743" s="1" t="str">
        <f>"河南省济源市东街商住楼"</f>
        <v>河南省济源市东街商住楼</v>
      </c>
      <c r="H3743" s="1" t="str">
        <f t="shared" si="1848"/>
        <v>无</v>
      </c>
      <c r="I3743" s="1" t="str">
        <f>"201909—202307安阳师范学院学校文学院汉语言文学专业就读
202307—至今河南济源市待业"</f>
        <v>201909—202307安阳师范学院学校文学院汉语言文学专业就读
202307—至今河南济源市待业</v>
      </c>
    </row>
    <row r="3744" spans="1:9">
      <c r="A3744" s="1" t="str">
        <f>"411327200211202973"</f>
        <v>411327200211202973</v>
      </c>
      <c r="B3744" s="1" t="str">
        <f t="shared" ref="B3744:B3750" si="1852">"群众"</f>
        <v>群众</v>
      </c>
      <c r="C3744" s="1" t="str">
        <f t="shared" si="1851"/>
        <v>本科</v>
      </c>
      <c r="D3744" s="1" t="str">
        <f>"20250620"</f>
        <v>20250620</v>
      </c>
      <c r="E3744" s="1" t="str">
        <f>"南阳理工学院"</f>
        <v>南阳理工学院</v>
      </c>
      <c r="F3744" s="1" t="str">
        <f>"计算机科学与技术"</f>
        <v>计算机科学与技术</v>
      </c>
      <c r="G3744" s="1" t="str">
        <f>"河南省内乡县瓦亭镇辣椒城"</f>
        <v>河南省内乡县瓦亭镇辣椒城</v>
      </c>
      <c r="H3744" s="1" t="str">
        <f t="shared" si="1848"/>
        <v>无</v>
      </c>
      <c r="I3744" s="1" t="str">
        <f>"202109-202506 南阳理工学院 计算机科学与技术专业 就读 全日制学历 "</f>
        <v>202109-202506 南阳理工学院 计算机科学与技术专业 就读 全日制学历 </v>
      </c>
    </row>
    <row r="3745" spans="1:9">
      <c r="A3745" s="1" t="str">
        <f>"411327199701203121"</f>
        <v>411327199701203121</v>
      </c>
      <c r="B3745" s="1" t="str">
        <f t="shared" si="1852"/>
        <v>群众</v>
      </c>
      <c r="C3745" s="1" t="str">
        <f t="shared" si="1851"/>
        <v>本科</v>
      </c>
      <c r="D3745" s="1" t="str">
        <f>"20180701"</f>
        <v>20180701</v>
      </c>
      <c r="E3745" s="1" t="str">
        <f>"新乡医学院三全学院"</f>
        <v>新乡医学院三全学院</v>
      </c>
      <c r="F3745" s="1" t="str">
        <f>"眼视光技术"</f>
        <v>眼视光技术</v>
      </c>
      <c r="G3745" s="1" t="str">
        <f>"河南省南阳市内乡县城关镇安馨园小区"</f>
        <v>河南省南阳市内乡县城关镇安馨园小区</v>
      </c>
      <c r="H3745" s="1" t="str">
        <f>"眼镜验光员二级技师、三级眼镜定配工"</f>
        <v>眼镜验光员二级技师、三级眼镜定配工</v>
      </c>
      <c r="I3745" s="1" t="str">
        <f>"201509-201807在新乡医学院三全学院眼视光技术专业就读全日制大学专科，毕业后在内乡县眼科医院上班，202003-202207业余学习修完新乡医学院三全学院眼视光学本科教学规定的全部课程，取得新乡医学院三全学院眼视光学专升本学历。"</f>
        <v>201509-201807在新乡医学院三全学院眼视光技术专业就读全日制大学专科，毕业后在内乡县眼科医院上班，202003-202207业余学习修完新乡医学院三全学院眼视光学本科教学规定的全部课程，取得新乡医学院三全学院眼视光学专升本学历。</v>
      </c>
    </row>
    <row r="3746" spans="1:9">
      <c r="A3746" s="1" t="str">
        <f>"411323199809065335"</f>
        <v>411323199809065335</v>
      </c>
      <c r="B3746" s="1" t="str">
        <f t="shared" si="1852"/>
        <v>群众</v>
      </c>
      <c r="C3746" s="1" t="str">
        <f>"专科"</f>
        <v>专科</v>
      </c>
      <c r="D3746" s="1" t="str">
        <f>"2021.6"</f>
        <v>2021.6</v>
      </c>
      <c r="E3746" s="1" t="str">
        <f>"郑州信息工程职业学院"</f>
        <v>郑州信息工程职业学院</v>
      </c>
      <c r="F3746" s="1" t="str">
        <f>"计算机应用技术"</f>
        <v>计算机应用技术</v>
      </c>
      <c r="G3746" s="1" t="str">
        <f>"河南省南阳市淅川县"</f>
        <v>河南省南阳市淅川县</v>
      </c>
      <c r="H3746" s="1" t="str">
        <f t="shared" ref="H3746:H3749" si="1853">"无"</f>
        <v>无</v>
      </c>
      <c r="I3746" s="1" t="str">
        <f>"2015.9-2018.6淅川第五高级中学 
2018.9-2021.6郑州信息工程职业学院"</f>
        <v>2015.9-2018.6淅川第五高级中学 
2018.9-2021.6郑州信息工程职业学院</v>
      </c>
    </row>
    <row r="3747" spans="1:9">
      <c r="A3747" s="1" t="str">
        <f>"410225199806062610"</f>
        <v>410225199806062610</v>
      </c>
      <c r="B3747" s="1" t="str">
        <f t="shared" si="1852"/>
        <v>群众</v>
      </c>
      <c r="C3747" s="1" t="str">
        <f t="shared" ref="C3747:C3752" si="1854">"本科"</f>
        <v>本科</v>
      </c>
      <c r="D3747" s="1" t="str">
        <f>"20220702"</f>
        <v>20220702</v>
      </c>
      <c r="E3747" s="1" t="str">
        <f>"河南大学民生学院"</f>
        <v>河南大学民生学院</v>
      </c>
      <c r="F3747" s="1" t="str">
        <f>"环境设计"</f>
        <v>环境设计</v>
      </c>
      <c r="G3747" s="1" t="str">
        <f>"河南省开封市兰考县兰庭公馆"</f>
        <v>河南省开封市兰考县兰庭公馆</v>
      </c>
      <c r="H3747" s="1" t="str">
        <f t="shared" si="1853"/>
        <v>无</v>
      </c>
      <c r="I3747" s="1" t="str">
        <f>"201809-202207 河南大学民生学院就读环境设计专业，全日制学历
202207-至今 待业"</f>
        <v>201809-202207 河南大学民生学院就读环境设计专业，全日制学历
202207-至今 待业</v>
      </c>
    </row>
    <row r="3748" spans="1:9">
      <c r="A3748" s="1" t="str">
        <f>"411327199201300654"</f>
        <v>411327199201300654</v>
      </c>
      <c r="B3748" s="1" t="str">
        <f t="shared" si="1852"/>
        <v>群众</v>
      </c>
      <c r="C3748" s="1" t="str">
        <f t="shared" si="1854"/>
        <v>本科</v>
      </c>
      <c r="D3748" s="1" t="str">
        <f>"20160701"</f>
        <v>20160701</v>
      </c>
      <c r="E3748" s="1" t="str">
        <f>"河南财经政法大学"</f>
        <v>河南财经政法大学</v>
      </c>
      <c r="F3748" s="1" t="str">
        <f>"资源环境与城乡规划管理"</f>
        <v>资源环境与城乡规划管理</v>
      </c>
      <c r="G3748" s="1" t="str">
        <f>"河南省南阳市内乡县湍东镇扳倒井申鱼池"</f>
        <v>河南省南阳市内乡县湍东镇扳倒井申鱼池</v>
      </c>
      <c r="H3748" s="1" t="str">
        <f t="shared" si="1853"/>
        <v>无</v>
      </c>
      <c r="I3748" s="1" t="str">
        <f>"201209-201606河南财经政法大学就读，全日制
201711-202505就业于牧原公司"</f>
        <v>201209-201606河南财经政法大学就读，全日制
201711-202505就业于牧原公司</v>
      </c>
    </row>
    <row r="3749" spans="1:9">
      <c r="A3749" s="1" t="str">
        <f>"411327200209300611"</f>
        <v>411327200209300611</v>
      </c>
      <c r="B3749" s="1" t="str">
        <f t="shared" si="1852"/>
        <v>群众</v>
      </c>
      <c r="C3749" s="1" t="str">
        <f t="shared" si="1854"/>
        <v>本科</v>
      </c>
      <c r="D3749" s="1" t="str">
        <f>"20250607"</f>
        <v>20250607</v>
      </c>
      <c r="E3749" s="1" t="str">
        <f>"南阳理工学院"</f>
        <v>南阳理工学院</v>
      </c>
      <c r="F3749" s="1" t="str">
        <f>"数据科学与大数据技术"</f>
        <v>数据科学与大数据技术</v>
      </c>
      <c r="G3749" s="1" t="str">
        <f>"河南省南阳市内乡县城关镇"</f>
        <v>河南省南阳市内乡县城关镇</v>
      </c>
      <c r="H3749" s="1" t="str">
        <f t="shared" si="1853"/>
        <v>无</v>
      </c>
      <c r="I3749" s="1" t="str">
        <f>"202109-202506 南阳理工学院就读数据科学与大数据技术专业（全日制）"</f>
        <v>202109-202506 南阳理工学院就读数据科学与大数据技术专业（全日制）</v>
      </c>
    </row>
    <row r="3750" spans="1:9">
      <c r="A3750" s="1" t="str">
        <f>"41282419960903001X"</f>
        <v>41282419960903001X</v>
      </c>
      <c r="B3750" s="1" t="str">
        <f t="shared" si="1852"/>
        <v>群众</v>
      </c>
      <c r="C3750" s="1" t="str">
        <f t="shared" si="1854"/>
        <v>本科</v>
      </c>
      <c r="D3750" s="1" t="str">
        <f>"2024-05-01"</f>
        <v>2024-05-01</v>
      </c>
      <c r="E3750" s="1" t="str">
        <f>"驻马店技师学院"</f>
        <v>驻马店技师学院</v>
      </c>
      <c r="F3750" s="1" t="str">
        <f>"电气自动化安装与维护"</f>
        <v>电气自动化安装与维护</v>
      </c>
      <c r="G3750" s="1" t="str">
        <f>"河南省西平县出山镇出山村委四组"</f>
        <v>河南省西平县出山镇出山村委四组</v>
      </c>
      <c r="H3750" s="1" t="str">
        <f>"低压电工操作证 电工职业等级高级工"</f>
        <v>低压电工操作证 电工职业等级高级工</v>
      </c>
      <c r="I3750" s="1" t="str">
        <f>"201909-202406 驻马店技师学院 电气自动化安装与维护 专业就读  全日制
201406-201909 待业
201109-201406 西平县杨庄高级中学 就读"</f>
        <v>201909-202406 驻马店技师学院 电气自动化安装与维护 专业就读  全日制
201406-201909 待业
201109-201406 西平县杨庄高级中学 就读</v>
      </c>
    </row>
    <row r="3751" spans="1:9">
      <c r="A3751" s="1" t="str">
        <f>"411327200302173717"</f>
        <v>411327200302173717</v>
      </c>
      <c r="B3751" s="1" t="str">
        <f>"中共预备党员"</f>
        <v>中共预备党员</v>
      </c>
      <c r="C3751" s="1" t="str">
        <f t="shared" si="1854"/>
        <v>本科</v>
      </c>
      <c r="D3751" s="1" t="str">
        <f>"20250607"</f>
        <v>20250607</v>
      </c>
      <c r="E3751" s="1" t="str">
        <f>"郑州轻工业大学"</f>
        <v>郑州轻工业大学</v>
      </c>
      <c r="F3751" s="1" t="str">
        <f>"机械设计制造及其自动化"</f>
        <v>机械设计制造及其自动化</v>
      </c>
      <c r="G3751" s="1" t="str">
        <f>"南阳市内乡县桃溪镇吴沟村陶家沟31号"</f>
        <v>南阳市内乡县桃溪镇吴沟村陶家沟31号</v>
      </c>
      <c r="H3751" s="1" t="str">
        <f t="shared" ref="H3751:H3754" si="1855">"无"</f>
        <v>无</v>
      </c>
      <c r="I3751" s="1" t="str">
        <f>"202109-202506 在郑州轻工业大学机电工程学院机械设计制造及其自动化专业就读，全日制"</f>
        <v>202109-202506 在郑州轻工业大学机电工程学院机械设计制造及其自动化专业就读，全日制</v>
      </c>
    </row>
    <row r="3752" spans="1:9">
      <c r="A3752" s="1" t="str">
        <f>"411327199304250020"</f>
        <v>411327199304250020</v>
      </c>
      <c r="B3752" s="1" t="str">
        <f t="shared" ref="B3752:B3757" si="1856">"群众"</f>
        <v>群众</v>
      </c>
      <c r="C3752" s="1" t="str">
        <f t="shared" si="1854"/>
        <v>本科</v>
      </c>
      <c r="D3752" s="1" t="str">
        <f>"20210630"</f>
        <v>20210630</v>
      </c>
      <c r="E3752" s="1" t="str">
        <f>"郑州大学"</f>
        <v>郑州大学</v>
      </c>
      <c r="F3752" s="1" t="str">
        <f>"土木工程（专升本）"</f>
        <v>土木工程（专升本）</v>
      </c>
      <c r="G3752" s="1" t="str">
        <f>"内乡县罗岗村45号"</f>
        <v>内乡县罗岗村45号</v>
      </c>
      <c r="H3752" s="1" t="str">
        <f t="shared" si="1855"/>
        <v>无</v>
      </c>
      <c r="I3752" s="1" t="str">
        <f>"201009-201307 在郑州电子信息职业技术学院就读
201307-201709 在内乡县待业
201709-202007 在南阳人峰建筑设计有限公司工作
202007-202304 在内乡县待业
202304-至今 在内乡县委巡察办公益岗人员工作"</f>
        <v>201009-201307 在郑州电子信息职业技术学院就读
201307-201709 在内乡县待业
201709-202007 在南阳人峰建筑设计有限公司工作
202007-202304 在内乡县待业
202304-至今 在内乡县委巡察办公益岗人员工作</v>
      </c>
    </row>
    <row r="3753" spans="1:9">
      <c r="A3753" s="1" t="str">
        <f>"411326200011190422"</f>
        <v>411326200011190422</v>
      </c>
      <c r="B3753" s="1" t="str">
        <f>"中共党员"</f>
        <v>中共党员</v>
      </c>
      <c r="C3753" s="1" t="str">
        <f>"硕士研究生"</f>
        <v>硕士研究生</v>
      </c>
      <c r="D3753" s="1" t="str">
        <f>"20250618"</f>
        <v>20250618</v>
      </c>
      <c r="E3753" s="1" t="str">
        <f>"重庆师范大学"</f>
        <v>重庆师范大学</v>
      </c>
      <c r="F3753" s="1" t="str">
        <f>"中国近现代史"</f>
        <v>中国近现代史</v>
      </c>
      <c r="G3753" s="1" t="str">
        <f>"河南省南阳市南召县城郊乡阎沟村江沟二组"</f>
        <v>河南省南阳市南召县城郊乡阎沟村江沟二组</v>
      </c>
      <c r="H3753" s="1" t="str">
        <f t="shared" si="1855"/>
        <v>无</v>
      </c>
      <c r="I3753" s="1" t="str">
        <f>"2018.09-2022.06 南阳师范学院历史学院历史学专业 就读 
2022.09-2025.06 重庆师范大学历史与社会学院中国近现代史专业 就读"</f>
        <v>2018.09-2022.06 南阳师范学院历史学院历史学专业 就读 
2022.09-2025.06 重庆师范大学历史与社会学院中国近现代史专业 就读</v>
      </c>
    </row>
    <row r="3754" spans="1:9">
      <c r="A3754" s="1" t="str">
        <f>"411327200008270014"</f>
        <v>411327200008270014</v>
      </c>
      <c r="B3754" s="1" t="str">
        <f t="shared" si="1856"/>
        <v>群众</v>
      </c>
      <c r="C3754" s="1" t="str">
        <f t="shared" ref="C3754:C3759" si="1857">"本科"</f>
        <v>本科</v>
      </c>
      <c r="D3754" s="1" t="str">
        <f>"20230701"</f>
        <v>20230701</v>
      </c>
      <c r="E3754" s="1" t="str">
        <f>"郑州商学院"</f>
        <v>郑州商学院</v>
      </c>
      <c r="F3754" s="1" t="str">
        <f>"工商管理"</f>
        <v>工商管理</v>
      </c>
      <c r="G3754" s="1" t="str">
        <f>"河南省南阳市内乡县湍东镇农科所"</f>
        <v>河南省南阳市内乡县湍东镇农科所</v>
      </c>
      <c r="H3754" s="1" t="str">
        <f t="shared" si="1855"/>
        <v>无</v>
      </c>
      <c r="I3754" s="1" t="str">
        <f>"201809-202107 河南工业贸易职业学院 工商学院工商企业管理专业就读 全日制专科
202109-202307 郑州商学院 工商学院工商管理专业就读 全日制本科
202306-202406 南阳OPPO 管培生
202406-至今 未就业"</f>
        <v>201809-202107 河南工业贸易职业学院 工商学院工商企业管理专业就读 全日制专科
202109-202307 郑州商学院 工商学院工商管理专业就读 全日制本科
202306-202406 南阳OPPO 管培生
202406-至今 未就业</v>
      </c>
    </row>
    <row r="3755" spans="1:9">
      <c r="A3755" s="1" t="str">
        <f>"411324200202104539"</f>
        <v>411324200202104539</v>
      </c>
      <c r="B3755" s="1" t="str">
        <f>"共青团员"</f>
        <v>共青团员</v>
      </c>
      <c r="C3755" s="1" t="str">
        <f t="shared" ref="C3755:C3760" si="1858">"专科"</f>
        <v>专科</v>
      </c>
      <c r="D3755" s="1" t="str">
        <f>"20250701"</f>
        <v>20250701</v>
      </c>
      <c r="E3755" s="1" t="str">
        <f>"江西师范高等专科学校"</f>
        <v>江西师范高等专科学校</v>
      </c>
      <c r="F3755" s="1" t="str">
        <f>"小学数学教育"</f>
        <v>小学数学教育</v>
      </c>
      <c r="G3755" s="1" t="str">
        <f>"河南省南阳市镇平县杨营镇杨营村利民西街"</f>
        <v>河南省南阳市镇平县杨营镇杨营村利民西街</v>
      </c>
      <c r="H3755" s="1" t="str">
        <f>"小学数学教师资格证"</f>
        <v>小学数学教师资格证</v>
      </c>
      <c r="I3755" s="1" t="str">
        <f>"202209-202507 江西师范高等专科学校 就读 培元书院 小学数学教育 全日制学历"</f>
        <v>202209-202507 江西师范高等专科学校 就读 培元书院 小学数学教育 全日制学历</v>
      </c>
    </row>
    <row r="3756" spans="1:9">
      <c r="A3756" s="1" t="str">
        <f>"411503199704031425"</f>
        <v>411503199704031425</v>
      </c>
      <c r="B3756" s="1" t="str">
        <f t="shared" si="1856"/>
        <v>群众</v>
      </c>
      <c r="C3756" s="1" t="str">
        <f t="shared" si="1857"/>
        <v>本科</v>
      </c>
      <c r="D3756" s="1" t="str">
        <f>"2024.07"</f>
        <v>2024.07</v>
      </c>
      <c r="E3756" s="1" t="str">
        <f>"信阳师范大学"</f>
        <v>信阳师范大学</v>
      </c>
      <c r="F3756" s="1" t="str">
        <f>"汉语言文学"</f>
        <v>汉语言文学</v>
      </c>
      <c r="G3756" s="1" t="str">
        <f>"信阳市平桥区平桥街道世界城郦都小区"</f>
        <v>信阳市平桥区平桥街道世界城郦都小区</v>
      </c>
      <c r="H3756" s="1" t="str">
        <f t="shared" ref="H3756:H3759" si="1859">"无"</f>
        <v>无</v>
      </c>
      <c r="I3756" s="1" t="str">
        <f>"2017.09-2020.12 广东财经大学 视觉传播设计与制作    自考
2020.10-2022.05 信阳市羊山新区环保局                       工作
2022.03-2024.07 信阳师范大学 汉语言文学                  函授
2024.07-至今       河南超煋环保科技有限公司               工作"</f>
        <v>2017.09-2020.12 广东财经大学 视觉传播设计与制作    自考
2020.10-2022.05 信阳市羊山新区环保局                       工作
2022.03-2024.07 信阳师范大学 汉语言文学                  函授
2024.07-至今       河南超煋环保科技有限公司               工作</v>
      </c>
    </row>
    <row r="3757" spans="1:9">
      <c r="A3757" s="1" t="str">
        <f>"411324200307215585"</f>
        <v>411324200307215585</v>
      </c>
      <c r="B3757" s="1" t="str">
        <f t="shared" si="1856"/>
        <v>群众</v>
      </c>
      <c r="C3757" s="1" t="str">
        <f t="shared" si="1858"/>
        <v>专科</v>
      </c>
      <c r="D3757" s="1" t="str">
        <f>"20240701"</f>
        <v>20240701</v>
      </c>
      <c r="E3757" s="1" t="str">
        <f>"商丘工学院"</f>
        <v>商丘工学院</v>
      </c>
      <c r="F3757" s="1" t="str">
        <f>"医学检验技术"</f>
        <v>医学检验技术</v>
      </c>
      <c r="G3757" s="1" t="str">
        <f>"河南省南阳市镇平县石佛寺镇"</f>
        <v>河南省南阳市镇平县石佛寺镇</v>
      </c>
      <c r="H3757" s="1" t="str">
        <f t="shared" si="1859"/>
        <v>无</v>
      </c>
      <c r="I3757" s="1" t="str">
        <f>"202109-202407在商丘工学院医学院医学检验技术专业就读。"</f>
        <v>202109-202407在商丘工学院医学院医学检验技术专业就读。</v>
      </c>
    </row>
    <row r="3758" spans="1:9">
      <c r="A3758" s="1" t="str">
        <f>"412702199801011499"</f>
        <v>412702199801011499</v>
      </c>
      <c r="B3758" s="1" t="str">
        <f>"中共党员"</f>
        <v>中共党员</v>
      </c>
      <c r="C3758" s="1" t="str">
        <f t="shared" si="1857"/>
        <v>本科</v>
      </c>
      <c r="D3758" s="1" t="str">
        <f>"20220701"</f>
        <v>20220701</v>
      </c>
      <c r="E3758" s="1" t="str">
        <f>"安阳学院"</f>
        <v>安阳学院</v>
      </c>
      <c r="F3758" s="1" t="str">
        <f>"英语"</f>
        <v>英语</v>
      </c>
      <c r="G3758" s="1" t="str">
        <f>"河南省郑州市中原区汇泉西悦城11号院"</f>
        <v>河南省郑州市中原区汇泉西悦城11号院</v>
      </c>
      <c r="H3758" s="1" t="str">
        <f t="shared" si="1859"/>
        <v>无</v>
      </c>
      <c r="I3758" s="1" t="str">
        <f>"201809-20220701 安阳学院外国语学院英语专业就读全日制本科；20220701-20220801 河南省项城市待业；20220801-20230731 哈密市伊州区第一技工学校西部计划大学生志愿者；20230731-20230904 哈密市伊州区待业；20230904-20240407 哈密市伊州区回城乡政府事业编工作人员；20240407-至今 河南省项城市待业。"</f>
        <v>201809-20220701 安阳学院外国语学院英语专业就读全日制本科；20220701-20220801 河南省项城市待业；20220801-20230731 哈密市伊州区第一技工学校西部计划大学生志愿者；20230731-20230904 哈密市伊州区待业；20230904-20240407 哈密市伊州区回城乡政府事业编工作人员；20240407-至今 河南省项城市待业。</v>
      </c>
    </row>
    <row r="3759" spans="1:9">
      <c r="A3759" s="1" t="str">
        <f>"411327199807114514"</f>
        <v>411327199807114514</v>
      </c>
      <c r="B3759" s="1" t="str">
        <f t="shared" ref="B3759:B3763" si="1860">"共青团员"</f>
        <v>共青团员</v>
      </c>
      <c r="C3759" s="1" t="str">
        <f t="shared" si="1857"/>
        <v>本科</v>
      </c>
      <c r="D3759" s="1" t="str">
        <f>"20200701"</f>
        <v>20200701</v>
      </c>
      <c r="E3759" s="1" t="str">
        <f>"上海电力大学"</f>
        <v>上海电力大学</v>
      </c>
      <c r="F3759" s="1" t="str">
        <f>"计算机科学与技术（卓越培养计划，电力企业信息化方向）"</f>
        <v>计算机科学与技术（卓越培养计划，电力企业信息化方向）</v>
      </c>
      <c r="G3759" s="1" t="str">
        <f>"河南省内乡县赵店乡大峪村坡根15号"</f>
        <v>河南省内乡县赵店乡大峪村坡根15号</v>
      </c>
      <c r="H3759" s="1" t="str">
        <f t="shared" si="1859"/>
        <v>无</v>
      </c>
      <c r="I3759" s="1" t="str">
        <f>"201609-202007 上海电力大学 计算机科学与技术学院计算机科学与技术专业就读。202008-至今，中国联合网络通信有限公司上海市分公司就业"</f>
        <v>201609-202007 上海电力大学 计算机科学与技术学院计算机科学与技术专业就读。202008-至今，中国联合网络通信有限公司上海市分公司就业</v>
      </c>
    </row>
    <row r="3760" ht="108" spans="1:9">
      <c r="A3760" s="1" t="str">
        <f>"130706199305230322"</f>
        <v>130706199305230322</v>
      </c>
      <c r="B3760" s="1" t="str">
        <f t="shared" ref="B3760:B3764" si="1861">"群众"</f>
        <v>群众</v>
      </c>
      <c r="C3760" s="1" t="str">
        <f t="shared" si="1858"/>
        <v>专科</v>
      </c>
      <c r="D3760" s="1" t="str">
        <f>"20160630"</f>
        <v>20160630</v>
      </c>
      <c r="E3760" s="1" t="str">
        <f>"河北对外经贸职业学院"</f>
        <v>河北对外经贸职业学院</v>
      </c>
      <c r="F3760" s="1" t="str">
        <f>"应用德语"</f>
        <v>应用德语</v>
      </c>
      <c r="G3760" s="1" t="str">
        <f>"河北省张家口市宣化区观桥东民心小区"</f>
        <v>河北省张家口市宣化区观桥东民心小区</v>
      </c>
      <c r="H3760" s="1" t="str">
        <f>"高级酒店管理师"</f>
        <v>高级酒店管理师</v>
      </c>
      <c r="I3760" s="3" t="s">
        <v>267</v>
      </c>
    </row>
    <row r="3761" spans="1:9">
      <c r="A3761" s="1" t="str">
        <f>"371325199806053726"</f>
        <v>371325199806053726</v>
      </c>
      <c r="B3761" s="1" t="str">
        <f t="shared" si="1860"/>
        <v>共青团员</v>
      </c>
      <c r="C3761" s="1" t="str">
        <f>"硕士研究生"</f>
        <v>硕士研究生</v>
      </c>
      <c r="D3761" s="1" t="str">
        <f>"20250622"</f>
        <v>20250622</v>
      </c>
      <c r="E3761" s="1" t="str">
        <f>"哈尔滨工程大学"</f>
        <v>哈尔滨工程大学</v>
      </c>
      <c r="F3761" s="1" t="str">
        <f>"数学"</f>
        <v>数学</v>
      </c>
      <c r="G3761" s="1" t="str">
        <f>"山东省淄博市张店区新村西路266号"</f>
        <v>山东省淄博市张店区新村西路266号</v>
      </c>
      <c r="H3761" s="1" t="str">
        <f t="shared" ref="H3761:H3766" si="1862">"无"</f>
        <v>无</v>
      </c>
      <c r="I3761" s="1" t="str">
        <f>"201709-202106  山东理工大学 数学与统计学院 数学与应用数学专业就读，全日制理学学士学历；
202107-202208 在山东省临沂市费县待业；
202209-202506  哈尔滨工程大学 数学科学学院 数学专业就读，全日制理学硕士学历；
202507  山东省淄博市待业
"</f>
        <v>201709-202106  山东理工大学 数学与统计学院 数学与应用数学专业就读，全日制理学学士学历；
202107-202208 在山东省临沂市费县待业；
202209-202506  哈尔滨工程大学 数学科学学院 数学专业就读，全日制理学硕士学历；
202507  山东省淄博市待业
</v>
      </c>
    </row>
    <row r="3762" spans="1:9">
      <c r="A3762" s="1" t="str">
        <f>"410703199505251513"</f>
        <v>410703199505251513</v>
      </c>
      <c r="B3762" s="1" t="str">
        <f t="shared" si="1861"/>
        <v>群众</v>
      </c>
      <c r="C3762" s="1" t="str">
        <f t="shared" ref="C3762:C3771" si="1863">"本科"</f>
        <v>本科</v>
      </c>
      <c r="D3762" s="1" t="str">
        <f>"20180612"</f>
        <v>20180612</v>
      </c>
      <c r="E3762" s="1" t="str">
        <f>"河北传媒学院"</f>
        <v>河北传媒学院</v>
      </c>
      <c r="F3762" s="1" t="str">
        <f>"广播电视编导"</f>
        <v>广播电视编导</v>
      </c>
      <c r="G3762" s="1" t="str">
        <f>"河南省新乡市红旗区亿通壹世界"</f>
        <v>河南省新乡市红旗区亿通壹世界</v>
      </c>
      <c r="H3762" s="1" t="str">
        <f t="shared" si="1862"/>
        <v>无</v>
      </c>
      <c r="I3762" s="1" t="str">
        <f>"201409—201806河北传媒学院就读影视艺术学院广播电视编导专业就读，全日制
201806—202105待业
202105—至今 新乡市留置看护支队"</f>
        <v>201409—201806河北传媒学院就读影视艺术学院广播电视编导专业就读，全日制
201806—202105待业
202105—至今 新乡市留置看护支队</v>
      </c>
    </row>
    <row r="3763" spans="1:9">
      <c r="A3763" s="1" t="str">
        <f>"41132819971220277X"</f>
        <v>41132819971220277X</v>
      </c>
      <c r="B3763" s="1" t="str">
        <f t="shared" si="1860"/>
        <v>共青团员</v>
      </c>
      <c r="C3763" s="1" t="str">
        <f>"专科"</f>
        <v>专科</v>
      </c>
      <c r="D3763" s="1" t="str">
        <f>"20220722"</f>
        <v>20220722</v>
      </c>
      <c r="E3763" s="1" t="str">
        <f>"国家开放大学"</f>
        <v>国家开放大学</v>
      </c>
      <c r="F3763" s="1" t="str">
        <f>"人力资源管理"</f>
        <v>人力资源管理</v>
      </c>
      <c r="G3763" s="1" t="str">
        <f>"河南省南阳市新野县王集镇齐楼村"</f>
        <v>河南省南阳市新野县王集镇齐楼村</v>
      </c>
      <c r="H3763" s="1" t="str">
        <f t="shared" si="1862"/>
        <v>无</v>
      </c>
      <c r="I3763" s="1" t="str">
        <f>"20190301-20220722国家开放大学
2016-202166109部队"</f>
        <v>20190301-20220722国家开放大学
2016-202166109部队</v>
      </c>
    </row>
    <row r="3764" spans="1:9">
      <c r="A3764" s="1" t="str">
        <f>"41132719980906002X"</f>
        <v>41132719980906002X</v>
      </c>
      <c r="B3764" s="1" t="str">
        <f t="shared" si="1861"/>
        <v>群众</v>
      </c>
      <c r="C3764" s="1" t="str">
        <f t="shared" si="1863"/>
        <v>本科</v>
      </c>
      <c r="D3764" s="1" t="str">
        <f>"20200701"</f>
        <v>20200701</v>
      </c>
      <c r="E3764" s="1" t="str">
        <f>"安阳学院"</f>
        <v>安阳学院</v>
      </c>
      <c r="F3764" s="1" t="str">
        <f>"汉语言文学"</f>
        <v>汉语言文学</v>
      </c>
      <c r="G3764" s="1" t="str">
        <f>"河南省南阳市内乡县城关镇北城居委会"</f>
        <v>河南省南阳市内乡县城关镇北城居委会</v>
      </c>
      <c r="H3764" s="1" t="str">
        <f t="shared" si="1862"/>
        <v>无</v>
      </c>
      <c r="I3764" s="1" t="str">
        <f>"201609-202007 安阳学院 汉语言文学专业就读 全日制 本科
202009-至今   赤眉一中"</f>
        <v>201609-202007 安阳学院 汉语言文学专业就读 全日制 本科
202009-至今   赤眉一中</v>
      </c>
    </row>
    <row r="3765" spans="1:9">
      <c r="A3765" s="1" t="str">
        <f>"41132720010905007X"</f>
        <v>41132720010905007X</v>
      </c>
      <c r="B3765" s="1" t="str">
        <f>"共青团员"</f>
        <v>共青团员</v>
      </c>
      <c r="C3765" s="1" t="str">
        <f>"专科"</f>
        <v>专科</v>
      </c>
      <c r="D3765" s="1" t="str">
        <f>"2023-07-01"</f>
        <v>2023-07-01</v>
      </c>
      <c r="E3765" s="1" t="str">
        <f>"武汉晴川学院"</f>
        <v>武汉晴川学院</v>
      </c>
      <c r="F3765" s="1" t="str">
        <f>"金融服务与管理"</f>
        <v>金融服务与管理</v>
      </c>
      <c r="G3765" s="1" t="str">
        <f>"河南省南阳市内乡县城关镇西关村县衙路236号"</f>
        <v>河南省南阳市内乡县城关镇西关村县衙路236号</v>
      </c>
      <c r="H3765" s="1" t="str">
        <f t="shared" si="1862"/>
        <v>无</v>
      </c>
      <c r="I3765" s="1" t="str">
        <f>"202009-202306 武汉青川学院 商学院 金融服务与管理就读 全日制大专
202303-202503 中国人民解放军 陆军 义务兵
202503-至今  在家待业"</f>
        <v>202009-202306 武汉青川学院 商学院 金融服务与管理就读 全日制大专
202303-202503 中国人民解放军 陆军 义务兵
202503-至今  在家待业</v>
      </c>
    </row>
    <row r="3766" spans="1:9">
      <c r="A3766" s="1" t="str">
        <f>"411302199103095135"</f>
        <v>411302199103095135</v>
      </c>
      <c r="B3766" s="1" t="str">
        <f>"群众"</f>
        <v>群众</v>
      </c>
      <c r="C3766" s="1" t="str">
        <f t="shared" si="1863"/>
        <v>本科</v>
      </c>
      <c r="D3766" s="1" t="str">
        <f>"20211230"</f>
        <v>20211230</v>
      </c>
      <c r="E3766" s="1" t="str">
        <f>"信阳师范学院"</f>
        <v>信阳师范学院</v>
      </c>
      <c r="F3766" s="1" t="str">
        <f>"艺术教育"</f>
        <v>艺术教育</v>
      </c>
      <c r="G3766" s="1" t="str">
        <f>"南阳市光武路物资局家属院"</f>
        <v>南阳市光武路物资局家属院</v>
      </c>
      <c r="H3766" s="1" t="str">
        <f t="shared" si="1862"/>
        <v>无</v>
      </c>
      <c r="I3766" s="1" t="str">
        <f>"202004-202112在信阳师范学院读的自学考试艺术教育专业，所属是自学考试"</f>
        <v>202004-202112在信阳师范学院读的自学考试艺术教育专业，所属是自学考试</v>
      </c>
    </row>
    <row r="3767" spans="1:9">
      <c r="A3767" s="1" t="str">
        <f>"410425200302280020"</f>
        <v>410425200302280020</v>
      </c>
      <c r="B3767" s="1" t="str">
        <f>"中共党员"</f>
        <v>中共党员</v>
      </c>
      <c r="C3767" s="1" t="str">
        <f t="shared" si="1863"/>
        <v>本科</v>
      </c>
      <c r="D3767" s="1" t="str">
        <f>"20250610"</f>
        <v>20250610</v>
      </c>
      <c r="E3767" s="1" t="str">
        <f>"郑州工商学院"</f>
        <v>郑州工商学院</v>
      </c>
      <c r="F3767" s="1" t="str">
        <f>"财务管理"</f>
        <v>财务管理</v>
      </c>
      <c r="G3767" s="1" t="str">
        <f>"河南省平顶山市郏县龙山街道育英路22号"</f>
        <v>河南省平顶山市郏县龙山街道育英路22号</v>
      </c>
      <c r="H3767" s="1" t="str">
        <f>"初级会计资格证书"</f>
        <v>初级会计资格证书</v>
      </c>
      <c r="I3767" s="1" t="str">
        <f>"202109-202506 郑州工商学院财税学院财务管理专业就读 全日制学历"</f>
        <v>202109-202506 郑州工商学院财税学院财务管理专业就读 全日制学历</v>
      </c>
    </row>
    <row r="3768" spans="1:9">
      <c r="A3768" s="1" t="str">
        <f>"411327200309040028"</f>
        <v>411327200309040028</v>
      </c>
      <c r="B3768" s="1" t="str">
        <f>"共青团员"</f>
        <v>共青团员</v>
      </c>
      <c r="C3768" s="1" t="str">
        <f t="shared" si="1863"/>
        <v>本科</v>
      </c>
      <c r="D3768" s="1" t="str">
        <f>"20250606"</f>
        <v>20250606</v>
      </c>
      <c r="E3768" s="1" t="str">
        <f>"南阳师范学院"</f>
        <v>南阳师范学院</v>
      </c>
      <c r="F3768" s="1" t="str">
        <f>"汉语言文学"</f>
        <v>汉语言文学</v>
      </c>
      <c r="G3768" s="1" t="str">
        <f>"河南省南阳市内乡县城关镇东风村东风东路22号"</f>
        <v>河南省南阳市内乡县城关镇东风村东风东路22号</v>
      </c>
      <c r="H3768" s="1" t="str">
        <f t="shared" ref="H3768:H3770" si="1864">"无"</f>
        <v>无</v>
      </c>
      <c r="I3768" s="1" t="str">
        <f>"202109-202506 南阳师范学院 文学院 汉语言文学专业 是全日制学历"</f>
        <v>202109-202506 南阳师范学院 文学院 汉语言文学专业 是全日制学历</v>
      </c>
    </row>
    <row r="3769" spans="1:9">
      <c r="A3769" s="1" t="str">
        <f>"411327199202293513"</f>
        <v>411327199202293513</v>
      </c>
      <c r="B3769" s="1" t="str">
        <f>"群众"</f>
        <v>群众</v>
      </c>
      <c r="C3769" s="1" t="str">
        <f t="shared" si="1863"/>
        <v>本科</v>
      </c>
      <c r="D3769" s="1" t="str">
        <f>"20160701"</f>
        <v>20160701</v>
      </c>
      <c r="E3769" s="1" t="str">
        <f>"南阳理工学院"</f>
        <v>南阳理工学院</v>
      </c>
      <c r="F3769" s="1" t="str">
        <f>"网络工程"</f>
        <v>网络工程</v>
      </c>
      <c r="G3769" s="1" t="str">
        <f>"河南省南阳市内乡县郦都大道与范蠡大街交叉口"</f>
        <v>河南省南阳市内乡县郦都大道与范蠡大街交叉口</v>
      </c>
      <c r="H3769" s="1" t="str">
        <f t="shared" si="1864"/>
        <v>无</v>
      </c>
      <c r="I3769" s="1" t="str">
        <f>"201209-201607 南阳理工学院软件学院网络工程专业学生
201607-201705 待业 
201706-201804 杭州卓益科技有限公司 职员
201805-201808 杭州荣经贸易有限公司 职员
201809-201907 安徽聚悦电子商务有限公司杭州分公司 职员
201908-201910 杭州爱优品科技有限公司 职员
201911-202212 杭州仙林茶叶有限公司 职员
2023.01至今 待业"</f>
        <v>201209-201607 南阳理工学院软件学院网络工程专业学生
201607-201705 待业 
201706-201804 杭州卓益科技有限公司 职员
201805-201808 杭州荣经贸易有限公司 职员
201809-201907 安徽聚悦电子商务有限公司杭州分公司 职员
201908-201910 杭州爱优品科技有限公司 职员
201911-202212 杭州仙林茶叶有限公司 职员
2023.01至今 待业</v>
      </c>
    </row>
    <row r="3770" spans="1:9">
      <c r="A3770" s="1" t="str">
        <f>"411327199509133127"</f>
        <v>411327199509133127</v>
      </c>
      <c r="B3770" s="1" t="str">
        <f t="shared" ref="B3770:B3774" si="1865">"中共党员"</f>
        <v>中共党员</v>
      </c>
      <c r="C3770" s="1" t="str">
        <f t="shared" si="1863"/>
        <v>本科</v>
      </c>
      <c r="D3770" s="1" t="str">
        <f>"20250701"</f>
        <v>20250701</v>
      </c>
      <c r="E3770" s="1" t="str">
        <f>"西安工程大学"</f>
        <v>西安工程大学</v>
      </c>
      <c r="F3770" s="1" t="str">
        <f>"行政管理"</f>
        <v>行政管理</v>
      </c>
      <c r="G3770" s="1" t="str">
        <f>"河南省南阳市内乡县夏馆镇石门组"</f>
        <v>河南省南阳市内乡县夏馆镇石门组</v>
      </c>
      <c r="H3770" s="1" t="str">
        <f t="shared" si="1864"/>
        <v>无</v>
      </c>
      <c r="I3770" s="1" t="str">
        <f>"201909-202201国家开放大学计算机管理
202303-202507西安工程大学行政管理函授
201901-至今在内乡县医疗保障中心上班"</f>
        <v>201909-202201国家开放大学计算机管理
202303-202507西安工程大学行政管理函授
201901-至今在内乡县医疗保障中心上班</v>
      </c>
    </row>
    <row r="3771" spans="1:9">
      <c r="A3771" s="1" t="str">
        <f>"411327200006294549"</f>
        <v>411327200006294549</v>
      </c>
      <c r="B3771" s="1" t="str">
        <f>"共青团员"</f>
        <v>共青团员</v>
      </c>
      <c r="C3771" s="1" t="str">
        <f t="shared" si="1863"/>
        <v>本科</v>
      </c>
      <c r="D3771" s="1" t="str">
        <f>"20240701"</f>
        <v>20240701</v>
      </c>
      <c r="E3771" s="1" t="str">
        <f>"信阳农林学院"</f>
        <v>信阳农林学院</v>
      </c>
      <c r="F3771" s="1" t="str">
        <f>"财务管理"</f>
        <v>财务管理</v>
      </c>
      <c r="G3771" s="1" t="str">
        <f>"河南省南阳市内乡县宝天曼大道108号"</f>
        <v>河南省南阳市内乡县宝天曼大道108号</v>
      </c>
      <c r="H3771" s="1" t="str">
        <f>"初级会计资格证"</f>
        <v>初级会计资格证</v>
      </c>
      <c r="I3771" s="1" t="str">
        <f>"201909-202207 河南经贸职业学院 就读  税务专业         全日制
202209-202407 信阳农林学院学校 就读  财务管理专业  全日制"</f>
        <v>201909-202207 河南经贸职业学院 就读  税务专业         全日制
202209-202407 信阳农林学院学校 就读  财务管理专业  全日制</v>
      </c>
    </row>
    <row r="3772" spans="1:9">
      <c r="A3772" s="1" t="str">
        <f>"411381200404250048"</f>
        <v>411381200404250048</v>
      </c>
      <c r="B3772" s="1" t="str">
        <f>"中共预备党员"</f>
        <v>中共预备党员</v>
      </c>
      <c r="C3772" s="1" t="str">
        <f>"专科"</f>
        <v>专科</v>
      </c>
      <c r="D3772" s="1" t="str">
        <f>"2025-07-01"</f>
        <v>2025-07-01</v>
      </c>
      <c r="E3772" s="1" t="str">
        <f>"河南科技职业大学"</f>
        <v>河南科技职业大学</v>
      </c>
      <c r="F3772" s="1" t="str">
        <f>"康复治疗技术"</f>
        <v>康复治疗技术</v>
      </c>
      <c r="G3772" s="1" t="str">
        <f>"河南省南阳市邓州市新华中路万由大厦"</f>
        <v>河南省南阳市邓州市新华中路万由大厦</v>
      </c>
      <c r="H3772" s="1" t="str">
        <f t="shared" ref="H3772:H3779" si="1866">"无"</f>
        <v>无</v>
      </c>
      <c r="I3772" s="1" t="str">
        <f>"2022年9月-2025年6月河南科技职业大学医学院康复治疗技术专业就读是全日制专科"</f>
        <v>2022年9月-2025年6月河南科技职业大学医学院康复治疗技术专业就读是全日制专科</v>
      </c>
    </row>
    <row r="3773" spans="1:9">
      <c r="A3773" s="1" t="str">
        <f>"410182200204014133"</f>
        <v>410182200204014133</v>
      </c>
      <c r="B3773" s="1" t="str">
        <f t="shared" si="1865"/>
        <v>中共党员</v>
      </c>
      <c r="C3773" s="1" t="str">
        <f t="shared" ref="C3773:C3781" si="1867">"本科"</f>
        <v>本科</v>
      </c>
      <c r="D3773" s="1" t="str">
        <f>"20240630"</f>
        <v>20240630</v>
      </c>
      <c r="E3773" s="1" t="str">
        <f>"商丘师范学院"</f>
        <v>商丘师范学院</v>
      </c>
      <c r="F3773" s="1" t="str">
        <f>"学前教育"</f>
        <v>学前教育</v>
      </c>
      <c r="G3773" s="1" t="str">
        <f>"河南省郑州市新密市岳村镇红泉沟村木楼25号"</f>
        <v>河南省郑州市新密市岳村镇红泉沟村木楼25号</v>
      </c>
      <c r="H3773" s="1" t="str">
        <f t="shared" si="1866"/>
        <v>无</v>
      </c>
      <c r="I3773" s="1" t="str">
        <f>"202009-202406  商丘师范学院国际教育学院学前教育专业就读 全日制
201709-202006  新密市第一高级中学就读
201409-201706  新密市新华路初中就读
200809-201406  新密市五里店小学就读"</f>
        <v>202009-202406  商丘师范学院国际教育学院学前教育专业就读 全日制
201709-202006  新密市第一高级中学就读
201409-201706  新密市新华路初中就读
200809-201406  新密市五里店小学就读</v>
      </c>
    </row>
    <row r="3774" spans="1:9">
      <c r="A3774" s="1" t="str">
        <f>"411327199802033512"</f>
        <v>411327199802033512</v>
      </c>
      <c r="B3774" s="1" t="str">
        <f t="shared" si="1865"/>
        <v>中共党员</v>
      </c>
      <c r="C3774" s="1" t="str">
        <f t="shared" si="1867"/>
        <v>本科</v>
      </c>
      <c r="D3774" s="1" t="str">
        <f>"20220701"</f>
        <v>20220701</v>
      </c>
      <c r="E3774" s="1" t="str">
        <f>"南阳理工学院"</f>
        <v>南阳理工学院</v>
      </c>
      <c r="F3774" s="1" t="str">
        <f>"市场营销"</f>
        <v>市场营销</v>
      </c>
      <c r="G3774" s="1" t="str">
        <f>"河南省南阳市内乡县板厂乡符庄村4号"</f>
        <v>河南省南阳市内乡县板厂乡符庄村4号</v>
      </c>
      <c r="H3774" s="1" t="str">
        <f t="shared" si="1866"/>
        <v>无</v>
      </c>
      <c r="I3774" s="1" t="str">
        <f>"201609—201807   南阳农业职业学院 机电系机电一体化技术专业就读。全日制专科。2018—2020待业  202003—202207取得南阳理工市场营销专业 函授 毕业证书。  2022至今待业。"</f>
        <v>201609—201807   南阳农业职业学院 机电系机电一体化技术专业就读。全日制专科。2018—2020待业  202003—202207取得南阳理工市场营销专业 函授 毕业证书。  2022至今待业。</v>
      </c>
    </row>
    <row r="3775" spans="1:9">
      <c r="A3775" s="1" t="str">
        <f>"41132719960827032X"</f>
        <v>41132719960827032X</v>
      </c>
      <c r="B3775" s="1" t="str">
        <f t="shared" ref="B3775:B3780" si="1868">"群众"</f>
        <v>群众</v>
      </c>
      <c r="C3775" s="1" t="str">
        <f t="shared" si="1867"/>
        <v>本科</v>
      </c>
      <c r="D3775" s="1" t="str">
        <f>"20190701"</f>
        <v>20190701</v>
      </c>
      <c r="E3775" s="1" t="str">
        <f>"中原工学院"</f>
        <v>中原工学院</v>
      </c>
      <c r="F3775" s="1" t="str">
        <f>"会计学"</f>
        <v>会计学</v>
      </c>
      <c r="G3775" s="1" t="str">
        <f>"河南省南阳市内乡县明珠花园"</f>
        <v>河南省南阳市内乡县明珠花园</v>
      </c>
      <c r="H3775" s="1" t="str">
        <f t="shared" si="1866"/>
        <v>无</v>
      </c>
      <c r="I3775" s="1" t="str">
        <f>"201509-201907    中原工学院 经济管理学院 会计学  全日制  就读
201907-202009    待业
202009-至今         赤眉镇中心小学 工作"</f>
        <v>201509-201907    中原工学院 经济管理学院 会计学  全日制  就读
201907-202009    待业
202009-至今         赤眉镇中心小学 工作</v>
      </c>
    </row>
    <row r="3776" spans="1:9">
      <c r="A3776" s="1" t="str">
        <f>"411327200204252040"</f>
        <v>411327200204252040</v>
      </c>
      <c r="B3776" s="1" t="str">
        <f>"共青团员"</f>
        <v>共青团员</v>
      </c>
      <c r="C3776" s="1" t="str">
        <f t="shared" si="1867"/>
        <v>本科</v>
      </c>
      <c r="D3776" s="1" t="str">
        <f>"20240622"</f>
        <v>20240622</v>
      </c>
      <c r="E3776" s="1" t="str">
        <f>"新乡医学院三全学院"</f>
        <v>新乡医学院三全学院</v>
      </c>
      <c r="F3776" s="1" t="str">
        <f>"公共事业管理（医政管理）"</f>
        <v>公共事业管理（医政管理）</v>
      </c>
      <c r="G3776" s="1" t="str">
        <f>"河南省南阳市内乡县师岗镇师范社区8-9"</f>
        <v>河南省南阳市内乡县师岗镇师范社区8-9</v>
      </c>
      <c r="H3776" s="1" t="str">
        <f t="shared" si="1866"/>
        <v>无</v>
      </c>
      <c r="I3776" s="1" t="str">
        <f>"202009-202406 新乡医学院三全学院健康管理学院公共事业管理（医政管理）专业就读
202407-202409 浙江省杭州市待业
202410-202411杭州市杭州炫滢品牌管理有限公司人事专员
202412-至今 河南省内乡县待业"</f>
        <v>202009-202406 新乡医学院三全学院健康管理学院公共事业管理（医政管理）专业就读
202407-202409 浙江省杭州市待业
202410-202411杭州市杭州炫滢品牌管理有限公司人事专员
202412-至今 河南省内乡县待业</v>
      </c>
    </row>
    <row r="3777" spans="1:9">
      <c r="A3777" s="1" t="str">
        <f>"411327199511030020"</f>
        <v>411327199511030020</v>
      </c>
      <c r="B3777" s="1" t="str">
        <f t="shared" si="1868"/>
        <v>群众</v>
      </c>
      <c r="C3777" s="1" t="str">
        <f t="shared" si="1867"/>
        <v>本科</v>
      </c>
      <c r="D3777" s="1" t="str">
        <f>"20180701"</f>
        <v>20180701</v>
      </c>
      <c r="E3777" s="1" t="str">
        <f>"郑州大学"</f>
        <v>郑州大学</v>
      </c>
      <c r="F3777" s="1" t="str">
        <f>"英语"</f>
        <v>英语</v>
      </c>
      <c r="G3777" s="1" t="str">
        <f>"河南省南阳市内乡县"</f>
        <v>河南省南阳市内乡县</v>
      </c>
      <c r="H3777" s="1" t="str">
        <f t="shared" si="1866"/>
        <v>无</v>
      </c>
      <c r="I3777" s="1" t="str">
        <f>"201409-201807郑州大学西亚斯国际学院英语专业就读，全日制学历
201809-至今内乡县第六小学工作"</f>
        <v>201409-201807郑州大学西亚斯国际学院英语专业就读，全日制学历
201809-至今内乡县第六小学工作</v>
      </c>
    </row>
    <row r="3778" spans="1:9">
      <c r="A3778" s="1" t="str">
        <f>"410928199201082157"</f>
        <v>410928199201082157</v>
      </c>
      <c r="B3778" s="1" t="str">
        <f t="shared" si="1868"/>
        <v>群众</v>
      </c>
      <c r="C3778" s="1" t="str">
        <f t="shared" si="1867"/>
        <v>本科</v>
      </c>
      <c r="D3778" s="1" t="str">
        <f>"20150701"</f>
        <v>20150701</v>
      </c>
      <c r="E3778" s="1" t="str">
        <f>"安阳师范学院"</f>
        <v>安阳师范学院</v>
      </c>
      <c r="F3778" s="1" t="str">
        <f>"软件工程（JAVA方向）"</f>
        <v>软件工程（JAVA方向）</v>
      </c>
      <c r="G3778" s="1" t="str">
        <f>"河南省濮阳市华龙区东城花园"</f>
        <v>河南省濮阳市华龙区东城花园</v>
      </c>
      <c r="H3778" s="1" t="str">
        <f t="shared" si="1866"/>
        <v>无</v>
      </c>
      <c r="I3778" s="1" t="str">
        <f>"20110901-20150701 安阳师范学院软件学院软件工程（JAVA方向）就读，全日制学历"</f>
        <v>20110901-20150701 安阳师范学院软件学院软件工程（JAVA方向）就读，全日制学历</v>
      </c>
    </row>
    <row r="3779" spans="1:9">
      <c r="A3779" s="1" t="str">
        <f>"411327199402283926"</f>
        <v>411327199402283926</v>
      </c>
      <c r="B3779" s="1" t="str">
        <f t="shared" si="1868"/>
        <v>群众</v>
      </c>
      <c r="C3779" s="1" t="str">
        <f t="shared" si="1867"/>
        <v>本科</v>
      </c>
      <c r="D3779" s="1" t="str">
        <f>"20170701"</f>
        <v>20170701</v>
      </c>
      <c r="E3779" s="1" t="str">
        <f>"河南理工大学"</f>
        <v>河南理工大学</v>
      </c>
      <c r="F3779" s="1" t="str">
        <f>"环境工程"</f>
        <v>环境工程</v>
      </c>
      <c r="G3779" s="1" t="str">
        <f>"河南省南阳市内乡县维多利亚小区"</f>
        <v>河南省南阳市内乡县维多利亚小区</v>
      </c>
      <c r="H3779" s="1" t="str">
        <f t="shared" si="1866"/>
        <v>无</v>
      </c>
      <c r="I3779" s="1" t="str">
        <f>"201309-201707 河南理工大学就读 资源环境学院环境工程专业
2017.7-2019.4  江苏蓄润海绵城市有限公司
2019.5-2023.5  河南牧原肉食品有限公司
2023.6-至今  待业"</f>
        <v>201309-201707 河南理工大学就读 资源环境学院环境工程专业
2017.7-2019.4  江苏蓄润海绵城市有限公司
2019.5-2023.5  河南牧原肉食品有限公司
2023.6-至今  待业</v>
      </c>
    </row>
    <row r="3780" spans="1:9">
      <c r="A3780" s="1" t="str">
        <f>"411323200209156925"</f>
        <v>411323200209156925</v>
      </c>
      <c r="B3780" s="1" t="str">
        <f t="shared" si="1868"/>
        <v>群众</v>
      </c>
      <c r="C3780" s="1" t="str">
        <f t="shared" si="1867"/>
        <v>本科</v>
      </c>
      <c r="D3780" s="1" t="str">
        <f>"2025年6月"</f>
        <v>2025年6月</v>
      </c>
      <c r="E3780" s="1" t="str">
        <f>"黄河交通学院"</f>
        <v>黄河交通学院</v>
      </c>
      <c r="F3780" s="1" t="str">
        <f>"审计学"</f>
        <v>审计学</v>
      </c>
      <c r="G3780" s="1" t="str">
        <f>"河南省南阳市淅川县"</f>
        <v>河南省南阳市淅川县</v>
      </c>
      <c r="H3780" s="1" t="str">
        <f>"初级会计证"</f>
        <v>初级会计证</v>
      </c>
      <c r="I3780" s="1" t="str">
        <f>"2021年9月—2025年6月在黄河交通经济管理学院审计专业就读，全日本学历"</f>
        <v>2021年9月—2025年6月在黄河交通经济管理学院审计专业就读，全日本学历</v>
      </c>
    </row>
    <row r="3781" spans="1:9">
      <c r="A3781" s="1" t="str">
        <f>"410324200309252821"</f>
        <v>410324200309252821</v>
      </c>
      <c r="B3781" s="1" t="str">
        <f t="shared" ref="B3781:B3785" si="1869">"共青团员"</f>
        <v>共青团员</v>
      </c>
      <c r="C3781" s="1" t="str">
        <f t="shared" si="1867"/>
        <v>本科</v>
      </c>
      <c r="D3781" s="1" t="str">
        <f>"20250701"</f>
        <v>20250701</v>
      </c>
      <c r="E3781" s="1" t="str">
        <f>"河南工程学院"</f>
        <v>河南工程学院</v>
      </c>
      <c r="F3781" s="1" t="str">
        <f>"通信工程"</f>
        <v>通信工程</v>
      </c>
      <c r="G3781" s="1" t="str">
        <f>"河南省洛阳市栾川县人民桥南一百米"</f>
        <v>河南省洛阳市栾川县人民桥南一百米</v>
      </c>
      <c r="H3781" s="1" t="str">
        <f>"信息通信网络运行管理员"</f>
        <v>信息通信网络运行管理员</v>
      </c>
      <c r="I3781" s="1" t="str">
        <f>"大学20210901在河南工程学院就读于电气信息工程学院通信工程专业"</f>
        <v>大学20210901在河南工程学院就读于电气信息工程学院通信工程专业</v>
      </c>
    </row>
    <row r="3782" spans="1:9">
      <c r="A3782" s="1" t="str">
        <f>"41138120030702062X"</f>
        <v>41138120030702062X</v>
      </c>
      <c r="B3782" s="1" t="str">
        <f t="shared" si="1869"/>
        <v>共青团员</v>
      </c>
      <c r="C3782" s="1" t="str">
        <f>"专科"</f>
        <v>专科</v>
      </c>
      <c r="D3782" s="1" t="str">
        <f>"20250620"</f>
        <v>20250620</v>
      </c>
      <c r="E3782" s="1" t="str">
        <f>"江南影视艺术职业学院"</f>
        <v>江南影视艺术职业学院</v>
      </c>
      <c r="F3782" s="1" t="str">
        <f>"新闻采编与制作"</f>
        <v>新闻采编与制作</v>
      </c>
      <c r="G3782" s="1" t="str">
        <f>"河南省南阳市卧龙区武侯路300号"</f>
        <v>河南省南阳市卧龙区武侯路300号</v>
      </c>
      <c r="H3782" s="1" t="str">
        <f t="shared" ref="H3782:H3798" si="1870">"无"</f>
        <v>无</v>
      </c>
      <c r="I3782" s="1" t="str">
        <f>"202209-202506在江南影视艺术职业学院新闻采编与制作专业就读，是全日制专科学历"</f>
        <v>202209-202506在江南影视艺术职业学院新闻采编与制作专业就读，是全日制专科学历</v>
      </c>
    </row>
    <row r="3783" spans="1:9">
      <c r="A3783" s="1" t="str">
        <f>"411328200109085017"</f>
        <v>411328200109085017</v>
      </c>
      <c r="B3783" s="1" t="str">
        <f>"群众"</f>
        <v>群众</v>
      </c>
      <c r="C3783" s="1" t="str">
        <f t="shared" ref="C3783:C3788" si="1871">"本科"</f>
        <v>本科</v>
      </c>
      <c r="D3783" s="1" t="str">
        <f>"20230626"</f>
        <v>20230626</v>
      </c>
      <c r="E3783" s="1" t="str">
        <f>"海南科技职业大学"</f>
        <v>海南科技职业大学</v>
      </c>
      <c r="F3783" s="1" t="str">
        <f>"物联网工程"</f>
        <v>物联网工程</v>
      </c>
      <c r="G3783" s="1" t="str">
        <f>"河南省南阳市新野县"</f>
        <v>河南省南阳市新野县</v>
      </c>
      <c r="H3783" s="1" t="str">
        <f>"华为ptn初级证书"</f>
        <v>华为ptn初级证书</v>
      </c>
      <c r="I3783" s="1" t="str">
        <f>"201909–202306  海南科技职业大学就读  全日制本科
202306–202409 待业
202410–至今   邓州市公安局警务辅助人员
"</f>
        <v>201909–202306  海南科技职业大学就读  全日制本科
202306–202409 待业
202410–至今   邓州市公安局警务辅助人员
</v>
      </c>
    </row>
    <row r="3784" spans="1:9">
      <c r="A3784" s="1" t="str">
        <f>"411381199911214222"</f>
        <v>411381199911214222</v>
      </c>
      <c r="B3784" s="1" t="str">
        <f t="shared" si="1869"/>
        <v>共青团员</v>
      </c>
      <c r="C3784" s="1" t="str">
        <f t="shared" si="1871"/>
        <v>本科</v>
      </c>
      <c r="D3784" s="1" t="str">
        <f>"20220701"</f>
        <v>20220701</v>
      </c>
      <c r="E3784" s="1" t="str">
        <f>"郑州商学院"</f>
        <v>郑州商学院</v>
      </c>
      <c r="F3784" s="1" t="str">
        <f t="shared" ref="F3784:F3787" si="1872">"财务管理"</f>
        <v>财务管理</v>
      </c>
      <c r="G3784" s="1" t="str">
        <f>"河南省南阳市内乡县菊谭大街"</f>
        <v>河南省南阳市内乡县菊谭大街</v>
      </c>
      <c r="H3784" s="1" t="str">
        <f>"初级会计资格证"</f>
        <v>初级会计资格证</v>
      </c>
      <c r="I3784" s="1" t="str">
        <f>"202009-202207 郑州商学院 就读 工商管理系 财务管理 全日制
202209-202306 在家待业
202307-202501 河南东福新材料股份有限公司
202502-至今       在家待业"</f>
        <v>202009-202207 郑州商学院 就读 工商管理系 财务管理 全日制
202209-202306 在家待业
202307-202501 河南东福新材料股份有限公司
202502-至今       在家待业</v>
      </c>
    </row>
    <row r="3785" spans="1:9">
      <c r="A3785" s="1" t="str">
        <f>"411327199910020321"</f>
        <v>411327199910020321</v>
      </c>
      <c r="B3785" s="1" t="str">
        <f t="shared" si="1869"/>
        <v>共青团员</v>
      </c>
      <c r="C3785" s="1" t="str">
        <f t="shared" si="1871"/>
        <v>本科</v>
      </c>
      <c r="D3785" s="1" t="str">
        <f>"20230701"</f>
        <v>20230701</v>
      </c>
      <c r="E3785" s="1" t="str">
        <f>"郑州经贸学院"</f>
        <v>郑州经贸学院</v>
      </c>
      <c r="F3785" s="1" t="str">
        <f t="shared" si="1872"/>
        <v>财务管理</v>
      </c>
      <c r="G3785" s="1" t="str">
        <f>"河南省内乡县大桥乡程岗村核桃园42号"</f>
        <v>河南省内乡县大桥乡程岗村核桃园42号</v>
      </c>
      <c r="H3785" s="1" t="str">
        <f>"初级会计职称资格证书"</f>
        <v>初级会计职称资格证书</v>
      </c>
      <c r="I3785" s="1" t="str">
        <f>"201809-202107 周口师范学院 经济与管理学院 会计专业 就读 全日制
202109-202307 郑州经贸学院 会计学院 财务管理专业 就读 全日制
202308-202407 聚点会计服务有限公司内乡分公司工作
202408-202411 晨光文具华南工厂工作
202412-至今 待业"</f>
        <v>201809-202107 周口师范学院 经济与管理学院 会计专业 就读 全日制
202109-202307 郑州经贸学院 会计学院 财务管理专业 就读 全日制
202308-202407 聚点会计服务有限公司内乡分公司工作
202408-202411 晨光文具华南工厂工作
202412-至今 待业</v>
      </c>
    </row>
    <row r="3786" spans="1:9">
      <c r="A3786" s="1" t="str">
        <f>"411327200112131575"</f>
        <v>411327200112131575</v>
      </c>
      <c r="B3786" s="1" t="str">
        <f t="shared" ref="B3786:B3791" si="1873">"中共党员"</f>
        <v>中共党员</v>
      </c>
      <c r="C3786" s="1" t="str">
        <f t="shared" si="1871"/>
        <v>本科</v>
      </c>
      <c r="D3786" s="1" t="str">
        <f>"20250701"</f>
        <v>20250701</v>
      </c>
      <c r="E3786" s="1" t="str">
        <f>"平顶山学院"</f>
        <v>平顶山学院</v>
      </c>
      <c r="F3786" s="1" t="str">
        <f>"机械电子工程"</f>
        <v>机械电子工程</v>
      </c>
      <c r="G3786" s="1" t="str">
        <f>"内乡县湍东镇龙园村李东组"</f>
        <v>内乡县湍东镇龙园村李东组</v>
      </c>
      <c r="H3786" s="1" t="str">
        <f t="shared" si="1870"/>
        <v>无</v>
      </c>
      <c r="I3786" s="1" t="str">
        <f>"2021.09-2025.07平顶山学院电气与机械工程学院机械1电子工程专业就读，是全日制学历"</f>
        <v>2021.09-2025.07平顶山学院电气与机械工程学院机械1电子工程专业就读，是全日制学历</v>
      </c>
    </row>
    <row r="3787" spans="1:9">
      <c r="A3787" s="1" t="str">
        <f>"411329199703041915"</f>
        <v>411329199703041915</v>
      </c>
      <c r="B3787" s="1" t="str">
        <f t="shared" si="1873"/>
        <v>中共党员</v>
      </c>
      <c r="C3787" s="1" t="str">
        <f t="shared" si="1871"/>
        <v>本科</v>
      </c>
      <c r="D3787" s="1" t="str">
        <f>"20220701"</f>
        <v>20220701</v>
      </c>
      <c r="E3787" s="1" t="str">
        <f>"南阳师范学院"</f>
        <v>南阳师范学院</v>
      </c>
      <c r="F3787" s="1" t="str">
        <f t="shared" si="1872"/>
        <v>财务管理</v>
      </c>
      <c r="G3787" s="1" t="str">
        <f>"河南省郑州市管城区紫辰路紫金悦城1号楼"</f>
        <v>河南省郑州市管城区紫辰路紫金悦城1号楼</v>
      </c>
      <c r="H3787" s="1" t="str">
        <f t="shared" si="1870"/>
        <v>无</v>
      </c>
      <c r="I3787" s="1" t="str">
        <f>"201509-201709保留学籍参军入伍 在武警西藏总队二大队七中队服役
201709-202007在河南工程学院就读审计专业 全日制专科
202009-202207在南阳师范学院就读财务管理专业  全日制本科"</f>
        <v>201509-201709保留学籍参军入伍 在武警西藏总队二大队七中队服役
201709-202007在河南工程学院就读审计专业 全日制专科
202009-202207在南阳师范学院就读财务管理专业  全日制本科</v>
      </c>
    </row>
    <row r="3788" spans="1:9">
      <c r="A3788" s="1" t="str">
        <f>"341225199811246337"</f>
        <v>341225199811246337</v>
      </c>
      <c r="B3788" s="1" t="str">
        <f>"共青团员"</f>
        <v>共青团员</v>
      </c>
      <c r="C3788" s="1" t="str">
        <f t="shared" si="1871"/>
        <v>本科</v>
      </c>
      <c r="D3788" s="1" t="str">
        <f>"20240701"</f>
        <v>20240701</v>
      </c>
      <c r="E3788" s="1" t="str">
        <f>"安徽文达信息工程学院"</f>
        <v>安徽文达信息工程学院</v>
      </c>
      <c r="F3788" s="1" t="str">
        <f>"物联网工程"</f>
        <v>物联网工程</v>
      </c>
      <c r="G3788" s="1" t="str">
        <f>"阜阳市"</f>
        <v>阜阳市</v>
      </c>
      <c r="H3788" s="1" t="str">
        <f t="shared" si="1870"/>
        <v>无</v>
      </c>
      <c r="I3788" s="1" t="str">
        <f>"202009-202407在安徽文达信息工程学院计算机学院物联网工程专业就读全日制学历
201709-202007在阜南一中就读
201409-201706在英才学校就读
200909-201406在于庄学校就读
200709-20090在瑞安市珠霖武术学校就读"</f>
        <v>202009-202407在安徽文达信息工程学院计算机学院物联网工程专业就读全日制学历
201709-202007在阜南一中就读
201409-201706在英才学校就读
200909-201406在于庄学校就读
200709-20090在瑞安市珠霖武术学校就读</v>
      </c>
    </row>
    <row r="3789" spans="1:9">
      <c r="A3789" s="1" t="str">
        <f>"410581200111130042"</f>
        <v>410581200111130042</v>
      </c>
      <c r="B3789" s="1" t="str">
        <f t="shared" ref="B3789:B3793" si="1874">"群众"</f>
        <v>群众</v>
      </c>
      <c r="C3789" s="1" t="str">
        <f>"专科"</f>
        <v>专科</v>
      </c>
      <c r="D3789" s="1" t="str">
        <f>"2023-07-01"</f>
        <v>2023-07-01</v>
      </c>
      <c r="E3789" s="1" t="str">
        <f t="shared" ref="E3789:E3794" si="1875">"商丘学院"</f>
        <v>商丘学院</v>
      </c>
      <c r="F3789" s="1" t="str">
        <f>"小学教育（师范）"</f>
        <v>小学教育（师范）</v>
      </c>
      <c r="G3789" s="1" t="str">
        <f>"河南省安阳市林州市美庐湾"</f>
        <v>河南省安阳市林州市美庐湾</v>
      </c>
      <c r="H3789" s="1" t="str">
        <f t="shared" si="1870"/>
        <v>无</v>
      </c>
      <c r="I3789" s="1" t="str">
        <f>"201709-202006 林州市林虑中学就读
202009-202306 商丘学院就读"</f>
        <v>201709-202006 林州市林虑中学就读
202009-202306 商丘学院就读</v>
      </c>
    </row>
    <row r="3790" spans="1:9">
      <c r="A3790" s="1" t="str">
        <f>"411327200302284935"</f>
        <v>411327200302284935</v>
      </c>
      <c r="B3790" s="1" t="str">
        <f t="shared" si="1874"/>
        <v>群众</v>
      </c>
      <c r="C3790" s="1" t="str">
        <f t="shared" ref="C3790:C3792" si="1876">"本科"</f>
        <v>本科</v>
      </c>
      <c r="D3790" s="1" t="str">
        <f>"20250607"</f>
        <v>20250607</v>
      </c>
      <c r="E3790" s="1" t="str">
        <f t="shared" si="1875"/>
        <v>商丘学院</v>
      </c>
      <c r="F3790" s="1" t="str">
        <f>"物联网工程"</f>
        <v>物联网工程</v>
      </c>
      <c r="G3790" s="1" t="str">
        <f>"河南省南阳市"</f>
        <v>河南省南阳市</v>
      </c>
      <c r="H3790" s="1" t="str">
        <f t="shared" si="1870"/>
        <v>无</v>
      </c>
      <c r="I3790" s="1" t="str">
        <f>"202109-202506 商丘学院就读计算机工程学院物联网工程专业，是全日制本科学历"</f>
        <v>202109-202506 商丘学院就读计算机工程学院物联网工程专业，是全日制本科学历</v>
      </c>
    </row>
    <row r="3791" spans="1:9">
      <c r="A3791" s="1" t="str">
        <f>"411330200006230025"</f>
        <v>411330200006230025</v>
      </c>
      <c r="B3791" s="1" t="str">
        <f t="shared" si="1873"/>
        <v>中共党员</v>
      </c>
      <c r="C3791" s="1" t="str">
        <f t="shared" si="1876"/>
        <v>本科</v>
      </c>
      <c r="D3791" s="1" t="str">
        <f>"20240701"</f>
        <v>20240701</v>
      </c>
      <c r="E3791" s="1" t="str">
        <f>"新乡工程学院（原河南科技学院新科学院）"</f>
        <v>新乡工程学院（原河南科技学院新科学院）</v>
      </c>
      <c r="F3791" s="1" t="str">
        <f>"物流管理"</f>
        <v>物流管理</v>
      </c>
      <c r="G3791" s="1" t="str">
        <f>"河南省南阳市西峡县丹水镇育英街"</f>
        <v>河南省南阳市西峡县丹水镇育英街</v>
      </c>
      <c r="H3791" s="1" t="str">
        <f t="shared" si="1870"/>
        <v>无</v>
      </c>
      <c r="I3791" s="1" t="str">
        <f>"202010-202407 在新乡工程学院 经济与管理学院 物流管理专业 就读 
全日制
202407-至今 待业"</f>
        <v>202010-202407 在新乡工程学院 经济与管理学院 物流管理专业 就读 
全日制
202407-至今 待业</v>
      </c>
    </row>
    <row r="3792" spans="1:9">
      <c r="A3792" s="1" t="str">
        <f>"411327199302114922"</f>
        <v>411327199302114922</v>
      </c>
      <c r="B3792" s="1" t="str">
        <f t="shared" si="1874"/>
        <v>群众</v>
      </c>
      <c r="C3792" s="1" t="str">
        <f t="shared" si="1876"/>
        <v>本科</v>
      </c>
      <c r="D3792" s="1" t="str">
        <f>"20160701"</f>
        <v>20160701</v>
      </c>
      <c r="E3792" s="1" t="str">
        <f>"河南理工大学万方科技学院"</f>
        <v>河南理工大学万方科技学院</v>
      </c>
      <c r="F3792" s="1" t="str">
        <f>"国际经济与贸易"</f>
        <v>国际经济与贸易</v>
      </c>
      <c r="G3792" s="1" t="str">
        <f>"河南省南阳市内乡县灌涨镇"</f>
        <v>河南省南阳市内乡县灌涨镇</v>
      </c>
      <c r="H3792" s="1" t="str">
        <f t="shared" si="1870"/>
        <v>无</v>
      </c>
      <c r="I3792" s="1" t="str">
        <f>"201209-201606河南理工大学万方科技学院 国际经济与贸易专业就读 全日制学历
201607-202507牧原食品股份有限公司就业"</f>
        <v>201209-201606河南理工大学万方科技学院 国际经济与贸易专业就读 全日制学历
201607-202507牧原食品股份有限公司就业</v>
      </c>
    </row>
    <row r="3793" spans="1:9">
      <c r="A3793" s="1" t="str">
        <f>"41032419971026003X"</f>
        <v>41032419971026003X</v>
      </c>
      <c r="B3793" s="1" t="str">
        <f t="shared" si="1874"/>
        <v>群众</v>
      </c>
      <c r="C3793" s="1" t="str">
        <f>"硕士研究生"</f>
        <v>硕士研究生</v>
      </c>
      <c r="D3793" s="1" t="str">
        <f>"20240612"</f>
        <v>20240612</v>
      </c>
      <c r="E3793" s="1" t="str">
        <f>"新疆农业大学"</f>
        <v>新疆农业大学</v>
      </c>
      <c r="F3793" s="1" t="str">
        <f>"农艺与种业"</f>
        <v>农艺与种业</v>
      </c>
      <c r="G3793" s="1" t="str">
        <f>"河南省洛阳市栾川县城关镇邢家沟巷144号"</f>
        <v>河南省洛阳市栾川县城关镇邢家沟巷144号</v>
      </c>
      <c r="H3793" s="1" t="str">
        <f t="shared" si="1870"/>
        <v>无</v>
      </c>
      <c r="I3793" s="1" t="str">
        <f>"2016.09-2020.07 河南农业大学农学院农学专业就读，全日制
2020.08-2021.08 在河南省洛阳市栾川县待业，备考研究生
2021.09-2024.06 新疆农业大学园艺学院农艺与种业专业就读，全日制
2024.07-2025.07 在河南省洛阳市栾川县城关镇待业
"</f>
        <v>2016.09-2020.07 河南农业大学农学院农学专业就读，全日制
2020.08-2021.08 在河南省洛阳市栾川县待业，备考研究生
2021.09-2024.06 新疆农业大学园艺学院农艺与种业专业就读，全日制
2024.07-2025.07 在河南省洛阳市栾川县城关镇待业
</v>
      </c>
    </row>
    <row r="3794" spans="1:9">
      <c r="A3794" s="1" t="str">
        <f>"411327200012153128"</f>
        <v>411327200012153128</v>
      </c>
      <c r="B3794" s="1" t="str">
        <f t="shared" ref="B3794:B3797" si="1877">"共青团员"</f>
        <v>共青团员</v>
      </c>
      <c r="C3794" s="1" t="str">
        <f t="shared" ref="C3794:C3800" si="1878">"本科"</f>
        <v>本科</v>
      </c>
      <c r="D3794" s="1" t="str">
        <f>"2022.07"</f>
        <v>2022.07</v>
      </c>
      <c r="E3794" s="1" t="str">
        <f t="shared" si="1875"/>
        <v>商丘学院</v>
      </c>
      <c r="F3794" s="1" t="str">
        <f>"商务英语"</f>
        <v>商务英语</v>
      </c>
      <c r="G3794" s="1" t="str">
        <f>"河南省内乡县夏馆镇"</f>
        <v>河南省内乡县夏馆镇</v>
      </c>
      <c r="H3794" s="1" t="str">
        <f t="shared" si="1870"/>
        <v>无</v>
      </c>
      <c r="I3794" s="1" t="str">
        <f>"201809-202206 商丘学院就读
202209-至今 内乡郦都学校（私立）"</f>
        <v>201809-202206 商丘学院就读
202209-至今 内乡郦都学校（私立）</v>
      </c>
    </row>
    <row r="3795" spans="1:9">
      <c r="A3795" s="1" t="str">
        <f>"411327200208204943"</f>
        <v>411327200208204943</v>
      </c>
      <c r="B3795" s="1" t="str">
        <f t="shared" si="1877"/>
        <v>共青团员</v>
      </c>
      <c r="C3795" s="1" t="str">
        <f>"专科"</f>
        <v>专科</v>
      </c>
      <c r="D3795" s="1" t="str">
        <f>"20230701"</f>
        <v>20230701</v>
      </c>
      <c r="E3795" s="1" t="str">
        <f>"漯河职业技术学院"</f>
        <v>漯河职业技术学院</v>
      </c>
      <c r="F3795" s="1" t="str">
        <f>"工程造价"</f>
        <v>工程造价</v>
      </c>
      <c r="G3795" s="1" t="str">
        <f>"河南省南阳市内乡县第二人民医院隔壁金利来小区"</f>
        <v>河南省南阳市内乡县第二人民医院隔壁金利来小区</v>
      </c>
      <c r="H3795" s="1" t="str">
        <f t="shared" si="1870"/>
        <v>无</v>
      </c>
      <c r="I3795" s="1" t="str">
        <f>"202009-202307 漯河职业技术学院建筑工程学院工程造价专业就读，是全日制专科学历"</f>
        <v>202009-202307 漯河职业技术学院建筑工程学院工程造价专业就读，是全日制专科学历</v>
      </c>
    </row>
    <row r="3796" spans="1:9">
      <c r="A3796" s="1" t="str">
        <f>"411327200207193146"</f>
        <v>411327200207193146</v>
      </c>
      <c r="B3796" s="1" t="str">
        <f t="shared" ref="B3796:B3799" si="1879">"中共党员"</f>
        <v>中共党员</v>
      </c>
      <c r="C3796" s="1" t="str">
        <f t="shared" si="1878"/>
        <v>本科</v>
      </c>
      <c r="D3796" s="1" t="str">
        <f>"20240610"</f>
        <v>20240610</v>
      </c>
      <c r="E3796" s="1" t="str">
        <f>"河南城建学院"</f>
        <v>河南城建学院</v>
      </c>
      <c r="F3796" s="1" t="str">
        <f>"数学与应用数学"</f>
        <v>数学与应用数学</v>
      </c>
      <c r="G3796" s="1" t="str">
        <f>"河南省南阳市内乡县夏馆镇"</f>
        <v>河南省南阳市内乡县夏馆镇</v>
      </c>
      <c r="H3796" s="1" t="str">
        <f t="shared" si="1870"/>
        <v>无</v>
      </c>
      <c r="I3796" s="1" t="str">
        <f>"202009-202406 河南城建学院就读。本科就读于河南城建学院数理学院数学与应用数学专业，全日制本科。
"</f>
        <v>202009-202406 河南城建学院就读。本科就读于河南城建学院数理学院数学与应用数学专业，全日制本科。
</v>
      </c>
    </row>
    <row r="3797" spans="1:9">
      <c r="A3797" s="1" t="str">
        <f>"411303199807302119"</f>
        <v>411303199807302119</v>
      </c>
      <c r="B3797" s="1" t="str">
        <f t="shared" si="1877"/>
        <v>共青团员</v>
      </c>
      <c r="C3797" s="1" t="str">
        <f>"专科"</f>
        <v>专科</v>
      </c>
      <c r="D3797" s="1" t="str">
        <f>"20190701"</f>
        <v>20190701</v>
      </c>
      <c r="E3797" s="1" t="str">
        <f>"郑州工程技术学院"</f>
        <v>郑州工程技术学院</v>
      </c>
      <c r="F3797" s="1" t="str">
        <f>"旅游管理"</f>
        <v>旅游管理</v>
      </c>
      <c r="G3797" s="1" t="str">
        <f>"河南省南阳市卧龙区北京路16号"</f>
        <v>河南省南阳市卧龙区北京路16号</v>
      </c>
      <c r="H3797" s="1" t="str">
        <f t="shared" si="1870"/>
        <v>无</v>
      </c>
      <c r="I3797" s="1" t="str">
        <f>"201609-201907 郑州工程技术学院 就读 管理学院 旅游管理专业 全日制学历
201907-202011 郑州绿地JW万豪酒店
202011-202104 上海北庐建筑科技有限公司
202104-202407 在河南省南阳市待业
202407-202410 国盛文化发展（江西）有限公司
202410-至今 在河南省南阳市待业"</f>
        <v>201609-201907 郑州工程技术学院 就读 管理学院 旅游管理专业 全日制学历
201907-202011 郑州绿地JW万豪酒店
202011-202104 上海北庐建筑科技有限公司
202104-202407 在河南省南阳市待业
202407-202410 国盛文化发展（江西）有限公司
202410-至今 在河南省南阳市待业</v>
      </c>
    </row>
    <row r="3798" spans="1:9">
      <c r="A3798" s="1" t="str">
        <f>"411326200111050718"</f>
        <v>411326200111050718</v>
      </c>
      <c r="B3798" s="1" t="str">
        <f t="shared" si="1879"/>
        <v>中共党员</v>
      </c>
      <c r="C3798" s="1" t="str">
        <f t="shared" si="1878"/>
        <v>本科</v>
      </c>
      <c r="D3798" s="1" t="str">
        <f>"2025-07-01"</f>
        <v>2025-07-01</v>
      </c>
      <c r="E3798" s="1" t="str">
        <f>"商丘学院应用科技学院"</f>
        <v>商丘学院应用科技学院</v>
      </c>
      <c r="F3798" s="1" t="str">
        <f>"学前教育"</f>
        <v>学前教育</v>
      </c>
      <c r="G3798" s="1" t="str">
        <f>"河南省南阳市南召县留山镇好汉村双庙组7号"</f>
        <v>河南省南阳市南召县留山镇好汉村双庙组7号</v>
      </c>
      <c r="H3798" s="1" t="str">
        <f t="shared" si="1870"/>
        <v>无</v>
      </c>
      <c r="I3798" s="1" t="str">
        <f>"202009-202306 平顶山职业技术学院数学系小学教育专业就读 普通全日制
202309-202507 商丘学院应用科技学院人文学院学前教育专业就读 普通全日制"</f>
        <v>202009-202306 平顶山职业技术学院数学系小学教育专业就读 普通全日制
202309-202507 商丘学院应用科技学院人文学院学前教育专业就读 普通全日制</v>
      </c>
    </row>
    <row r="3799" spans="1:9">
      <c r="A3799" s="1" t="str">
        <f>"411327199808083748"</f>
        <v>411327199808083748</v>
      </c>
      <c r="B3799" s="1" t="str">
        <f t="shared" si="1879"/>
        <v>中共党员</v>
      </c>
      <c r="C3799" s="1" t="str">
        <f t="shared" si="1878"/>
        <v>本科</v>
      </c>
      <c r="D3799" s="1" t="str">
        <f>"20210712"</f>
        <v>20210712</v>
      </c>
      <c r="E3799" s="1" t="str">
        <f>"河南农业大学"</f>
        <v>河南农业大学</v>
      </c>
      <c r="F3799" s="1" t="str">
        <f>"财务管理"</f>
        <v>财务管理</v>
      </c>
      <c r="G3799" s="1" t="str">
        <f>"河南省南阳市内乡县桃溪镇石碑营村坡根组10号"</f>
        <v>河南省南阳市内乡县桃溪镇石碑营村坡根组10号</v>
      </c>
      <c r="H3799" s="1" t="str">
        <f>"初级会计证书"</f>
        <v>初级会计证书</v>
      </c>
      <c r="I3799" s="1" t="str">
        <f>"201709-202107就读于河南农业大学财务管理专业；
202107-202203就业于河南盛达发展有限公司财务；
202204-202304就业于南阳中锦置业有限公司出纳；
202304-202501就业于云筑盘古（河南）供应链有限公司会计；
202502-至今就业于内乡县投资控股有限责任公司会计；"</f>
        <v>201709-202107就读于河南农业大学财务管理专业；
202107-202203就业于河南盛达发展有限公司财务；
202204-202304就业于南阳中锦置业有限公司出纳；
202304-202501就业于云筑盘古（河南）供应链有限公司会计；
202502-至今就业于内乡县投资控股有限责任公司会计；</v>
      </c>
    </row>
    <row r="3800" spans="1:9">
      <c r="A3800" s="1" t="str">
        <f>"411224200005282437"</f>
        <v>411224200005282437</v>
      </c>
      <c r="B3800" s="1" t="str">
        <f t="shared" ref="B3800:B3802" si="1880">"群众"</f>
        <v>群众</v>
      </c>
      <c r="C3800" s="1" t="str">
        <f t="shared" si="1878"/>
        <v>本科</v>
      </c>
      <c r="D3800" s="1" t="str">
        <f>"20230701"</f>
        <v>20230701</v>
      </c>
      <c r="E3800" s="1" t="str">
        <f>"郑州升达经贸管理学院"</f>
        <v>郑州升达经贸管理学院</v>
      </c>
      <c r="F3800" s="1" t="str">
        <f>"计算机科学与技术"</f>
        <v>计算机科学与技术</v>
      </c>
      <c r="G3800" s="1" t="str">
        <f>"卢氏县"</f>
        <v>卢氏县</v>
      </c>
      <c r="H3800" s="1" t="str">
        <f t="shared" ref="H3800:H3808" si="1881">"无"</f>
        <v>无</v>
      </c>
      <c r="I3800" s="1" t="str">
        <f>"无"</f>
        <v>无</v>
      </c>
    </row>
    <row r="3801" spans="1:9">
      <c r="A3801" s="1" t="str">
        <f>"411325199311180320"</f>
        <v>411325199311180320</v>
      </c>
      <c r="B3801" s="1" t="str">
        <f t="shared" si="1880"/>
        <v>群众</v>
      </c>
      <c r="C3801" s="1" t="str">
        <f>"专科"</f>
        <v>专科</v>
      </c>
      <c r="D3801" s="1" t="str">
        <f>"20160701"</f>
        <v>20160701</v>
      </c>
      <c r="E3801" s="1" t="str">
        <f>"新乡学院"</f>
        <v>新乡学院</v>
      </c>
      <c r="F3801" s="1" t="str">
        <f>"学前教育"</f>
        <v>学前教育</v>
      </c>
      <c r="G3801" s="1" t="str">
        <f>"河南省内乡县城关镇翰林学府小区"</f>
        <v>河南省内乡县城关镇翰林学府小区</v>
      </c>
      <c r="H3801" s="1" t="str">
        <f t="shared" si="1881"/>
        <v>无</v>
      </c>
      <c r="I3801" s="1" t="str">
        <f>"201403-201607新乡学院  学前教育专业就读，非全日制。
201607-202209内乡县郦都幼儿园任园长。
202209至今翰林学府幼儿园任园长。"</f>
        <v>201403-201607新乡学院  学前教育专业就读，非全日制。
201607-202209内乡县郦都幼儿园任园长。
202209至今翰林学府幼儿园任园长。</v>
      </c>
    </row>
    <row r="3802" spans="1:9">
      <c r="A3802" s="1" t="str">
        <f>"41132719951214007X"</f>
        <v>41132719951214007X</v>
      </c>
      <c r="B3802" s="1" t="str">
        <f t="shared" si="1880"/>
        <v>群众</v>
      </c>
      <c r="C3802" s="1" t="str">
        <f t="shared" ref="C3802:C3808" si="1882">"本科"</f>
        <v>本科</v>
      </c>
      <c r="D3802" s="1" t="str">
        <f>"20180627"</f>
        <v>20180627</v>
      </c>
      <c r="E3802" s="1" t="str">
        <f>"信阳农林学院"</f>
        <v>信阳农林学院</v>
      </c>
      <c r="F3802" s="1" t="str">
        <f>"动物医学"</f>
        <v>动物医学</v>
      </c>
      <c r="G3802" s="1" t="str">
        <f>"内乡县建业"</f>
        <v>内乡县建业</v>
      </c>
      <c r="H3802" s="1" t="str">
        <f t="shared" si="1881"/>
        <v>无</v>
      </c>
      <c r="I3802" s="1" t="str">
        <f>"201409—201806  信阳农林学院动物医学专业就读 全日制学历
201807—202302 牧原公司
202303—至今  菊潭高中"</f>
        <v>201409—201806  信阳农林学院动物医学专业就读 全日制学历
201807—202302 牧原公司
202303—至今  菊潭高中</v>
      </c>
    </row>
    <row r="3803" spans="1:9">
      <c r="A3803" s="1" t="str">
        <f>"410522200301270812"</f>
        <v>410522200301270812</v>
      </c>
      <c r="B3803" s="1" t="str">
        <f t="shared" ref="B3803:B3807" si="1883">"共青团员"</f>
        <v>共青团员</v>
      </c>
      <c r="C3803" s="1" t="str">
        <f t="shared" si="1882"/>
        <v>本科</v>
      </c>
      <c r="D3803" s="1" t="str">
        <f>"20240701"</f>
        <v>20240701</v>
      </c>
      <c r="E3803" s="1" t="str">
        <f>"平顶山学院"</f>
        <v>平顶山学院</v>
      </c>
      <c r="F3803" s="1" t="str">
        <f>"软件工程"</f>
        <v>软件工程</v>
      </c>
      <c r="G3803" s="1" t="str">
        <f>"河南省安阳市北关区恒大城45号楼一单元0803"</f>
        <v>河南省安阳市北关区恒大城45号楼一单元0803</v>
      </c>
      <c r="H3803" s="1" t="str">
        <f t="shared" si="1881"/>
        <v>无</v>
      </c>
      <c r="I3803" s="1" t="str">
        <f>"202009-202407 平顶山学院 软件学院 软件工程 全日制本科
201709-202007 殷都区第一高级中学 理科 全日制
201409-201707 水冶镇第一初级中学
200809-201407 北环路小学
"</f>
        <v>202009-202407 平顶山学院 软件学院 软件工程 全日制本科
201709-202007 殷都区第一高级中学 理科 全日制
201409-201707 水冶镇第一初级中学
200809-201407 北环路小学
</v>
      </c>
    </row>
    <row r="3804" spans="1:9">
      <c r="A3804" s="1" t="str">
        <f>"411327199503070065"</f>
        <v>411327199503070065</v>
      </c>
      <c r="B3804" s="1" t="str">
        <f>"中共党员"</f>
        <v>中共党员</v>
      </c>
      <c r="C3804" s="1" t="str">
        <f t="shared" si="1882"/>
        <v>本科</v>
      </c>
      <c r="D3804" s="1" t="str">
        <f>"20180630"</f>
        <v>20180630</v>
      </c>
      <c r="E3804" s="1" t="str">
        <f>"中国地质大学（武汉）"</f>
        <v>中国地质大学（武汉）</v>
      </c>
      <c r="F3804" s="1" t="str">
        <f>"电子信息工程"</f>
        <v>电子信息工程</v>
      </c>
      <c r="G3804" s="1" t="str">
        <f>"河南省内乡县城关镇花园南路北园文化园"</f>
        <v>河南省内乡县城关镇花园南路北园文化园</v>
      </c>
      <c r="H3804" s="1" t="str">
        <f t="shared" si="1881"/>
        <v>无</v>
      </c>
      <c r="I3804" s="1" t="str">
        <f>"201409-201806 中国地质大学（武汉）机械与电子信息学院 电子信息工程专业就读 全日制学历
201806-今 自由职业"</f>
        <v>201409-201806 中国地质大学（武汉）机械与电子信息学院 电子信息工程专业就读 全日制学历
201806-今 自由职业</v>
      </c>
    </row>
    <row r="3805" spans="1:9">
      <c r="A3805" s="1" t="str">
        <f>"411327199803152919"</f>
        <v>411327199803152919</v>
      </c>
      <c r="B3805" s="1" t="str">
        <f t="shared" si="1883"/>
        <v>共青团员</v>
      </c>
      <c r="C3805" s="1" t="str">
        <f t="shared" si="1882"/>
        <v>本科</v>
      </c>
      <c r="D3805" s="1" t="str">
        <f>"20210701"</f>
        <v>20210701</v>
      </c>
      <c r="E3805" s="1" t="str">
        <f>"许昌学院"</f>
        <v>许昌学院</v>
      </c>
      <c r="F3805" s="1" t="str">
        <f>"交通工程"</f>
        <v>交通工程</v>
      </c>
      <c r="G3805" s="1" t="str">
        <f>"南阳市内乡县宏达北路十一巷2号"</f>
        <v>南阳市内乡县宏达北路十一巷2号</v>
      </c>
      <c r="H3805" s="1" t="str">
        <f t="shared" si="1881"/>
        <v>无</v>
      </c>
      <c r="I3805" s="1" t="str">
        <f>"201709-202107许昌学院就读202107-202412内乡菊潭学校就业202501-202507居家待业"</f>
        <v>201709-202107许昌学院就读202107-202412内乡菊潭学校就业202501-202507居家待业</v>
      </c>
    </row>
    <row r="3806" spans="1:9">
      <c r="A3806" s="1" t="str">
        <f>"411327200401023511"</f>
        <v>411327200401023511</v>
      </c>
      <c r="B3806" s="1" t="str">
        <f>"群众"</f>
        <v>群众</v>
      </c>
      <c r="C3806" s="1" t="str">
        <f t="shared" si="1882"/>
        <v>本科</v>
      </c>
      <c r="D3806" s="1" t="str">
        <f>"2025-06-15"</f>
        <v>2025-06-15</v>
      </c>
      <c r="E3806" s="1" t="str">
        <f>"河南师范大学"</f>
        <v>河南师范大学</v>
      </c>
      <c r="F3806" s="1" t="str">
        <f>"电子信息工程"</f>
        <v>电子信息工程</v>
      </c>
      <c r="G3806" s="1" t="str">
        <f>"河南省内乡县夏管镇新都市购物中心"</f>
        <v>河南省内乡县夏管镇新都市购物中心</v>
      </c>
      <c r="H3806" s="1" t="str">
        <f t="shared" si="1881"/>
        <v>无</v>
      </c>
      <c r="I3806" s="1" t="str">
        <f>"20211010—20250701河南师范大学就读，全日制学历"</f>
        <v>20211010—20250701河南师范大学就读，全日制学历</v>
      </c>
    </row>
    <row r="3807" spans="1:9">
      <c r="A3807" s="1" t="str">
        <f>"411328200207250434"</f>
        <v>411328200207250434</v>
      </c>
      <c r="B3807" s="1" t="str">
        <f t="shared" si="1883"/>
        <v>共青团员</v>
      </c>
      <c r="C3807" s="1" t="str">
        <f t="shared" si="1882"/>
        <v>本科</v>
      </c>
      <c r="D3807" s="1" t="str">
        <f>"2024-06-25"</f>
        <v>2024-06-25</v>
      </c>
      <c r="E3807" s="1" t="str">
        <f>"河南财政金融学院"</f>
        <v>河南财政金融学院</v>
      </c>
      <c r="F3807" s="1" t="str">
        <f>"财政学"</f>
        <v>财政学</v>
      </c>
      <c r="G3807" s="1" t="str">
        <f>"河南省南阳市唐河县友兰大道郭庄社区"</f>
        <v>河南省南阳市唐河县友兰大道郭庄社区</v>
      </c>
      <c r="H3807" s="1" t="str">
        <f t="shared" si="1881"/>
        <v>无</v>
      </c>
      <c r="I3807" s="1" t="str">
        <f>"202010-202406 在河南财政金融学院财税学院财政学专业就读，是全日制本科。"</f>
        <v>202010-202406 在河南财政金融学院财税学院财政学专业就读，是全日制本科。</v>
      </c>
    </row>
    <row r="3808" ht="121.5" spans="1:9">
      <c r="A3808" s="1" t="str">
        <f>"411329199508205312"</f>
        <v>411329199508205312</v>
      </c>
      <c r="B3808" s="1" t="str">
        <f>"中共党员"</f>
        <v>中共党员</v>
      </c>
      <c r="C3808" s="1" t="str">
        <f t="shared" si="1882"/>
        <v>本科</v>
      </c>
      <c r="D3808" s="1" t="str">
        <f>"20250701"</f>
        <v>20250701</v>
      </c>
      <c r="E3808" s="1" t="str">
        <f>"南阳师范学院"</f>
        <v>南阳师范学院</v>
      </c>
      <c r="F3808" s="1" t="str">
        <f>"法学"</f>
        <v>法学</v>
      </c>
      <c r="G3808" s="1" t="str">
        <f>"河南省社旗县下洼镇赵庄村西赵庄"</f>
        <v>河南省社旗县下洼镇赵庄村西赵庄</v>
      </c>
      <c r="H3808" s="1" t="str">
        <f t="shared" si="1881"/>
        <v>无</v>
      </c>
      <c r="I3808" s="3" t="s">
        <v>268</v>
      </c>
    </row>
    <row r="3809" spans="1:9">
      <c r="A3809" s="1" t="str">
        <f>"411326200412010728"</f>
        <v>411326200412010728</v>
      </c>
      <c r="B3809" s="1" t="str">
        <f t="shared" ref="B3809:B3813" si="1884">"群众"</f>
        <v>群众</v>
      </c>
      <c r="C3809" s="1" t="str">
        <f t="shared" ref="C3809:C3813" si="1885">"专科"</f>
        <v>专科</v>
      </c>
      <c r="D3809" s="1" t="str">
        <f>"2025年7月1日"</f>
        <v>2025年7月1日</v>
      </c>
      <c r="E3809" s="1" t="str">
        <f>"河南工业贸易职业学院"</f>
        <v>河南工业贸易职业学院</v>
      </c>
      <c r="F3809" s="1" t="str">
        <f>"大数据与会计"</f>
        <v>大数据与会计</v>
      </c>
      <c r="G3809" s="1" t="str">
        <f>"河南省南阳市南召县留山镇下关村"</f>
        <v>河南省南阳市南召县留山镇下关村</v>
      </c>
      <c r="H3809" s="1" t="str">
        <f>"初级会计证"</f>
        <v>初级会计证</v>
      </c>
      <c r="I3809" s="1" t="str">
        <f>"202309-202507就读于河南工业贸易职业学院财务会计系大数据与会计专业，是全日制"</f>
        <v>202309-202507就读于河南工业贸易职业学院财务会计系大数据与会计专业，是全日制</v>
      </c>
    </row>
    <row r="3810" spans="1:9">
      <c r="A3810" s="1" t="str">
        <f>"411326200105305817"</f>
        <v>411326200105305817</v>
      </c>
      <c r="B3810" s="1" t="str">
        <f>"中共预备党员"</f>
        <v>中共预备党员</v>
      </c>
      <c r="C3810" s="1" t="str">
        <f t="shared" si="1885"/>
        <v>专科</v>
      </c>
      <c r="D3810" s="1" t="str">
        <f>"20220701"</f>
        <v>20220701</v>
      </c>
      <c r="E3810" s="1" t="str">
        <f>"安阳学院"</f>
        <v>安阳学院</v>
      </c>
      <c r="F3810" s="1" t="str">
        <f>"机电一体化技术"</f>
        <v>机电一体化技术</v>
      </c>
      <c r="G3810" s="1" t="str">
        <f>"河南省南阳市南召县乔端镇东乔社区"</f>
        <v>河南省南阳市南召县乔端镇东乔社区</v>
      </c>
      <c r="H3810" s="1" t="str">
        <f t="shared" ref="H3810:H3819" si="1886">"无"</f>
        <v>无</v>
      </c>
      <c r="I3810" s="1" t="str">
        <f>"201909-202207安阳学院航空工程学院机电一体化技术专业就读 是全日制学历
202207-至今在家待业"</f>
        <v>201909-202207安阳学院航空工程学院机电一体化技术专业就读 是全日制学历
202207-至今在家待业</v>
      </c>
    </row>
    <row r="3811" spans="1:9">
      <c r="A3811" s="1" t="str">
        <f>"411327199810283124"</f>
        <v>411327199810283124</v>
      </c>
      <c r="B3811" s="1" t="str">
        <f>"共青团员"</f>
        <v>共青团员</v>
      </c>
      <c r="C3811" s="1" t="str">
        <f t="shared" ref="C3811:C3814" si="1887">"本科"</f>
        <v>本科</v>
      </c>
      <c r="D3811" s="1" t="str">
        <f>"20200701"</f>
        <v>20200701</v>
      </c>
      <c r="E3811" s="1" t="str">
        <f>"河南师范大学"</f>
        <v>河南师范大学</v>
      </c>
      <c r="F3811" s="1" t="str">
        <f>"会计学"</f>
        <v>会计学</v>
      </c>
      <c r="G3811" s="1" t="str">
        <f>"河南省南阳市内乡县夏馆镇湍源村油坊组233号"</f>
        <v>河南省南阳市内乡县夏馆镇湍源村油坊组233号</v>
      </c>
      <c r="H3811" s="1" t="str">
        <f t="shared" si="1886"/>
        <v>无</v>
      </c>
      <c r="I3811" s="1" t="str">
        <f>"201609-202007 河南师范大学就读
202007-202107 待业
202107-至今 中国建设银行内乡支行"</f>
        <v>201609-202007 河南师范大学就读
202007-202107 待业
202107-至今 中国建设银行内乡支行</v>
      </c>
    </row>
    <row r="3812" spans="1:9">
      <c r="A3812" s="1" t="str">
        <f>"410423199006232544"</f>
        <v>410423199006232544</v>
      </c>
      <c r="B3812" s="1" t="str">
        <f t="shared" si="1884"/>
        <v>群众</v>
      </c>
      <c r="C3812" s="1" t="str">
        <f t="shared" si="1887"/>
        <v>本科</v>
      </c>
      <c r="D3812" s="1" t="str">
        <f>"20160701"</f>
        <v>20160701</v>
      </c>
      <c r="E3812" s="1" t="str">
        <f>"安阳师范学院"</f>
        <v>安阳师范学院</v>
      </c>
      <c r="F3812" s="1" t="str">
        <f>"国际经济与贸易"</f>
        <v>国际经济与贸易</v>
      </c>
      <c r="G3812" s="1" t="str">
        <f>"河南省郑州市新郑市新村镇"</f>
        <v>河南省郑州市新郑市新村镇</v>
      </c>
      <c r="H3812" s="1" t="str">
        <f>"会计从业资格证"</f>
        <v>会计从业资格证</v>
      </c>
      <c r="I3812" s="1" t="str">
        <f>"201209-201607 安阳师范学院学校（经济系：国际经济与贸易专业 是全日制学历） 就读"</f>
        <v>201209-201607 安阳师范学院学校（经济系：国际经济与贸易专业 是全日制学历） 就读</v>
      </c>
    </row>
    <row r="3813" spans="1:9">
      <c r="A3813" s="1" t="str">
        <f>"411325200203112537"</f>
        <v>411325200203112537</v>
      </c>
      <c r="B3813" s="1" t="str">
        <f t="shared" si="1884"/>
        <v>群众</v>
      </c>
      <c r="C3813" s="1" t="str">
        <f t="shared" si="1885"/>
        <v>专科</v>
      </c>
      <c r="D3813" s="1" t="str">
        <f>"20220701"</f>
        <v>20220701</v>
      </c>
      <c r="E3813" s="1" t="str">
        <f>"商丘职业技术学院"</f>
        <v>商丘职业技术学院</v>
      </c>
      <c r="F3813" s="1" t="str">
        <f>"软件技术(学制两年)"</f>
        <v>软件技术(学制两年)</v>
      </c>
      <c r="G3813" s="1" t="str">
        <f>"河南省内乡县财富广场"</f>
        <v>河南省内乡县财富广场</v>
      </c>
      <c r="H3813" s="1" t="str">
        <f t="shared" si="1886"/>
        <v>无</v>
      </c>
      <c r="I3813" s="1" t="str">
        <f>"20200901-20220701 商丘职业技术学院 就读 软件技术专业 全日制专科
"</f>
        <v>20200901-20220701 商丘职业技术学院 就读 软件技术专业 全日制专科
</v>
      </c>
    </row>
    <row r="3814" spans="1:9">
      <c r="A3814" s="1" t="str">
        <f>"410329200112069654"</f>
        <v>410329200112069654</v>
      </c>
      <c r="B3814" s="1" t="str">
        <f>"中共党员"</f>
        <v>中共党员</v>
      </c>
      <c r="C3814" s="1" t="str">
        <f t="shared" si="1887"/>
        <v>本科</v>
      </c>
      <c r="D3814" s="1" t="str">
        <f>"20250701"</f>
        <v>20250701</v>
      </c>
      <c r="E3814" s="1" t="str">
        <f>"河南师范大学"</f>
        <v>河南师范大学</v>
      </c>
      <c r="F3814" s="1" t="str">
        <f>"教育技术学"</f>
        <v>教育技术学</v>
      </c>
      <c r="G3814" s="1" t="str">
        <f>"河南省伊川县江左镇上王村"</f>
        <v>河南省伊川县江左镇上王村</v>
      </c>
      <c r="H3814" s="1" t="str">
        <f t="shared" si="1886"/>
        <v>无</v>
      </c>
      <c r="I3814" s="1" t="str">
        <f>"202109-202507 河南师范大学就读，在河南师范大学教育学部教育技术学专业进行学习，是全日制学历"</f>
        <v>202109-202507 河南师范大学就读，在河南师范大学教育学部教育技术学专业进行学习，是全日制学历</v>
      </c>
    </row>
    <row r="3815" spans="1:9">
      <c r="A3815" s="1" t="str">
        <f>"411381199208153595"</f>
        <v>411381199208153595</v>
      </c>
      <c r="B3815" s="1" t="str">
        <f>"群众"</f>
        <v>群众</v>
      </c>
      <c r="C3815" s="1" t="str">
        <f>"专科"</f>
        <v>专科</v>
      </c>
      <c r="D3815" s="1" t="str">
        <f>"2013-06-07"</f>
        <v>2013-06-07</v>
      </c>
      <c r="E3815" s="1" t="str">
        <f>"郑州铁路职业技术学院"</f>
        <v>郑州铁路职业技术学院</v>
      </c>
      <c r="F3815" s="1" t="str">
        <f>"会计电算化"</f>
        <v>会计电算化</v>
      </c>
      <c r="G3815" s="1" t="str">
        <f>"内乡县维多利亚小区6B二单元1楼"</f>
        <v>内乡县维多利亚小区6B二单元1楼</v>
      </c>
      <c r="H3815" s="1" t="str">
        <f t="shared" si="1886"/>
        <v>无</v>
      </c>
      <c r="I3815" s="1" t="str">
        <f>"201109-201306 郑州铁路职业技术学院就读会计电算化专业，全日制管理"</f>
        <v>201109-201306 郑州铁路职业技术学院就读会计电算化专业，全日制管理</v>
      </c>
    </row>
    <row r="3816" spans="1:9">
      <c r="A3816" s="1" t="str">
        <f>"412827199107025025"</f>
        <v>412827199107025025</v>
      </c>
      <c r="B3816" s="1" t="str">
        <f>"中共党员"</f>
        <v>中共党员</v>
      </c>
      <c r="C3816" s="1" t="str">
        <f>"硕士研究生"</f>
        <v>硕士研究生</v>
      </c>
      <c r="D3816" s="1" t="str">
        <f>"20190701"</f>
        <v>20190701</v>
      </c>
      <c r="E3816" s="1" t="str">
        <f>"河南农业大学"</f>
        <v>河南农业大学</v>
      </c>
      <c r="F3816" s="1" t="str">
        <f>"会计专硕"</f>
        <v>会计专硕</v>
      </c>
      <c r="G3816" s="1" t="str">
        <f>"河南省平舆县龙湖美景"</f>
        <v>河南省平舆县龙湖美景</v>
      </c>
      <c r="H3816" s="1" t="str">
        <f t="shared" si="1886"/>
        <v>无</v>
      </c>
      <c r="I3816" s="1" t="str">
        <f>"201309-201707  河南农业大学就读   国际教育学院 全日制
201709-201907  河南农业大学就读   经济与管理学院   会计
"</f>
        <v>201309-201707  河南农业大学就读   国际教育学院 全日制
201709-201907  河南农业大学就读   经济与管理学院   会计
</v>
      </c>
    </row>
    <row r="3817" spans="1:9">
      <c r="A3817" s="1" t="str">
        <f>"411327199706093742"</f>
        <v>411327199706093742</v>
      </c>
      <c r="B3817" s="1" t="str">
        <f t="shared" ref="B3817:B3821" si="1888">"共青团员"</f>
        <v>共青团员</v>
      </c>
      <c r="C3817" s="1" t="str">
        <f t="shared" ref="C3817:C3827" si="1889">"本科"</f>
        <v>本科</v>
      </c>
      <c r="D3817" s="1" t="str">
        <f>"20210701"</f>
        <v>20210701</v>
      </c>
      <c r="E3817" s="1" t="str">
        <f>"平顶山学院"</f>
        <v>平顶山学院</v>
      </c>
      <c r="F3817" s="1" t="str">
        <f>"小学教育"</f>
        <v>小学教育</v>
      </c>
      <c r="G3817" s="1" t="str">
        <f>"内乡县酸枣园实验幼儿园"</f>
        <v>内乡县酸枣园实验幼儿园</v>
      </c>
      <c r="H3817" s="1" t="str">
        <f t="shared" si="1886"/>
        <v>无</v>
      </c>
      <c r="I3817" s="1" t="str">
        <f>"201509-201807  平顶山工业职业技术学院就读  全日制专科
201903-202107  平顶山学院                               非全日制本科
201902-至今        内乡郦都学校"</f>
        <v>201509-201807  平顶山工业职业技术学院就读  全日制专科
201903-202107  平顶山学院                               非全日制本科
201902-至今        内乡郦都学校</v>
      </c>
    </row>
    <row r="3818" spans="1:9">
      <c r="A3818" s="1" t="str">
        <f>"410322199104011823"</f>
        <v>410322199104011823</v>
      </c>
      <c r="B3818" s="1" t="str">
        <f t="shared" ref="B3818:B3823" si="1890">"群众"</f>
        <v>群众</v>
      </c>
      <c r="C3818" s="1" t="str">
        <f t="shared" si="1889"/>
        <v>本科</v>
      </c>
      <c r="D3818" s="1" t="str">
        <f>"20140701"</f>
        <v>20140701</v>
      </c>
      <c r="E3818" s="1" t="str">
        <f>"安阳师范学院人文管理学院"</f>
        <v>安阳师范学院人文管理学院</v>
      </c>
      <c r="F3818" s="1" t="str">
        <f>"国际经济与贸易"</f>
        <v>国际经济与贸易</v>
      </c>
      <c r="G3818" s="1" t="str">
        <f>"河南省洛阳市涧西区龙鳞路与联盟路交叉口龙四社区"</f>
        <v>河南省洛阳市涧西区龙鳞路与联盟路交叉口龙四社区</v>
      </c>
      <c r="H3818" s="1" t="str">
        <f t="shared" si="1886"/>
        <v>无</v>
      </c>
      <c r="I3818" s="1" t="str">
        <f>"201009—201407，安阳师范学院人文管理学院就读，经管系，国际经济与贸易专业，全日制本科。
待业至今"</f>
        <v>201009—201407，安阳师范学院人文管理学院就读，经管系，国际经济与贸易专业，全日制本科。
待业至今</v>
      </c>
    </row>
    <row r="3819" spans="1:9">
      <c r="A3819" s="1" t="str">
        <f>"411302200106191830"</f>
        <v>411302200106191830</v>
      </c>
      <c r="B3819" s="1" t="str">
        <f t="shared" si="1888"/>
        <v>共青团员</v>
      </c>
      <c r="C3819" s="1" t="str">
        <f t="shared" si="1889"/>
        <v>本科</v>
      </c>
      <c r="D3819" s="1" t="str">
        <f>"20230630"</f>
        <v>20230630</v>
      </c>
      <c r="E3819" s="1" t="str">
        <f>"郑州大学"</f>
        <v>郑州大学</v>
      </c>
      <c r="F3819" s="1" t="str">
        <f>"金融数学"</f>
        <v>金融数学</v>
      </c>
      <c r="G3819" s="1" t="str">
        <f>"河南省南阳市宛城区农业技术推广中心"</f>
        <v>河南省南阳市宛城区农业技术推广中心</v>
      </c>
      <c r="H3819" s="1" t="str">
        <f t="shared" si="1886"/>
        <v>无</v>
      </c>
      <c r="I3819" s="1" t="str">
        <f>"201909-202306 郑州大学国际学院金融数学专业就读，是全日制学历
202306-202507 在南阳待业"</f>
        <v>201909-202306 郑州大学国际学院金融数学专业就读，是全日制学历
202306-202507 在南阳待业</v>
      </c>
    </row>
    <row r="3820" ht="135" spans="1:9">
      <c r="A3820" s="1" t="str">
        <f>"422822199207270028"</f>
        <v>422822199207270028</v>
      </c>
      <c r="B3820" s="1" t="str">
        <f>"中共党员"</f>
        <v>中共党员</v>
      </c>
      <c r="C3820" s="1" t="str">
        <f t="shared" si="1889"/>
        <v>本科</v>
      </c>
      <c r="D3820" s="1" t="str">
        <f>"20150701"</f>
        <v>20150701</v>
      </c>
      <c r="E3820" s="1" t="str">
        <f>"武汉科技大学"</f>
        <v>武汉科技大学</v>
      </c>
      <c r="F3820" s="1" t="str">
        <f>"计算机科学与技术"</f>
        <v>计算机科学与技术</v>
      </c>
      <c r="G3820" s="1" t="str">
        <f>"湖北省恩施州建始县业州镇南山路48号"</f>
        <v>湖北省恩施州建始县业州镇南山路48号</v>
      </c>
      <c r="H3820" s="1" t="str">
        <f>"社会工作师资格证"</f>
        <v>社会工作师资格证</v>
      </c>
      <c r="I3820" s="3" t="s">
        <v>269</v>
      </c>
    </row>
    <row r="3821" spans="1:9">
      <c r="A3821" s="1" t="str">
        <f>"410324199310232224"</f>
        <v>410324199310232224</v>
      </c>
      <c r="B3821" s="1" t="str">
        <f t="shared" si="1888"/>
        <v>共青团员</v>
      </c>
      <c r="C3821" s="1" t="str">
        <f t="shared" si="1889"/>
        <v>本科</v>
      </c>
      <c r="D3821" s="1" t="str">
        <f>"20200701"</f>
        <v>20200701</v>
      </c>
      <c r="E3821" s="1" t="str">
        <f>"信阳师范学院"</f>
        <v>信阳师范学院</v>
      </c>
      <c r="F3821" s="1" t="str">
        <f>"会计学"</f>
        <v>会计学</v>
      </c>
      <c r="G3821" s="1" t="str">
        <f>"河南省洛阳市栾川县栾川乡西河村六组"</f>
        <v>河南省洛阳市栾川县栾川乡西河村六组</v>
      </c>
      <c r="H3821" s="1" t="str">
        <f t="shared" ref="H3821:H3827" si="1891">"无"</f>
        <v>无</v>
      </c>
      <c r="I3821" s="1" t="str">
        <f>"201309-201607 与焦作大学 经济管理学院旅游管理专业就读全日制
201607-201803  与家中待业
201803-202007 与信阳师范学院 会计学专业就读非全日制
202007-202207 与栾川县方寸小学代课
202207-202507  与家待业"</f>
        <v>201309-201607 与焦作大学 经济管理学院旅游管理专业就读全日制
201607-201803  与家中待业
201803-202007 与信阳师范学院 会计学专业就读非全日制
202007-202207 与栾川县方寸小学代课
202207-202507  与家待业</v>
      </c>
    </row>
    <row r="3822" spans="1:9">
      <c r="A3822" s="1" t="str">
        <f>"411327200011060317"</f>
        <v>411327200011060317</v>
      </c>
      <c r="B3822" s="1" t="str">
        <f t="shared" si="1890"/>
        <v>群众</v>
      </c>
      <c r="C3822" s="1" t="str">
        <f t="shared" si="1889"/>
        <v>本科</v>
      </c>
      <c r="D3822" s="1" t="str">
        <f>"2024-06-01"</f>
        <v>2024-06-01</v>
      </c>
      <c r="E3822" s="1" t="str">
        <f>"商丘学院"</f>
        <v>商丘学院</v>
      </c>
      <c r="F3822" s="1" t="str">
        <f>"城乡规划"</f>
        <v>城乡规划</v>
      </c>
      <c r="G3822" s="1" t="str">
        <f>"河南省南阳市内乡县大桥乡谢营村"</f>
        <v>河南省南阳市内乡县大桥乡谢营村</v>
      </c>
      <c r="H3822" s="1" t="str">
        <f t="shared" si="1891"/>
        <v>无</v>
      </c>
      <c r="I3822" s="1" t="str">
        <f>"201909-202206三门峡职业技术学院  建筑工程学院   建筑工程技术专业
202209-202406商丘学院   风景园林与建筑学院  城乡规划专业"</f>
        <v>201909-202206三门峡职业技术学院  建筑工程学院   建筑工程技术专业
202209-202406商丘学院   风景园林与建筑学院  城乡规划专业</v>
      </c>
    </row>
    <row r="3823" spans="1:9">
      <c r="A3823" s="1" t="str">
        <f>"411327199604114231"</f>
        <v>411327199604114231</v>
      </c>
      <c r="B3823" s="1" t="str">
        <f t="shared" si="1890"/>
        <v>群众</v>
      </c>
      <c r="C3823" s="1" t="str">
        <f t="shared" si="1889"/>
        <v>本科</v>
      </c>
      <c r="D3823" s="1" t="str">
        <f>"20160607"</f>
        <v>20160607</v>
      </c>
      <c r="E3823" s="1" t="str">
        <f>"黄淮学院"</f>
        <v>黄淮学院</v>
      </c>
      <c r="F3823" s="1" t="str">
        <f>"网络工程"</f>
        <v>网络工程</v>
      </c>
      <c r="G3823" s="1" t="str">
        <f>"河南省内乡县城关镇建业森林半岛2期8号楼202"</f>
        <v>河南省内乡县城关镇建业森林半岛2期8号楼202</v>
      </c>
      <c r="H3823" s="1" t="str">
        <f t="shared" si="1891"/>
        <v>无</v>
      </c>
      <c r="I3823" s="1" t="str">
        <f>"201209-201606 黄淮学院 网络工程专业就读，全日制学历"</f>
        <v>201209-201606 黄淮学院 网络工程专业就读，全日制学历</v>
      </c>
    </row>
    <row r="3824" spans="1:9">
      <c r="A3824" s="1" t="str">
        <f>"411327199911260087"</f>
        <v>411327199911260087</v>
      </c>
      <c r="B3824" s="1" t="str">
        <f>"共青团员"</f>
        <v>共青团员</v>
      </c>
      <c r="C3824" s="1" t="str">
        <f t="shared" si="1889"/>
        <v>本科</v>
      </c>
      <c r="D3824" s="1" t="str">
        <f>"2021-07-01"</f>
        <v>2021-07-01</v>
      </c>
      <c r="E3824" s="1" t="str">
        <f>"延安大学西安创新学院"</f>
        <v>延安大学西安创新学院</v>
      </c>
      <c r="F3824" s="1" t="str">
        <f>"环境设计"</f>
        <v>环境设计</v>
      </c>
      <c r="G3824" s="1" t="str">
        <f>"河南省南阳市内乡县城关镇湍北组12号"</f>
        <v>河南省南阳市内乡县城关镇湍北组12号</v>
      </c>
      <c r="H3824" s="1" t="str">
        <f t="shared" si="1891"/>
        <v>无</v>
      </c>
      <c r="I3824" s="1" t="str">
        <f>"2017.09.01-2021.07.01于延安大学西安创新学院 环境设计专业 就读，全日制学历。
2021.07.01至今待业。"</f>
        <v>2017.09.01-2021.07.01于延安大学西安创新学院 环境设计专业 就读，全日制学历。
2021.07.01至今待业。</v>
      </c>
    </row>
    <row r="3825" spans="1:9">
      <c r="A3825" s="1" t="str">
        <f>"411628200010224618"</f>
        <v>411628200010224618</v>
      </c>
      <c r="B3825" s="1" t="str">
        <f t="shared" ref="B3825:B3830" si="1892">"群众"</f>
        <v>群众</v>
      </c>
      <c r="C3825" s="1" t="str">
        <f t="shared" si="1889"/>
        <v>本科</v>
      </c>
      <c r="D3825" s="1" t="str">
        <f>"2023-07-01"</f>
        <v>2023-07-01</v>
      </c>
      <c r="E3825" s="1" t="str">
        <f>"安阳学院"</f>
        <v>安阳学院</v>
      </c>
      <c r="F3825" s="1" t="str">
        <f>"市场营销"</f>
        <v>市场营销</v>
      </c>
      <c r="G3825" s="1" t="str">
        <f>"河南省郑州市管城回族区紫荆山南路南刘庄新区二号院3栋2单元2001"</f>
        <v>河南省郑州市管城回族区紫荆山南路南刘庄新区二号院3栋2单元2001</v>
      </c>
      <c r="H3825" s="1" t="str">
        <f t="shared" si="1891"/>
        <v>无</v>
      </c>
      <c r="I3825" s="1" t="str">
        <f>"201809-202107 郑州西亚斯国际学院 商学院 会计 专业就读 全日制专科
202109-202307 安阳学院 经济与管理学院 市场营销专业 全日制专升本
202308-至今 郑州管城区待业"</f>
        <v>201809-202107 郑州西亚斯国际学院 商学院 会计 专业就读 全日制专科
202109-202307 安阳学院 经济与管理学院 市场营销专业 全日制专升本
202308-至今 郑州管城区待业</v>
      </c>
    </row>
    <row r="3826" spans="1:9">
      <c r="A3826" s="1" t="str">
        <f>"411327199511121125"</f>
        <v>411327199511121125</v>
      </c>
      <c r="B3826" s="1" t="str">
        <f>"中共党员"</f>
        <v>中共党员</v>
      </c>
      <c r="C3826" s="1" t="str">
        <f t="shared" si="1889"/>
        <v>本科</v>
      </c>
      <c r="D3826" s="1" t="str">
        <f>"20180620"</f>
        <v>20180620</v>
      </c>
      <c r="E3826" s="1" t="str">
        <f>"河南大学"</f>
        <v>河南大学</v>
      </c>
      <c r="F3826" s="1" t="str">
        <f>"环境科学"</f>
        <v>环境科学</v>
      </c>
      <c r="G3826" s="1" t="str">
        <f>"河南省南阳市内乡县湍东镇六棵松二期"</f>
        <v>河南省南阳市内乡县湍东镇六棵松二期</v>
      </c>
      <c r="H3826" s="1" t="str">
        <f t="shared" si="1891"/>
        <v>无</v>
      </c>
      <c r="I3826" s="1" t="str">
        <f>"201409-201806在河南大学地理与环境学院（原环境与规划学院）环境科学专业就读，是全日制学历
201806-201902在河南省开封市待业
201902-201906河南华助环保科技有限公司职员
201906-202306牧原食品股份有限公司职员
202306-至今南阳泰诺企业服务有限公司职员"</f>
        <v>201409-201806在河南大学地理与环境学院（原环境与规划学院）环境科学专业就读，是全日制学历
201806-201902在河南省开封市待业
201902-201906河南华助环保科技有限公司职员
201906-202306牧原食品股份有限公司职员
202306-至今南阳泰诺企业服务有限公司职员</v>
      </c>
    </row>
    <row r="3827" spans="1:9">
      <c r="A3827" s="1" t="str">
        <f>"411324200202033443"</f>
        <v>411324200202033443</v>
      </c>
      <c r="B3827" s="1" t="str">
        <f>"中共预备党员"</f>
        <v>中共预备党员</v>
      </c>
      <c r="C3827" s="1" t="str">
        <f t="shared" si="1889"/>
        <v>本科</v>
      </c>
      <c r="D3827" s="1" t="str">
        <f>"20250620"</f>
        <v>20250620</v>
      </c>
      <c r="E3827" s="1" t="str">
        <f>"洛阳师范学院"</f>
        <v>洛阳师范学院</v>
      </c>
      <c r="F3827" s="1" t="str">
        <f>"学前教育"</f>
        <v>学前教育</v>
      </c>
      <c r="G3827" s="1" t="str">
        <f>"河南省南阳市镇平县贾宋镇"</f>
        <v>河南省南阳市镇平县贾宋镇</v>
      </c>
      <c r="H3827" s="1" t="str">
        <f t="shared" si="1891"/>
        <v>无</v>
      </c>
      <c r="I3827" s="1" t="str">
        <f>"202109-202506 洛阳师范学院学前教育学院学前教育专业 就读"</f>
        <v>202109-202506 洛阳师范学院学前教育学院学前教育专业 就读</v>
      </c>
    </row>
    <row r="3828" spans="1:9">
      <c r="A3828" s="1" t="str">
        <f>"411325200310112583"</f>
        <v>411325200310112583</v>
      </c>
      <c r="B3828" s="1" t="str">
        <f t="shared" si="1892"/>
        <v>群众</v>
      </c>
      <c r="C3828" s="1" t="str">
        <f>"专科"</f>
        <v>专科</v>
      </c>
      <c r="D3828" s="1" t="str">
        <f>"2025年7月1日"</f>
        <v>2025年7月1日</v>
      </c>
      <c r="E3828" s="1" t="str">
        <f>"郑州旅游职业学院"</f>
        <v>郑州旅游职业学院</v>
      </c>
      <c r="F3828" s="1" t="str">
        <f>"现代物流管理（保税物流）"</f>
        <v>现代物流管理（保税物流）</v>
      </c>
      <c r="G3828" s="1" t="str">
        <f>"河南省南阳市内乡县"</f>
        <v>河南省南阳市内乡县</v>
      </c>
      <c r="H3828" s="1" t="str">
        <f>"物流管理职业技能证书（中级）"</f>
        <v>物流管理职业技能证书（中级）</v>
      </c>
      <c r="I3828" s="1" t="str">
        <f>"2022109-202507在郑州旅游职业学院国际工商学院保税物流管理就读，是全日制学历"</f>
        <v>2022109-202507在郑州旅游职业学院国际工商学院保税物流管理就读，是全日制学历</v>
      </c>
    </row>
    <row r="3829" spans="1:9">
      <c r="A3829" s="1" t="str">
        <f>"410521199510113520"</f>
        <v>410521199510113520</v>
      </c>
      <c r="B3829" s="1" t="str">
        <f t="shared" si="1892"/>
        <v>群众</v>
      </c>
      <c r="C3829" s="1" t="str">
        <f>"硕士研究生"</f>
        <v>硕士研究生</v>
      </c>
      <c r="D3829" s="1" t="str">
        <f>"2024-06-20"</f>
        <v>2024-06-20</v>
      </c>
      <c r="E3829" s="1" t="str">
        <f>"吉林农业大学"</f>
        <v>吉林农业大学</v>
      </c>
      <c r="F3829" s="1" t="str">
        <f>"生物化学与分子生物学"</f>
        <v>生物化学与分子生物学</v>
      </c>
      <c r="G3829" s="1" t="str">
        <f>"河南省安阳市林州市临淇镇北河村"</f>
        <v>河南省安阳市林州市临淇镇北河村</v>
      </c>
      <c r="H3829" s="1" t="str">
        <f t="shared" ref="H3829:H3839" si="1893">"无"</f>
        <v>无</v>
      </c>
      <c r="I3829" s="1" t="str">
        <f>"201509-201906	河南科技学院 生命科学学院 生物技术 全日制
201907-202108	待业考研
202109-202406	吉林农业大学 生命科学学院 生物化学与分子生物学 全日制"</f>
        <v>201509-201906	河南科技学院 生命科学学院 生物技术 全日制
201907-202108	待业考研
202109-202406	吉林农业大学 生命科学学院 生物化学与分子生物学 全日制</v>
      </c>
    </row>
    <row r="3830" spans="1:9">
      <c r="A3830" s="1" t="str">
        <f>"411327200202161137"</f>
        <v>411327200202161137</v>
      </c>
      <c r="B3830" s="1" t="str">
        <f t="shared" si="1892"/>
        <v>群众</v>
      </c>
      <c r="C3830" s="1" t="str">
        <f t="shared" ref="C3830:C3833" si="1894">"本科"</f>
        <v>本科</v>
      </c>
      <c r="D3830" s="1" t="str">
        <f>"20250607"</f>
        <v>20250607</v>
      </c>
      <c r="E3830" s="1" t="str">
        <f>"黄河科技学院"</f>
        <v>黄河科技学院</v>
      </c>
      <c r="F3830" s="1" t="str">
        <f>"软件工程"</f>
        <v>软件工程</v>
      </c>
      <c r="G3830" s="1" t="str">
        <f>"河南省内乡县赤眉镇朱陈村"</f>
        <v>河南省内乡县赤眉镇朱陈村</v>
      </c>
      <c r="H3830" s="1" t="str">
        <f>"软件测试开发员"</f>
        <v>软件测试开发员</v>
      </c>
      <c r="I3830" s="1" t="str">
        <f>"202309-202506 黄河科技学院 工学部 软件工程 全日制本科"</f>
        <v>202309-202506 黄河科技学院 工学部 软件工程 全日制本科</v>
      </c>
    </row>
    <row r="3831" spans="1:9">
      <c r="A3831" s="1" t="str">
        <f>"41132719970922201X"</f>
        <v>41132719970922201X</v>
      </c>
      <c r="B3831" s="1" t="str">
        <f>"共青团员"</f>
        <v>共青团员</v>
      </c>
      <c r="C3831" s="1" t="str">
        <f t="shared" si="1894"/>
        <v>本科</v>
      </c>
      <c r="D3831" s="1" t="str">
        <f>"20200605"</f>
        <v>20200605</v>
      </c>
      <c r="E3831" s="1" t="str">
        <f>"上海师范大学"</f>
        <v>上海师范大学</v>
      </c>
      <c r="F3831" s="1" t="str">
        <f>"物理学"</f>
        <v>物理学</v>
      </c>
      <c r="G3831" s="1" t="str">
        <f>"河南省南阳市内乡县建业森林半岛16栋"</f>
        <v>河南省南阳市内乡县建业森林半岛16栋</v>
      </c>
      <c r="H3831" s="1" t="str">
        <f t="shared" si="1893"/>
        <v>无</v>
      </c>
      <c r="I3831" s="1" t="str">
        <f>"201609-202006 上海师范大学就读数理学院物理学专业，全日制学历；
202009-202209 中国人民解放军32518部队 义务兵
202209-202306 内乡县待业
202306-202405上海一寺君亩智能科技有限公司工作；
202407-202504 内乡县菊潭初中工作
202504-至今      内乡县待业"</f>
        <v>201609-202006 上海师范大学就读数理学院物理学专业，全日制学历；
202009-202209 中国人民解放军32518部队 义务兵
202209-202306 内乡县待业
202306-202405上海一寺君亩智能科技有限公司工作；
202407-202504 内乡县菊潭初中工作
202504-至今      内乡县待业</v>
      </c>
    </row>
    <row r="3832" spans="1:9">
      <c r="A3832" s="1" t="str">
        <f>"62062220020709081X"</f>
        <v>62062220020709081X</v>
      </c>
      <c r="B3832" s="1" t="str">
        <f t="shared" ref="B3832:B3834" si="1895">"群众"</f>
        <v>群众</v>
      </c>
      <c r="C3832" s="1" t="str">
        <f t="shared" si="1894"/>
        <v>本科</v>
      </c>
      <c r="D3832" s="1" t="str">
        <f>"2024年6月20日"</f>
        <v>2024年6月20日</v>
      </c>
      <c r="E3832" s="1" t="str">
        <f>"河西学院"</f>
        <v>河西学院</v>
      </c>
      <c r="F3832" s="1" t="str">
        <f>"应用化学"</f>
        <v>应用化学</v>
      </c>
      <c r="G3832" s="1" t="str">
        <f>"甘肃省武威市古浪县大靖镇"</f>
        <v>甘肃省武威市古浪县大靖镇</v>
      </c>
      <c r="H3832" s="1" t="str">
        <f t="shared" si="1893"/>
        <v>无</v>
      </c>
      <c r="I3832" s="1" t="str">
        <f>"202009-202406 河西学院 化学化工学院应用化学专业就读 全日制本科"</f>
        <v>202009-202406 河西学院 化学化工学院应用化学专业就读 全日制本科</v>
      </c>
    </row>
    <row r="3833" spans="1:9">
      <c r="A3833" s="1" t="str">
        <f>"411327200303300028"</f>
        <v>411327200303300028</v>
      </c>
      <c r="B3833" s="1" t="str">
        <f t="shared" si="1895"/>
        <v>群众</v>
      </c>
      <c r="C3833" s="1" t="str">
        <f t="shared" si="1894"/>
        <v>本科</v>
      </c>
      <c r="D3833" s="1" t="str">
        <f>"20250612"</f>
        <v>20250612</v>
      </c>
      <c r="E3833" s="1" t="str">
        <f>"怀化学院"</f>
        <v>怀化学院</v>
      </c>
      <c r="F3833" s="1" t="str">
        <f>"美术学（师范）"</f>
        <v>美术学（师范）</v>
      </c>
      <c r="G3833" s="1" t="str">
        <f>"河南省南阳市内乡县城关镇南园村南园南路23号"</f>
        <v>河南省南阳市内乡县城关镇南园村南园南路23号</v>
      </c>
      <c r="H3833" s="1" t="str">
        <f t="shared" si="1893"/>
        <v>无</v>
      </c>
      <c r="I3833" s="1" t="str">
        <f>"202109-202506怀化学院美术与设计艺术学院美术学（师范）专业就读，全日制学历"</f>
        <v>202109-202506怀化学院美术与设计艺术学院美术学（师范）专业就读，全日制学历</v>
      </c>
    </row>
    <row r="3834" spans="1:9">
      <c r="A3834" s="1" t="str">
        <f>"411326200007281524"</f>
        <v>411326200007281524</v>
      </c>
      <c r="B3834" s="1" t="str">
        <f t="shared" si="1895"/>
        <v>群众</v>
      </c>
      <c r="C3834" s="1" t="str">
        <f>"专科"</f>
        <v>专科</v>
      </c>
      <c r="D3834" s="1" t="str">
        <f>"20220701"</f>
        <v>20220701</v>
      </c>
      <c r="E3834" s="1" t="str">
        <f>"商丘学院"</f>
        <v>商丘学院</v>
      </c>
      <c r="F3834" s="1" t="str">
        <f>"电子商务"</f>
        <v>电子商务</v>
      </c>
      <c r="G3834" s="1" t="str">
        <f>"河南省南阳市南召县"</f>
        <v>河南省南阳市南召县</v>
      </c>
      <c r="H3834" s="1" t="str">
        <f t="shared" si="1893"/>
        <v>无</v>
      </c>
      <c r="I3834" s="1" t="str">
        <f>"201909-202207在商丘学院管理学院电子商务就读"</f>
        <v>201909-202207在商丘学院管理学院电子商务就读</v>
      </c>
    </row>
    <row r="3835" spans="1:9">
      <c r="A3835" s="1" t="str">
        <f>"41152320001223242X"</f>
        <v>41152320001223242X</v>
      </c>
      <c r="B3835" s="1" t="str">
        <f>"中共党员"</f>
        <v>中共党员</v>
      </c>
      <c r="C3835" s="1" t="str">
        <f t="shared" ref="C3835:C3841" si="1896">"本科"</f>
        <v>本科</v>
      </c>
      <c r="D3835" s="1" t="str">
        <f>"20240701"</f>
        <v>20240701</v>
      </c>
      <c r="E3835" s="1" t="str">
        <f>"河南科技职业大学"</f>
        <v>河南科技职业大学</v>
      </c>
      <c r="F3835" s="1" t="str">
        <f>"计算机应用工程"</f>
        <v>计算机应用工程</v>
      </c>
      <c r="G3835" s="1" t="str">
        <f>"河南省新县千斤乡"</f>
        <v>河南省新县千斤乡</v>
      </c>
      <c r="H3835" s="1" t="str">
        <f t="shared" si="1893"/>
        <v>无</v>
      </c>
      <c r="I3835" s="1" t="str">
        <f>"202009-202407 在河南科技职业大学信息工程学院计算机应用工程专业 就读 是全日制学历
202408至今 在家备考"</f>
        <v>202009-202407 在河南科技职业大学信息工程学院计算机应用工程专业 就读 是全日制学历
202408至今 在家备考</v>
      </c>
    </row>
    <row r="3836" spans="1:9">
      <c r="A3836" s="1" t="str">
        <f>"411327199508200068"</f>
        <v>411327199508200068</v>
      </c>
      <c r="B3836" s="1" t="str">
        <f t="shared" ref="B3836:B3840" si="1897">"群众"</f>
        <v>群众</v>
      </c>
      <c r="C3836" s="1" t="str">
        <f>"专科"</f>
        <v>专科</v>
      </c>
      <c r="D3836" s="1" t="str">
        <f>"20170701"</f>
        <v>20170701</v>
      </c>
      <c r="E3836" s="1" t="str">
        <f>"河南林业职业学院"</f>
        <v>河南林业职业学院</v>
      </c>
      <c r="F3836" s="1" t="str">
        <f>"园林技术"</f>
        <v>园林技术</v>
      </c>
      <c r="G3836" s="1" t="str">
        <f>"河南省南阳市内乡县"</f>
        <v>河南省南阳市内乡县</v>
      </c>
      <c r="H3836" s="1" t="str">
        <f t="shared" si="1893"/>
        <v>无</v>
      </c>
      <c r="I3836" s="1" t="str">
        <f>"201409-201707 河南林业职业学院 就读。
201707-201910 在河南省南阳市内乡县待业
201910-至今 在内乡县乡村振兴局 为劳务合同"</f>
        <v>201409-201707 河南林业职业学院 就读。
201707-201910 在河南省南阳市内乡县待业
201910-至今 在内乡县乡村振兴局 为劳务合同</v>
      </c>
    </row>
    <row r="3837" spans="1:9">
      <c r="A3837" s="1" t="str">
        <f>"411524199904064717"</f>
        <v>411524199904064717</v>
      </c>
      <c r="B3837" s="1" t="str">
        <f t="shared" ref="B3837:B3842" si="1898">"共青团员"</f>
        <v>共青团员</v>
      </c>
      <c r="C3837" s="1" t="str">
        <f t="shared" si="1896"/>
        <v>本科</v>
      </c>
      <c r="D3837" s="1" t="str">
        <f>"2023年6月30日"</f>
        <v>2023年6月30日</v>
      </c>
      <c r="E3837" s="1" t="str">
        <f>"湖北大学"</f>
        <v>湖北大学</v>
      </c>
      <c r="F3837" s="1" t="str">
        <f>"行政管理"</f>
        <v>行政管理</v>
      </c>
      <c r="G3837" s="1" t="str">
        <f>"河南省信阳市"</f>
        <v>河南省信阳市</v>
      </c>
      <c r="H3837" s="1" t="str">
        <f t="shared" si="1893"/>
        <v>无</v>
      </c>
      <c r="I3837" s="1" t="str">
        <f>"201909-202306 湖北大学 行政管理  自考
202306-至今 商城县行政审批和政务信息管理局
"</f>
        <v>201909-202306 湖北大学 行政管理  自考
202306-至今 商城县行政审批和政务信息管理局
</v>
      </c>
    </row>
    <row r="3838" spans="1:9">
      <c r="A3838" s="1" t="str">
        <f>"360421200009090017"</f>
        <v>360421200009090017</v>
      </c>
      <c r="B3838" s="1" t="str">
        <f t="shared" si="1897"/>
        <v>群众</v>
      </c>
      <c r="C3838" s="1" t="str">
        <f t="shared" si="1896"/>
        <v>本科</v>
      </c>
      <c r="D3838" s="1" t="str">
        <f>"20230630"</f>
        <v>20230630</v>
      </c>
      <c r="E3838" s="1" t="str">
        <f>"新余学院"</f>
        <v>新余学院</v>
      </c>
      <c r="F3838" s="1" t="str">
        <f>"音乐学"</f>
        <v>音乐学</v>
      </c>
      <c r="G3838" s="1" t="str">
        <f>"江西省九江市柴桑区"</f>
        <v>江西省九江市柴桑区</v>
      </c>
      <c r="H3838" s="1" t="str">
        <f t="shared" si="1893"/>
        <v>无</v>
      </c>
      <c r="I3838" s="1" t="str">
        <f>"201909-202306 新余学院艺术学院音乐学专业就读，全日制学历；202306-202507 在江西省九江市柴桑区待业"</f>
        <v>201909-202306 新余学院艺术学院音乐学专业就读，全日制学历；202306-202507 在江西省九江市柴桑区待业</v>
      </c>
    </row>
    <row r="3839" spans="1:9">
      <c r="A3839" s="1" t="str">
        <f>"411323199804023419"</f>
        <v>411323199804023419</v>
      </c>
      <c r="B3839" s="1" t="str">
        <f>"中共党员"</f>
        <v>中共党员</v>
      </c>
      <c r="C3839" s="1" t="str">
        <f t="shared" si="1896"/>
        <v>本科</v>
      </c>
      <c r="D3839" s="1" t="str">
        <f>"20220701"</f>
        <v>20220701</v>
      </c>
      <c r="E3839" s="1" t="str">
        <f>"安阳工学院"</f>
        <v>安阳工学院</v>
      </c>
      <c r="F3839" s="1" t="str">
        <f>"工程管理"</f>
        <v>工程管理</v>
      </c>
      <c r="G3839" s="1" t="str">
        <f>"河南省南阳市淅川县大石桥乡大石桥村二组"</f>
        <v>河南省南阳市淅川县大石桥乡大石桥村二组</v>
      </c>
      <c r="H3839" s="1" t="str">
        <f t="shared" si="1893"/>
        <v>无</v>
      </c>
      <c r="I3839" s="1" t="str">
        <f>"201709-202007中原工学院国际教育学院建设工程管理专业就读，全日制学历；202009-202207安阳工学院土木与建筑工程学院工程管理专业就读，全日制学历；202209-至今淅川县大石桥乡待业。"</f>
        <v>201709-202007中原工学院国际教育学院建设工程管理专业就读，全日制学历；202009-202207安阳工学院土木与建筑工程学院工程管理专业就读，全日制学历；202209-至今淅川县大石桥乡待业。</v>
      </c>
    </row>
    <row r="3840" spans="1:9">
      <c r="A3840" s="1" t="str">
        <f>"411324200208231512"</f>
        <v>411324200208231512</v>
      </c>
      <c r="B3840" s="1" t="str">
        <f t="shared" si="1897"/>
        <v>群众</v>
      </c>
      <c r="C3840" s="1" t="str">
        <f t="shared" si="1896"/>
        <v>本科</v>
      </c>
      <c r="D3840" s="1" t="str">
        <f>"20240617"</f>
        <v>20240617</v>
      </c>
      <c r="E3840" s="1" t="str">
        <f>"郑州工商学院"</f>
        <v>郑州工商学院</v>
      </c>
      <c r="F3840" s="1" t="str">
        <f>"英语"</f>
        <v>英语</v>
      </c>
      <c r="G3840" s="1" t="str">
        <f>"河南省南阳市镇平县石佛寺镇赵湾村10组42号"</f>
        <v>河南省南阳市镇平县石佛寺镇赵湾村10组42号</v>
      </c>
      <c r="H3840" s="1" t="str">
        <f>"英语专业四级、专业八级"</f>
        <v>英语专业四级、专业八级</v>
      </c>
      <c r="I3840" s="1" t="str">
        <f>"202009-202407 郑州工商学院 就读
202411-202501 镇平县雪枫中学 任教"</f>
        <v>202009-202407 郑州工商学院 就读
202411-202501 镇平县雪枫中学 任教</v>
      </c>
    </row>
    <row r="3841" spans="1:9">
      <c r="A3841" s="1" t="str">
        <f>"411327200212030640"</f>
        <v>411327200212030640</v>
      </c>
      <c r="B3841" s="1" t="str">
        <f t="shared" si="1898"/>
        <v>共青团员</v>
      </c>
      <c r="C3841" s="1" t="str">
        <f t="shared" si="1896"/>
        <v>本科</v>
      </c>
      <c r="D3841" s="1" t="str">
        <f>"20240701"</f>
        <v>20240701</v>
      </c>
      <c r="E3841" s="1" t="str">
        <f>"南昌师范学院"</f>
        <v>南昌师范学院</v>
      </c>
      <c r="F3841" s="1" t="str">
        <f>"会展经济与管理"</f>
        <v>会展经济与管理</v>
      </c>
      <c r="G3841" s="1" t="str">
        <f>"河南省南阳市内乡县"</f>
        <v>河南省南阳市内乡县</v>
      </c>
      <c r="H3841" s="1" t="str">
        <f t="shared" ref="H3841:H3843" si="1899">"无"</f>
        <v>无</v>
      </c>
      <c r="I3841" s="1" t="str">
        <f>"202009-202407 在南昌师范学院旅游与经济管理学院会展经济与管理专业就读，为全日制本科学历。"</f>
        <v>202009-202407 在南昌师范学院旅游与经济管理学院会展经济与管理专业就读，为全日制本科学历。</v>
      </c>
    </row>
    <row r="3842" spans="1:9">
      <c r="A3842" s="1" t="str">
        <f>"411327200002202029"</f>
        <v>411327200002202029</v>
      </c>
      <c r="B3842" s="1" t="str">
        <f t="shared" si="1898"/>
        <v>共青团员</v>
      </c>
      <c r="C3842" s="1" t="str">
        <f>"硕士研究生"</f>
        <v>硕士研究生</v>
      </c>
      <c r="D3842" s="1" t="str">
        <f>"20250620"</f>
        <v>20250620</v>
      </c>
      <c r="E3842" s="1" t="str">
        <f>"长春工业大学"</f>
        <v>长春工业大学</v>
      </c>
      <c r="F3842" s="1" t="str">
        <f>"环境工程"</f>
        <v>环境工程</v>
      </c>
      <c r="G3842" s="1" t="str">
        <f>"河南省南阳市内乡县灵山路与新民路交叉口万事达小区"</f>
        <v>河南省南阳市内乡县灵山路与新民路交叉口万事达小区</v>
      </c>
      <c r="H3842" s="1" t="str">
        <f t="shared" si="1899"/>
        <v>无</v>
      </c>
      <c r="I3842" s="1" t="str">
        <f>"201809-202206  河南农业大学  资源与环境学院  环境生态工程  全日制
202209-202506  长春工业大学  化学工程学院      环境工程         全日制"</f>
        <v>201809-202206  河南农业大学  资源与环境学院  环境生态工程  全日制
202209-202506  长春工业大学  化学工程学院      环境工程         全日制</v>
      </c>
    </row>
    <row r="3843" spans="1:9">
      <c r="A3843" s="1" t="str">
        <f>"411327199411084515"</f>
        <v>411327199411084515</v>
      </c>
      <c r="B3843" s="1" t="str">
        <f>"群众"</f>
        <v>群众</v>
      </c>
      <c r="C3843" s="1" t="str">
        <f>"专科"</f>
        <v>专科</v>
      </c>
      <c r="D3843" s="1" t="str">
        <f>"2016.07"</f>
        <v>2016.07</v>
      </c>
      <c r="E3843" s="1" t="str">
        <f>"郑州升达经贸管理学院"</f>
        <v>郑州升达经贸管理学院</v>
      </c>
      <c r="F3843" s="1" t="str">
        <f>"会计电算化"</f>
        <v>会计电算化</v>
      </c>
      <c r="G3843" s="1" t="str">
        <f>"河南省南阳市内乡县七里河畔小区4号楼1单元7-1C"</f>
        <v>河南省南阳市内乡县七里河畔小区4号楼1单元7-1C</v>
      </c>
      <c r="H3843" s="1" t="str">
        <f t="shared" si="1899"/>
        <v>无</v>
      </c>
      <c r="I3843" s="1" t="str">
        <f>"2013.07-2016.07 就读于郑州升达经贸管理学院会计电算化专业
2016.09-2025.7   内乡县人民法院任职书记员"</f>
        <v>2013.07-2016.07 就读于郑州升达经贸管理学院会计电算化专业
2016.09-2025.7   内乡县人民法院任职书记员</v>
      </c>
    </row>
    <row r="3844" spans="1:9">
      <c r="A3844" s="1" t="str">
        <f>"411327200101290028"</f>
        <v>411327200101290028</v>
      </c>
      <c r="B3844" s="1" t="str">
        <f t="shared" ref="B3844:B3849" si="1900">"共青团员"</f>
        <v>共青团员</v>
      </c>
      <c r="C3844" s="1" t="str">
        <f t="shared" ref="C3844:C3847" si="1901">"本科"</f>
        <v>本科</v>
      </c>
      <c r="D3844" s="1" t="str">
        <f>"2024.06.06"</f>
        <v>2024.06.06</v>
      </c>
      <c r="E3844" s="1" t="str">
        <f>"河南大学民生学院"</f>
        <v>河南大学民生学院</v>
      </c>
      <c r="F3844" s="1" t="str">
        <f>"学前教育"</f>
        <v>学前教育</v>
      </c>
      <c r="G3844" s="1" t="str">
        <f>"河南省南阳市内乡县城关镇梨园山庄香樟园小区"</f>
        <v>河南省南阳市内乡县城关镇梨园山庄香樟园小区</v>
      </c>
      <c r="H3844" s="1" t="str">
        <f>"普通话证二级甲等"</f>
        <v>普通话证二级甲等</v>
      </c>
      <c r="I3844" s="1" t="str">
        <f>"201909-202206 河南师范大学新联学院 学前教育 全日制专科
202209-202406 河南大学民生学院        学前教育 全日制本科"</f>
        <v>201909-202206 河南师范大学新联学院 学前教育 全日制专科
202209-202406 河南大学民生学院        学前教育 全日制本科</v>
      </c>
    </row>
    <row r="3845" spans="1:9">
      <c r="A3845" s="1" t="str">
        <f>"41032419970408392X"</f>
        <v>41032419970408392X</v>
      </c>
      <c r="B3845" s="1" t="str">
        <f>"群众"</f>
        <v>群众</v>
      </c>
      <c r="C3845" s="1" t="str">
        <f t="shared" si="1901"/>
        <v>本科</v>
      </c>
      <c r="D3845" s="1" t="str">
        <f>"20200701"</f>
        <v>20200701</v>
      </c>
      <c r="E3845" s="1" t="str">
        <f>"信阳学院"</f>
        <v>信阳学院</v>
      </c>
      <c r="F3845" s="1" t="str">
        <f>"汉语言文学"</f>
        <v>汉语言文学</v>
      </c>
      <c r="G3845" s="1" t="str">
        <f>"河南省洛阳市栾川县赤土店镇郭店村柏树庄组"</f>
        <v>河南省洛阳市栾川县赤土店镇郭店村柏树庄组</v>
      </c>
      <c r="H3845" s="1" t="str">
        <f t="shared" ref="H3845:H3852" si="1902">"无"</f>
        <v>无</v>
      </c>
      <c r="I3845" s="1" t="str">
        <f>"201609-202007 信阳学院 汉语言文学 学生 全日制本科
202010-202102 移动 客服
202107-202109 华硕电脑 普工 
202111-202202 天猫超市 客服
202203-202205 移动 客服
202303-202309 联通投诉中心 客服
202403-202405 奥克斯空调 普工
202502-202504 世硕电子 普工
剩余时间均在家备考至今  "</f>
        <v>201609-202007 信阳学院 汉语言文学 学生 全日制本科
202010-202102 移动 客服
202107-202109 华硕电脑 普工 
202111-202202 天猫超市 客服
202203-202205 移动 客服
202303-202309 联通投诉中心 客服
202403-202405 奥克斯空调 普工
202502-202504 世硕电子 普工
剩余时间均在家备考至今  </v>
      </c>
    </row>
    <row r="3846" spans="1:9">
      <c r="A3846" s="1" t="str">
        <f>"411327200206194534"</f>
        <v>411327200206194534</v>
      </c>
      <c r="B3846" s="1" t="str">
        <f>"中共党员"</f>
        <v>中共党员</v>
      </c>
      <c r="C3846" s="1" t="str">
        <f t="shared" si="1901"/>
        <v>本科</v>
      </c>
      <c r="D3846" s="1" t="str">
        <f>"20250701"</f>
        <v>20250701</v>
      </c>
      <c r="E3846" s="1" t="str">
        <f>"河南城建学院"</f>
        <v>河南城建学院</v>
      </c>
      <c r="F3846" s="1" t="str">
        <f>"建筑电气与智能化"</f>
        <v>建筑电气与智能化</v>
      </c>
      <c r="G3846" s="1" t="str">
        <f>"河南省南阳市内乡县城关镇范蠡大街361号"</f>
        <v>河南省南阳市内乡县城关镇范蠡大街361号</v>
      </c>
      <c r="H3846" s="1" t="str">
        <f t="shared" si="1902"/>
        <v>无</v>
      </c>
      <c r="I3846" s="1" t="str">
        <f>"202109-202506 河南城建学院电气与控制工程学院建筑电气与智能化就读，是全日制学历。"</f>
        <v>202109-202506 河南城建学院电气与控制工程学院建筑电气与智能化就读，是全日制学历。</v>
      </c>
    </row>
    <row r="3847" spans="1:9">
      <c r="A3847" s="1" t="str">
        <f>"411326200108271560"</f>
        <v>411326200108271560</v>
      </c>
      <c r="B3847" s="1" t="str">
        <f t="shared" si="1900"/>
        <v>共青团员</v>
      </c>
      <c r="C3847" s="1" t="str">
        <f t="shared" si="1901"/>
        <v>本科</v>
      </c>
      <c r="D3847" s="1" t="str">
        <f>"20240701"</f>
        <v>20240701</v>
      </c>
      <c r="E3847" s="1" t="str">
        <f>"郑州科技学院"</f>
        <v>郑州科技学院</v>
      </c>
      <c r="F3847" s="1" t="str">
        <f>"旅游管理"</f>
        <v>旅游管理</v>
      </c>
      <c r="G3847" s="1" t="str">
        <f>"河南省南阳市南召县"</f>
        <v>河南省南阳市南召县</v>
      </c>
      <c r="H3847" s="1" t="str">
        <f t="shared" si="1902"/>
        <v>无</v>
      </c>
      <c r="I3847" s="1" t="str">
        <f>"201909-202207 郑州科技学院工商管理学院空中乘务专业就读
202209-202407郑州科技学院工商管理学院旅游管理专业就读"</f>
        <v>201909-202207 郑州科技学院工商管理学院空中乘务专业就读
202209-202407郑州科技学院工商管理学院旅游管理专业就读</v>
      </c>
    </row>
    <row r="3848" spans="1:9">
      <c r="A3848" s="1" t="str">
        <f>"411324200312033022"</f>
        <v>411324200312033022</v>
      </c>
      <c r="B3848" s="1" t="str">
        <f>"中共党员"</f>
        <v>中共党员</v>
      </c>
      <c r="C3848" s="1" t="str">
        <f t="shared" ref="C3848:C3851" si="1903">"专科"</f>
        <v>专科</v>
      </c>
      <c r="D3848" s="1" t="str">
        <f>"20240701"</f>
        <v>20240701</v>
      </c>
      <c r="E3848" s="1" t="str">
        <f>"三门峡社会管理职业学院"</f>
        <v>三门峡社会管理职业学院</v>
      </c>
      <c r="F3848" s="1" t="str">
        <f>"婴幼儿托育服务与管理"</f>
        <v>婴幼儿托育服务与管理</v>
      </c>
      <c r="G3848" s="1" t="str">
        <f>"河南省南阳市镇平县曲屯镇五龙庙村伍岗沟西"</f>
        <v>河南省南阳市镇平县曲屯镇五龙庙村伍岗沟西</v>
      </c>
      <c r="H3848" s="1" t="str">
        <f t="shared" si="1902"/>
        <v>无</v>
      </c>
      <c r="I3848" s="1" t="str">
        <f>"2021年10月—2024年7月 在三门峡社会管理职业学院教育与艺术学院婴幼儿托育服务与管理专业就读 大学专科（普通全日制）
2024年7月—至今 待业"</f>
        <v>2021年10月—2024年7月 在三门峡社会管理职业学院教育与艺术学院婴幼儿托育服务与管理专业就读 大学专科（普通全日制）
2024年7月—至今 待业</v>
      </c>
    </row>
    <row r="3849" spans="1:9">
      <c r="A3849" s="1" t="str">
        <f>"410526200111131219"</f>
        <v>410526200111131219</v>
      </c>
      <c r="B3849" s="1" t="str">
        <f t="shared" si="1900"/>
        <v>共青团员</v>
      </c>
      <c r="C3849" s="1" t="str">
        <f t="shared" ref="C3849:C3861" si="1904">"本科"</f>
        <v>本科</v>
      </c>
      <c r="D3849" s="1" t="str">
        <f>"20250614"</f>
        <v>20250614</v>
      </c>
      <c r="E3849" s="1" t="str">
        <f>"许昌学院"</f>
        <v>许昌学院</v>
      </c>
      <c r="F3849" s="1" t="str">
        <f>"物联网工程"</f>
        <v>物联网工程</v>
      </c>
      <c r="G3849" s="1" t="str">
        <f>"河南省安阳市滑县"</f>
        <v>河南省安阳市滑县</v>
      </c>
      <c r="H3849" s="1" t="str">
        <f t="shared" si="1902"/>
        <v>无</v>
      </c>
      <c r="I3849" s="1" t="str">
        <f>"202109-202506 许昌学院信息工程学院物联网工程专业 就读 全日制"</f>
        <v>202109-202506 许昌学院信息工程学院物联网工程专业 就读 全日制</v>
      </c>
    </row>
    <row r="3850" spans="1:9">
      <c r="A3850" s="1" t="str">
        <f>"411302200003210824"</f>
        <v>411302200003210824</v>
      </c>
      <c r="B3850" s="1" t="str">
        <f t="shared" ref="B3850:B3854" si="1905">"群众"</f>
        <v>群众</v>
      </c>
      <c r="C3850" s="1" t="str">
        <f t="shared" si="1903"/>
        <v>专科</v>
      </c>
      <c r="D3850" s="1" t="str">
        <f>"2021.07"</f>
        <v>2021.07</v>
      </c>
      <c r="E3850" s="1" t="str">
        <f>"河南轻工职业学院"</f>
        <v>河南轻工职业学院</v>
      </c>
      <c r="F3850" s="1" t="str">
        <f>"计算机网络技术专业"</f>
        <v>计算机网络技术专业</v>
      </c>
      <c r="G3850" s="1" t="str">
        <f>"河南省南阳市卧龙区宇信凯旋华府"</f>
        <v>河南省南阳市卧龙区宇信凯旋华府</v>
      </c>
      <c r="H3850" s="1" t="str">
        <f t="shared" si="1902"/>
        <v>无</v>
      </c>
      <c r="I3850" s="1" t="str">
        <f>"专科：2018.9-2021.7 河南轻工职业学院，计算机网络技术专业
本科：2022.3-2024.7 郑州轻工业学院 工商管理 （函授）
"</f>
        <v>专科：2018.9-2021.7 河南轻工职业学院，计算机网络技术专业
本科：2022.3-2024.7 郑州轻工业学院 工商管理 （函授）
</v>
      </c>
    </row>
    <row r="3851" spans="1:9">
      <c r="A3851" s="1" t="str">
        <f>"411327199911273734"</f>
        <v>411327199911273734</v>
      </c>
      <c r="B3851" s="1" t="str">
        <f t="shared" si="1905"/>
        <v>群众</v>
      </c>
      <c r="C3851" s="1" t="str">
        <f t="shared" si="1903"/>
        <v>专科</v>
      </c>
      <c r="D3851" s="1" t="str">
        <f>"20210701"</f>
        <v>20210701</v>
      </c>
      <c r="E3851" s="1" t="str">
        <f>"郑州铁路职业技术学院"</f>
        <v>郑州铁路职业技术学院</v>
      </c>
      <c r="F3851" s="1" t="str">
        <f>"动车组检修技术"</f>
        <v>动车组检修技术</v>
      </c>
      <c r="G3851" s="1" t="str">
        <f>"河南省南阳市内乡县建业龙城小区"</f>
        <v>河南省南阳市内乡县建业龙城小区</v>
      </c>
      <c r="H3851" s="1" t="str">
        <f t="shared" si="1902"/>
        <v>无</v>
      </c>
      <c r="I3851" s="1" t="str">
        <f>"201809-202109在郑州铁路职业技术学院 动车组检修技术专业就读"</f>
        <v>201809-202109在郑州铁路职业技术学院 动车组检修技术专业就读</v>
      </c>
    </row>
    <row r="3852" spans="1:9">
      <c r="A3852" s="1" t="str">
        <f>"411326200005204015"</f>
        <v>411326200005204015</v>
      </c>
      <c r="B3852" s="1" t="str">
        <f>"共青团员"</f>
        <v>共青团员</v>
      </c>
      <c r="C3852" s="1" t="str">
        <f t="shared" si="1904"/>
        <v>本科</v>
      </c>
      <c r="D3852" s="1" t="str">
        <f>"20230701"</f>
        <v>20230701</v>
      </c>
      <c r="E3852" s="1" t="str">
        <f>"郑州工程技术学院"</f>
        <v>郑州工程技术学院</v>
      </c>
      <c r="F3852" s="1" t="str">
        <f>"食品质量与安全"</f>
        <v>食品质量与安全</v>
      </c>
      <c r="G3852" s="1" t="str">
        <f>"南召县四棵树乡"</f>
        <v>南召县四棵树乡</v>
      </c>
      <c r="H3852" s="1" t="str">
        <f t="shared" si="1902"/>
        <v>无</v>
      </c>
      <c r="I3852" s="1" t="str">
        <f>"201809-202107 漯河食品职业学院食品工程系食品加工技术专业就读  全日制专科
202109-202307 郑州工程技术学院化工食品学院食品质量与安全专业就读  全日制本科
202307-至今  待业"</f>
        <v>201809-202107 漯河食品职业学院食品工程系食品加工技术专业就读  全日制专科
202109-202307 郑州工程技术学院化工食品学院食品质量与安全专业就读  全日制本科
202307-至今  待业</v>
      </c>
    </row>
    <row r="3853" spans="1:9">
      <c r="A3853" s="1" t="str">
        <f>"410581200010303020"</f>
        <v>410581200010303020</v>
      </c>
      <c r="B3853" s="1" t="str">
        <f t="shared" si="1905"/>
        <v>群众</v>
      </c>
      <c r="C3853" s="1" t="str">
        <f t="shared" si="1904"/>
        <v>本科</v>
      </c>
      <c r="D3853" s="1" t="str">
        <f>"20220701"</f>
        <v>20220701</v>
      </c>
      <c r="E3853" s="1" t="str">
        <f>"郑州商学院"</f>
        <v>郑州商学院</v>
      </c>
      <c r="F3853" s="1" t="str">
        <f>"工商管理"</f>
        <v>工商管理</v>
      </c>
      <c r="G3853" s="1" t="str">
        <f>"河南省林州市茶店镇西峪村"</f>
        <v>河南省林州市茶店镇西峪村</v>
      </c>
      <c r="H3853" s="1" t="str">
        <f>"连锁经营管理师 三级"</f>
        <v>连锁经营管理师 三级</v>
      </c>
      <c r="I3853" s="1" t="str">
        <f>"201809-202207 郑州商学院 就读 全日制本科
202207-202307 林州市职教中心 代课教师 
202308-今 待业"</f>
        <v>201809-202207 郑州商学院 就读 全日制本科
202207-202307 林州市职教中心 代课教师 
202308-今 待业</v>
      </c>
    </row>
    <row r="3854" spans="1:9">
      <c r="A3854" s="1" t="str">
        <f>"411324200109020525"</f>
        <v>411324200109020525</v>
      </c>
      <c r="B3854" s="1" t="str">
        <f t="shared" si="1905"/>
        <v>群众</v>
      </c>
      <c r="C3854" s="1" t="str">
        <f t="shared" si="1904"/>
        <v>本科</v>
      </c>
      <c r="D3854" s="1" t="str">
        <f>"20230701"</f>
        <v>20230701</v>
      </c>
      <c r="E3854" s="1" t="str">
        <f>"河南科技职业大学"</f>
        <v>河南科技职业大学</v>
      </c>
      <c r="F3854" s="1" t="str">
        <f>"学前教育（师范）"</f>
        <v>学前教育（师范）</v>
      </c>
      <c r="G3854" s="1" t="str">
        <f>"河南省镇平县城郊乡八里庙村10组"</f>
        <v>河南省镇平县城郊乡八里庙村10组</v>
      </c>
      <c r="H3854" s="1" t="str">
        <f t="shared" ref="H3854:H3858" si="1906">"无"</f>
        <v>无</v>
      </c>
      <c r="I3854" s="1" t="str">
        <f>"201609-202107  南阳师范学院就读
202109-202307  河南科技职业大学就读
202307-202403  待业
202403至今  镇平县工业信息化和商务局公益岗"</f>
        <v>201609-202107  南阳师范学院就读
202109-202307  河南科技职业大学就读
202307-202403  待业
202403至今  镇平县工业信息化和商务局公益岗</v>
      </c>
    </row>
    <row r="3855" spans="1:9">
      <c r="A3855" s="1" t="str">
        <f>"41132319940319003X"</f>
        <v>41132319940319003X</v>
      </c>
      <c r="B3855" s="1" t="str">
        <f>"中共党员"</f>
        <v>中共党员</v>
      </c>
      <c r="C3855" s="1" t="str">
        <f t="shared" si="1904"/>
        <v>本科</v>
      </c>
      <c r="D3855" s="1" t="str">
        <f>"20170701"</f>
        <v>20170701</v>
      </c>
      <c r="E3855" s="1" t="str">
        <f>"河南省工业大学"</f>
        <v>河南省工业大学</v>
      </c>
      <c r="F3855" s="1" t="str">
        <f>"物流管理"</f>
        <v>物流管理</v>
      </c>
      <c r="G3855" s="1" t="str">
        <f>"河南省南阳市淅川县金硕东郡"</f>
        <v>河南省南阳市淅川县金硕东郡</v>
      </c>
      <c r="H3855" s="1" t="str">
        <f t="shared" si="1906"/>
        <v>无</v>
      </c>
      <c r="I3855" s="1" t="str">
        <f>"201309-201707 河南省工业大学 管理学院 物流管理
201708-201905 在家待业
201906-至今 南阳市人民检察院"</f>
        <v>201309-201707 河南省工业大学 管理学院 物流管理
201708-201905 在家待业
201906-至今 南阳市人民检察院</v>
      </c>
    </row>
    <row r="3856" spans="1:9">
      <c r="A3856" s="1" t="str">
        <f>"411327200206230013"</f>
        <v>411327200206230013</v>
      </c>
      <c r="B3856" s="1" t="str">
        <f t="shared" ref="B3856:B3861" si="1907">"共青团员"</f>
        <v>共青团员</v>
      </c>
      <c r="C3856" s="1" t="str">
        <f t="shared" si="1904"/>
        <v>本科</v>
      </c>
      <c r="D3856" s="1" t="str">
        <f>"2024-06-07"</f>
        <v>2024-06-07</v>
      </c>
      <c r="E3856" s="1" t="str">
        <f>"河南牧业经济学院"</f>
        <v>河南牧业经济学院</v>
      </c>
      <c r="F3856" s="1" t="str">
        <f>"国际经济与贸易"</f>
        <v>国际经济与贸易</v>
      </c>
      <c r="G3856" s="1" t="str">
        <f>"河南南阳内乡城关镇金盟清华苑5栋2单元502"</f>
        <v>河南南阳内乡城关镇金盟清华苑5栋2单元502</v>
      </c>
      <c r="H3856" s="1" t="str">
        <f t="shared" si="1906"/>
        <v>无</v>
      </c>
      <c r="I3856" s="1" t="str">
        <f>"202009-202406 河南牧业经济学院 经济与贸易学院 国际经济与贸易专业就读"</f>
        <v>202009-202406 河南牧业经济学院 经济与贸易学院 国际经济与贸易专业就读</v>
      </c>
    </row>
    <row r="3857" spans="1:9">
      <c r="A3857" s="1" t="str">
        <f>"411327199612184512"</f>
        <v>411327199612184512</v>
      </c>
      <c r="B3857" s="1" t="str">
        <f>"中共党员"</f>
        <v>中共党员</v>
      </c>
      <c r="C3857" s="1" t="str">
        <f t="shared" si="1904"/>
        <v>本科</v>
      </c>
      <c r="D3857" s="1" t="str">
        <f>"20190607"</f>
        <v>20190607</v>
      </c>
      <c r="E3857" s="1" t="str">
        <f>"信阳农林学院"</f>
        <v>信阳农林学院</v>
      </c>
      <c r="F3857" s="1" t="str">
        <f>"食品科学与工程"</f>
        <v>食品科学与工程</v>
      </c>
      <c r="G3857" s="1" t="str">
        <f>"河南省南阳市内乡县梨苑山庄"</f>
        <v>河南省南阳市内乡县梨苑山庄</v>
      </c>
      <c r="H3857" s="1" t="str">
        <f t="shared" si="1906"/>
        <v>无</v>
      </c>
      <c r="I3857" s="1" t="str">
        <f>"201509-201906 信阳农林学院就读
201906-202207 河南康元粮油食品加工有限公司
202207至今 南阳市冠优实业有限公司"</f>
        <v>201509-201906 信阳农林学院就读
201906-202207 河南康元粮油食品加工有限公司
202207至今 南阳市冠优实业有限公司</v>
      </c>
    </row>
    <row r="3858" spans="1:9">
      <c r="A3858" s="1" t="str">
        <f>"411327200103223523"</f>
        <v>411327200103223523</v>
      </c>
      <c r="B3858" s="1" t="str">
        <f t="shared" si="1907"/>
        <v>共青团员</v>
      </c>
      <c r="C3858" s="1" t="str">
        <f t="shared" si="1904"/>
        <v>本科</v>
      </c>
      <c r="D3858" s="1" t="str">
        <f>"20230701"</f>
        <v>20230701</v>
      </c>
      <c r="E3858" s="1" t="str">
        <f>"黄淮学院"</f>
        <v>黄淮学院</v>
      </c>
      <c r="F3858" s="1" t="str">
        <f>"汽车服务工程"</f>
        <v>汽车服务工程</v>
      </c>
      <c r="G3858" s="1" t="str">
        <f>"河南省南阳市内乡县板场乡"</f>
        <v>河南省南阳市内乡县板场乡</v>
      </c>
      <c r="H3858" s="1" t="str">
        <f t="shared" si="1906"/>
        <v>无</v>
      </c>
      <c r="I3858" s="1" t="str">
        <f>"201909-202307在黄淮学院机械与能源工程学院汽车服务工程专业就读
202307-202504在家待业
202505-至今板场乡财政所就业"</f>
        <v>201909-202307在黄淮学院机械与能源工程学院汽车服务工程专业就读
202307-202504在家待业
202505-至今板场乡财政所就业</v>
      </c>
    </row>
    <row r="3859" spans="1:9">
      <c r="A3859" s="1" t="str">
        <f>"411327199411241517"</f>
        <v>411327199411241517</v>
      </c>
      <c r="B3859" s="1" t="str">
        <f>"群众"</f>
        <v>群众</v>
      </c>
      <c r="C3859" s="1" t="str">
        <f t="shared" si="1904"/>
        <v>本科</v>
      </c>
      <c r="D3859" s="1" t="str">
        <f>"20170701"</f>
        <v>20170701</v>
      </c>
      <c r="E3859" s="1" t="str">
        <f>"河南科技大学"</f>
        <v>河南科技大学</v>
      </c>
      <c r="F3859" s="1" t="str">
        <f>"工商管理"</f>
        <v>工商管理</v>
      </c>
      <c r="G3859" s="1" t="str">
        <f>"河南省内乡县湍东镇五里堡村茨元"</f>
        <v>河南省内乡县湍东镇五里堡村茨元</v>
      </c>
      <c r="H3859" s="1" t="str">
        <f>"人力资源师三级"</f>
        <v>人力资源师三级</v>
      </c>
      <c r="I3859" s="1" t="str">
        <f>"201309-201707河南科技大学管理学院工商管理专业就读，全日制学历"</f>
        <v>201309-201707河南科技大学管理学院工商管理专业就读，全日制学历</v>
      </c>
    </row>
    <row r="3860" spans="1:9">
      <c r="A3860" s="1" t="str">
        <f>"411327200105220326"</f>
        <v>411327200105220326</v>
      </c>
      <c r="B3860" s="1" t="str">
        <f t="shared" si="1907"/>
        <v>共青团员</v>
      </c>
      <c r="C3860" s="1" t="str">
        <f t="shared" si="1904"/>
        <v>本科</v>
      </c>
      <c r="D3860" s="1" t="str">
        <f>"20230630"</f>
        <v>20230630</v>
      </c>
      <c r="E3860" s="1" t="str">
        <f>"华中师范大学"</f>
        <v>华中师范大学</v>
      </c>
      <c r="F3860" s="1" t="str">
        <f>"汉语言文学"</f>
        <v>汉语言文学</v>
      </c>
      <c r="G3860" s="1" t="str">
        <f>"河南省南阳市内乡县大桥乡"</f>
        <v>河南省南阳市内乡县大桥乡</v>
      </c>
      <c r="H3860" s="1" t="str">
        <f t="shared" ref="H3860:H3872" si="1908">"无"</f>
        <v>无</v>
      </c>
      <c r="I3860" s="1" t="str">
        <f>"20190901-20230630 华中师范大学就读
20230701-20250730河南省南阳市内乡县待业"</f>
        <v>20190901-20230630 华中师范大学就读
20230701-20250730河南省南阳市内乡县待业</v>
      </c>
    </row>
    <row r="3861" spans="1:9">
      <c r="A3861" s="1" t="str">
        <f>"410503200005100086"</f>
        <v>410503200005100086</v>
      </c>
      <c r="B3861" s="1" t="str">
        <f t="shared" si="1907"/>
        <v>共青团员</v>
      </c>
      <c r="C3861" s="1" t="str">
        <f t="shared" si="1904"/>
        <v>本科</v>
      </c>
      <c r="D3861" s="1" t="str">
        <f>"20240701"</f>
        <v>20240701</v>
      </c>
      <c r="E3861" s="1" t="str">
        <f>"河南师范大学"</f>
        <v>河南师范大学</v>
      </c>
      <c r="F3861" s="1" t="str">
        <f>"小学教育"</f>
        <v>小学教育</v>
      </c>
      <c r="G3861" s="1" t="str">
        <f>"河南省安阳市中华路与灯塔路交叉口华翼煌都"</f>
        <v>河南省安阳市中华路与灯塔路交叉口华翼煌都</v>
      </c>
      <c r="H3861" s="1" t="str">
        <f t="shared" si="1908"/>
        <v>无</v>
      </c>
      <c r="I3861" s="1" t="str">
        <f>"201809-202107 河南理工大学 医学院医学检验技术专业就读，全日制。
202203-202407 河南师范大学 教育学部小学教育专业就读，非全日制。"</f>
        <v>201809-202107 河南理工大学 医学院医学检验技术专业就读，全日制。
202203-202407 河南师范大学 教育学部小学教育专业就读，非全日制。</v>
      </c>
    </row>
    <row r="3862" spans="1:9">
      <c r="A3862" s="1" t="str">
        <f>"411327199209062910"</f>
        <v>411327199209062910</v>
      </c>
      <c r="B3862" s="1" t="str">
        <f>"群众"</f>
        <v>群众</v>
      </c>
      <c r="C3862" s="1" t="str">
        <f>"专科"</f>
        <v>专科</v>
      </c>
      <c r="D3862" s="1" t="str">
        <f>"20190701"</f>
        <v>20190701</v>
      </c>
      <c r="E3862" s="1" t="str">
        <f>"国家开放大学"</f>
        <v>国家开放大学</v>
      </c>
      <c r="F3862" s="1" t="str">
        <f>"行政管理"</f>
        <v>行政管理</v>
      </c>
      <c r="G3862" s="1" t="str">
        <f>"河南省内乡县城关镇锦旺家园"</f>
        <v>河南省内乡县城关镇锦旺家园</v>
      </c>
      <c r="H3862" s="1" t="str">
        <f t="shared" si="1908"/>
        <v>无</v>
      </c>
      <c r="I3862" s="1" t="str">
        <f>"201709-201907   国家开放大学
2017年- 至今       中共内乡县委事务局（劳务派遣）"</f>
        <v>201709-201907   国家开放大学
2017年- 至今       中共内乡县委事务局（劳务派遣）</v>
      </c>
    </row>
    <row r="3863" spans="1:9">
      <c r="A3863" s="1" t="str">
        <f>"411302199301010817"</f>
        <v>411302199301010817</v>
      </c>
      <c r="B3863" s="1" t="str">
        <f t="shared" ref="B3863:B3865" si="1909">"共青团员"</f>
        <v>共青团员</v>
      </c>
      <c r="C3863" s="1" t="str">
        <f t="shared" ref="C3863:C3870" si="1910">"本科"</f>
        <v>本科</v>
      </c>
      <c r="D3863" s="1" t="str">
        <f>"20160701"</f>
        <v>20160701</v>
      </c>
      <c r="E3863" s="1" t="str">
        <f>"中原工学院信息商务学院"</f>
        <v>中原工学院信息商务学院</v>
      </c>
      <c r="F3863" s="1" t="str">
        <f>"电气工程及其自动化"</f>
        <v>电气工程及其自动化</v>
      </c>
      <c r="G3863" s="1" t="str">
        <f>"河南省南阳市宛城区人民路115号"</f>
        <v>河南省南阳市宛城区人民路115号</v>
      </c>
      <c r="H3863" s="1" t="str">
        <f t="shared" si="1908"/>
        <v>无</v>
      </c>
      <c r="I3863" s="1" t="str">
        <f>"201209-201607中原工学院信息商务学院电气工程系电气工程及其自动化专业就读，201607-202507在南阳市宛城区人民路115号待业"</f>
        <v>201209-201607中原工学院信息商务学院电气工程系电气工程及其自动化专业就读，201607-202507在南阳市宛城区人民路115号待业</v>
      </c>
    </row>
    <row r="3864" spans="1:9">
      <c r="A3864" s="1" t="str">
        <f>"411381200101203957"</f>
        <v>411381200101203957</v>
      </c>
      <c r="B3864" s="1" t="str">
        <f t="shared" si="1909"/>
        <v>共青团员</v>
      </c>
      <c r="C3864" s="1" t="str">
        <f t="shared" si="1910"/>
        <v>本科</v>
      </c>
      <c r="D3864" s="1" t="str">
        <f>"20220607"</f>
        <v>20220607</v>
      </c>
      <c r="E3864" s="1" t="str">
        <f>"南阳师范学院"</f>
        <v>南阳师范学院</v>
      </c>
      <c r="F3864" s="1" t="str">
        <f>"法学"</f>
        <v>法学</v>
      </c>
      <c r="G3864" s="1" t="str">
        <f>"内乡县城关镇黉学村三组"</f>
        <v>内乡县城关镇黉学村三组</v>
      </c>
      <c r="H3864" s="1" t="str">
        <f t="shared" si="1908"/>
        <v>无</v>
      </c>
      <c r="I3864" s="1" t="str">
        <f>"201809-202206南阳师范学院法学院法学全日制就读
202206-202409在内乡待业
202409—202503在郑州康桥物业工作
202504-202505在内乡待业
202506至今在法院工作"</f>
        <v>201809-202206南阳师范学院法学院法学全日制就读
202206-202409在内乡待业
202409—202503在郑州康桥物业工作
202504-202505在内乡待业
202506至今在法院工作</v>
      </c>
    </row>
    <row r="3865" spans="1:9">
      <c r="A3865" s="1" t="str">
        <f>"41132719981212205X"</f>
        <v>41132719981212205X</v>
      </c>
      <c r="B3865" s="1" t="str">
        <f t="shared" si="1909"/>
        <v>共青团员</v>
      </c>
      <c r="C3865" s="1" t="str">
        <f t="shared" si="1910"/>
        <v>本科</v>
      </c>
      <c r="D3865" s="1" t="str">
        <f>"20210701"</f>
        <v>20210701</v>
      </c>
      <c r="E3865" s="1" t="str">
        <f>"河南工业大学"</f>
        <v>河南工业大学</v>
      </c>
      <c r="F3865" s="1" t="str">
        <f>"工程管理"</f>
        <v>工程管理</v>
      </c>
      <c r="G3865" s="1" t="str">
        <f>"河南省南阳市内乡县师岗镇"</f>
        <v>河南省南阳市内乡县师岗镇</v>
      </c>
      <c r="H3865" s="1" t="str">
        <f t="shared" si="1908"/>
        <v>无</v>
      </c>
      <c r="I3865" s="1" t="str">
        <f>"201709-202107，河南工业大学土木工程学院工程管理专业全日制就读。
202109-202506，兰州交通大学土木工程建造与管理专业研究生退学。"</f>
        <v>201709-202107，河南工业大学土木工程学院工程管理专业全日制就读。
202109-202506，兰州交通大学土木工程建造与管理专业研究生退学。</v>
      </c>
    </row>
    <row r="3866" spans="1:9">
      <c r="A3866" s="1" t="str">
        <f>"411381200201016753"</f>
        <v>411381200201016753</v>
      </c>
      <c r="B3866" s="1" t="str">
        <f t="shared" ref="B3866:B3871" si="1911">"群众"</f>
        <v>群众</v>
      </c>
      <c r="C3866" s="1" t="str">
        <f t="shared" si="1910"/>
        <v>本科</v>
      </c>
      <c r="D3866" s="1" t="str">
        <f>"20250615"</f>
        <v>20250615</v>
      </c>
      <c r="E3866" s="1" t="str">
        <f>"黄河交通学院"</f>
        <v>黄河交通学院</v>
      </c>
      <c r="F3866" s="1" t="str">
        <f>"能源与动力工程"</f>
        <v>能源与动力工程</v>
      </c>
      <c r="G3866" s="1" t="str">
        <f>"河南省邓州市构林镇"</f>
        <v>河南省邓州市构林镇</v>
      </c>
      <c r="H3866" s="1" t="str">
        <f t="shared" si="1908"/>
        <v>无</v>
      </c>
      <c r="I3866" s="1" t="str">
        <f>"202109-202507 黄河交通学院汽车工程学院能源与动力工程专业就读，全日制学历"</f>
        <v>202109-202507 黄河交通学院汽车工程学院能源与动力工程专业就读，全日制学历</v>
      </c>
    </row>
    <row r="3867" spans="1:9">
      <c r="A3867" s="1" t="str">
        <f>"41132719940525491X"</f>
        <v>41132719940525491X</v>
      </c>
      <c r="B3867" s="1" t="str">
        <f t="shared" ref="B3867:B3870" si="1912">"中共党员"</f>
        <v>中共党员</v>
      </c>
      <c r="C3867" s="1" t="str">
        <f t="shared" si="1910"/>
        <v>本科</v>
      </c>
      <c r="D3867" s="1" t="str">
        <f>"20160701"</f>
        <v>20160701</v>
      </c>
      <c r="E3867" s="1" t="str">
        <f>"河南城建学院"</f>
        <v>河南城建学院</v>
      </c>
      <c r="F3867" s="1" t="str">
        <f>"信息管理与信息系统"</f>
        <v>信息管理与信息系统</v>
      </c>
      <c r="G3867" s="1" t="str">
        <f>"河南省南阳市内乡县城关镇县衙西路"</f>
        <v>河南省南阳市内乡县城关镇县衙西路</v>
      </c>
      <c r="H3867" s="1" t="str">
        <f t="shared" si="1908"/>
        <v>无</v>
      </c>
      <c r="I3867" s="1" t="str">
        <f>"201209-201407   郑州大学工学院 信息管理专业就读全日制专科
201409-201607   河南城建学院 信息管理与信息系统专业就读全日制本科（专升本）
201607-201807   在家待业
201807至今   内乡县财政局上班（政府购岗）"</f>
        <v>201209-201407   郑州大学工学院 信息管理专业就读全日制专科
201409-201607   河南城建学院 信息管理与信息系统专业就读全日制本科（专升本）
201607-201807   在家待业
201807至今   内乡县财政局上班（政府购岗）</v>
      </c>
    </row>
    <row r="3868" spans="1:9">
      <c r="A3868" s="1" t="str">
        <f>"411323199811145350"</f>
        <v>411323199811145350</v>
      </c>
      <c r="B3868" s="1" t="str">
        <f t="shared" si="1912"/>
        <v>中共党员</v>
      </c>
      <c r="C3868" s="1" t="str">
        <f t="shared" si="1910"/>
        <v>本科</v>
      </c>
      <c r="D3868" s="1" t="str">
        <f>"20210630"</f>
        <v>20210630</v>
      </c>
      <c r="E3868" s="1" t="str">
        <f>"河南大学"</f>
        <v>河南大学</v>
      </c>
      <c r="F3868" s="1" t="str">
        <f>"汉语言文学"</f>
        <v>汉语言文学</v>
      </c>
      <c r="G3868" s="1" t="str">
        <f>"河南省驻马店市正阳县东大街3号"</f>
        <v>河南省驻马店市正阳县东大街3号</v>
      </c>
      <c r="H3868" s="1" t="str">
        <f t="shared" si="1908"/>
        <v>无</v>
      </c>
      <c r="I3868" s="1" t="str">
        <f>"201709-202007平顶山工业职业技术学院 资源开发系 建筑工程技术专业 全日制专科
201804-202106河南大学文学院汉语言文学专业（属于河南省自学考试，非全日制本科学历）
202008-202207正阳县妇女联合会河南省志愿服务贫困县计划大学生志愿者（基础社会管理）
202208-202404正阳县妇女联合会  办公室文秘岗位（属于灵活就业，其中202208-202302按照政策领取失业金）
202405-至今正阳县妇女联合会  办公室文秘岗位（公益性岗位）
"</f>
        <v>201709-202007平顶山工业职业技术学院 资源开发系 建筑工程技术专业 全日制专科
201804-202106河南大学文学院汉语言文学专业（属于河南省自学考试，非全日制本科学历）
202008-202207正阳县妇女联合会河南省志愿服务贫困县计划大学生志愿者（基础社会管理）
202208-202404正阳县妇女联合会  办公室文秘岗位（属于灵活就业，其中202208-202302按照政策领取失业金）
202405-至今正阳县妇女联合会  办公室文秘岗位（公益性岗位）
</v>
      </c>
    </row>
    <row r="3869" spans="1:9">
      <c r="A3869" s="1" t="str">
        <f>"411327200012160010"</f>
        <v>411327200012160010</v>
      </c>
      <c r="B3869" s="1" t="str">
        <f t="shared" si="1911"/>
        <v>群众</v>
      </c>
      <c r="C3869" s="1" t="str">
        <f t="shared" si="1910"/>
        <v>本科</v>
      </c>
      <c r="D3869" s="1" t="str">
        <f>"20230630"</f>
        <v>20230630</v>
      </c>
      <c r="E3869" s="1" t="str">
        <f>"湖北工程学院"</f>
        <v>湖北工程学院</v>
      </c>
      <c r="F3869" s="1" t="str">
        <f>"金融工程"</f>
        <v>金融工程</v>
      </c>
      <c r="G3869" s="1" t="str">
        <f>"陕西省西安市未央区凤城九路二号"</f>
        <v>陕西省西安市未央区凤城九路二号</v>
      </c>
      <c r="H3869" s="1" t="str">
        <f t="shared" si="1908"/>
        <v>无</v>
      </c>
      <c r="I3869" s="1" t="str">
        <f>"201909-202306于湖北工程学院国际教育学院金融工程系就读，属于全日制学历。"</f>
        <v>201909-202306于湖北工程学院国际教育学院金融工程系就读，属于全日制学历。</v>
      </c>
    </row>
    <row r="3870" spans="1:9">
      <c r="A3870" s="1" t="str">
        <f>"411381199210107678"</f>
        <v>411381199210107678</v>
      </c>
      <c r="B3870" s="1" t="str">
        <f t="shared" si="1912"/>
        <v>中共党员</v>
      </c>
      <c r="C3870" s="1" t="str">
        <f t="shared" si="1910"/>
        <v>本科</v>
      </c>
      <c r="D3870" s="1" t="str">
        <f>"20190701"</f>
        <v>20190701</v>
      </c>
      <c r="E3870" s="1" t="str">
        <f>"南阳师范学院"</f>
        <v>南阳师范学院</v>
      </c>
      <c r="F3870" s="1" t="str">
        <f>"法学"</f>
        <v>法学</v>
      </c>
      <c r="G3870" s="1" t="str">
        <f>"河南省邓州市星河湾小区一号楼二单元901"</f>
        <v>河南省邓州市星河湾小区一号楼二单元901</v>
      </c>
      <c r="H3870" s="1" t="str">
        <f t="shared" si="1908"/>
        <v>无</v>
      </c>
      <c r="I3870" s="1" t="str">
        <f>"201209—201407河南农业大学信管学院计算机应用专业（全日制专科）
201407—201703待业
201703—201907南阳师范学院法学专业（函授本科）
201907—至今邓州市规划建筑勘察设计院（企业）"</f>
        <v>201209—201407河南农业大学信管学院计算机应用专业（全日制专科）
201407—201703待业
201703—201907南阳师范学院法学专业（函授本科）
201907—至今邓州市规划建筑勘察设计院（企业）</v>
      </c>
    </row>
    <row r="3871" spans="1:9">
      <c r="A3871" s="1" t="str">
        <f>"411323199802013831"</f>
        <v>411323199802013831</v>
      </c>
      <c r="B3871" s="1" t="str">
        <f t="shared" si="1911"/>
        <v>群众</v>
      </c>
      <c r="C3871" s="1" t="str">
        <f>"专科"</f>
        <v>专科</v>
      </c>
      <c r="D3871" s="1" t="str">
        <f>"20200630"</f>
        <v>20200630</v>
      </c>
      <c r="E3871" s="1" t="str">
        <f>"长江工程职业技术学院"</f>
        <v>长江工程职业技术学院</v>
      </c>
      <c r="F3871" s="1" t="str">
        <f>"计算机应用技术"</f>
        <v>计算机应用技术</v>
      </c>
      <c r="G3871" s="1" t="str">
        <f>"河南省南阳市内乡县板厂乡"</f>
        <v>河南省南阳市内乡县板厂乡</v>
      </c>
      <c r="H3871" s="1" t="str">
        <f t="shared" si="1908"/>
        <v>无</v>
      </c>
      <c r="I3871" s="1" t="str">
        <f>"201709-202006于长江工程职业技术学院计算机应用技术专业就读是全日制
202006至今在河南省南阳市内乡县待业
"</f>
        <v>201709-202006于长江工程职业技术学院计算机应用技术专业就读是全日制
202006至今在河南省南阳市内乡县待业
</v>
      </c>
    </row>
    <row r="3872" spans="1:9">
      <c r="A3872" s="1" t="str">
        <f>"411327200109250012"</f>
        <v>411327200109250012</v>
      </c>
      <c r="B3872" s="1" t="str">
        <f>"共青团员"</f>
        <v>共青团员</v>
      </c>
      <c r="C3872" s="1" t="str">
        <f t="shared" ref="C3872:C3878" si="1913">"本科"</f>
        <v>本科</v>
      </c>
      <c r="D3872" s="1" t="str">
        <f>"20230715"</f>
        <v>20230715</v>
      </c>
      <c r="E3872" s="1" t="str">
        <f>"对外经济贸易大学"</f>
        <v>对外经济贸易大学</v>
      </c>
      <c r="F3872" s="1" t="str">
        <f>"公共事业管理（文化事业管理方向）"</f>
        <v>公共事业管理（文化事业管理方向）</v>
      </c>
      <c r="G3872" s="1" t="str">
        <f>"河南省南阳市内乡县"</f>
        <v>河南省南阳市内乡县</v>
      </c>
      <c r="H3872" s="1" t="str">
        <f t="shared" si="1908"/>
        <v>无</v>
      </c>
      <c r="I3872" s="1" t="str">
        <f>"2019.09-2023.07 对外经济贸易大学 全日制 本科 学士学位 政府管理学院公共事业管理专业就读 
2023.07-至今 待业"</f>
        <v>2019.09-2023.07 对外经济贸易大学 全日制 本科 学士学位 政府管理学院公共事业管理专业就读 
2023.07-至今 待业</v>
      </c>
    </row>
    <row r="3873" spans="1:9">
      <c r="A3873" s="1" t="str">
        <f>"411327200209050616"</f>
        <v>411327200209050616</v>
      </c>
      <c r="B3873" s="1" t="str">
        <f t="shared" ref="B3873:B3878" si="1914">"群众"</f>
        <v>群众</v>
      </c>
      <c r="C3873" s="1" t="str">
        <f>"专科"</f>
        <v>专科</v>
      </c>
      <c r="D3873" s="1" t="str">
        <f>"20250701"</f>
        <v>20250701</v>
      </c>
      <c r="E3873" s="1" t="str">
        <f>"河南物流职业学院"</f>
        <v>河南物流职业学院</v>
      </c>
      <c r="F3873" s="1" t="str">
        <f>"跨境电子商务"</f>
        <v>跨境电子商务</v>
      </c>
      <c r="G3873" s="1" t="str">
        <f>"河南省南阳市内乡县马山口镇"</f>
        <v>河南省南阳市内乡县马山口镇</v>
      </c>
      <c r="H3873" s="1" t="str">
        <f>"普通话证书"</f>
        <v>普通话证书</v>
      </c>
      <c r="I3873" s="1" t="str">
        <f>"202209-202507河南物流职业学院物流与电商院系跨境电子商务专业就读是全日制学历"</f>
        <v>202209-202507河南物流职业学院物流与电商院系跨境电子商务专业就读是全日制学历</v>
      </c>
    </row>
    <row r="3874" spans="1:9">
      <c r="A3874" s="1" t="str">
        <f>"410327199309123564"</f>
        <v>410327199309123564</v>
      </c>
      <c r="B3874" s="1" t="str">
        <f t="shared" si="1914"/>
        <v>群众</v>
      </c>
      <c r="C3874" s="1" t="str">
        <f t="shared" si="1913"/>
        <v>本科</v>
      </c>
      <c r="D3874" s="1" t="str">
        <f>"20190630"</f>
        <v>20190630</v>
      </c>
      <c r="E3874" s="1" t="str">
        <f>"河南大学"</f>
        <v>河南大学</v>
      </c>
      <c r="F3874" s="1" t="str">
        <f>"汉语言文学"</f>
        <v>汉语言文学</v>
      </c>
      <c r="G3874" s="1" t="str">
        <f>"河南省宜阳县城关镇新丰九街"</f>
        <v>河南省宜阳县城关镇新丰九街</v>
      </c>
      <c r="H3874" s="1" t="str">
        <f t="shared" ref="H3874:H3877" si="1915">"无"</f>
        <v>无</v>
      </c>
      <c r="I3874" s="1" t="str">
        <f>"201409--201707洛阳师范学院就读，文学院语文教育专业，全日制；
201709--201906河南大学，文学院汉语言文学专业，非全日制；
201901-202001，宜阳县江南实验学校工作；
202003-202006，洛阳市东方四小；
202009-202106，宜阳县心远学校；
202107-202308，失业
202309-202408，洛阳市同益社会工作服务中心；
202409-至今，失业在家"</f>
        <v>201409--201707洛阳师范学院就读，文学院语文教育专业，全日制；
201709--201906河南大学，文学院汉语言文学专业，非全日制；
201901-202001，宜阳县江南实验学校工作；
202003-202006，洛阳市东方四小；
202009-202106，宜阳县心远学校；
202107-202308，失业
202309-202408，洛阳市同益社会工作服务中心；
202409-至今，失业在家</v>
      </c>
    </row>
    <row r="3875" spans="1:9">
      <c r="A3875" s="1" t="str">
        <f>"371524200209254124"</f>
        <v>371524200209254124</v>
      </c>
      <c r="B3875" s="1" t="str">
        <f t="shared" si="1914"/>
        <v>群众</v>
      </c>
      <c r="C3875" s="1" t="str">
        <f t="shared" si="1913"/>
        <v>本科</v>
      </c>
      <c r="D3875" s="1" t="str">
        <f>"20240613"</f>
        <v>20240613</v>
      </c>
      <c r="E3875" s="1" t="str">
        <f>"聊城大学"</f>
        <v>聊城大学</v>
      </c>
      <c r="F3875" s="1" t="str">
        <f>"数字媒体艺术"</f>
        <v>数字媒体艺术</v>
      </c>
      <c r="G3875" s="1" t="str">
        <f>"山东省聊城市东阿县"</f>
        <v>山东省聊城市东阿县</v>
      </c>
      <c r="H3875" s="1" t="str">
        <f t="shared" si="1915"/>
        <v>无</v>
      </c>
      <c r="I3875" s="1" t="str">
        <f>"20200921-2024613在聊城大学传媒技术学院数字媒体艺术专业就读，是全日制学历"</f>
        <v>20200921-2024613在聊城大学传媒技术学院数字媒体艺术专业就读，是全日制学历</v>
      </c>
    </row>
    <row r="3876" spans="1:9">
      <c r="A3876" s="1" t="str">
        <f>"411522199901123328"</f>
        <v>411522199901123328</v>
      </c>
      <c r="B3876" s="1" t="str">
        <f t="shared" si="1914"/>
        <v>群众</v>
      </c>
      <c r="C3876" s="1" t="str">
        <f t="shared" si="1913"/>
        <v>本科</v>
      </c>
      <c r="D3876" s="1" t="str">
        <f>"20210701"</f>
        <v>20210701</v>
      </c>
      <c r="E3876" s="1" t="str">
        <f>"湖南科技学院"</f>
        <v>湖南科技学院</v>
      </c>
      <c r="F3876" s="1" t="str">
        <f>"环境设计"</f>
        <v>环境设计</v>
      </c>
      <c r="G3876" s="1" t="str">
        <f>"河南省信阳市罗山县宝城公馆三期"</f>
        <v>河南省信阳市罗山县宝城公馆三期</v>
      </c>
      <c r="H3876" s="1" t="str">
        <f t="shared" si="1915"/>
        <v>无</v>
      </c>
      <c r="I3876" s="1" t="str">
        <f>"
201709-202107在湖南科技学院环境设计专业（全日制）就读
202107至今待业"</f>
        <v>
201709-202107在湖南科技学院环境设计专业（全日制）就读
202107至今待业</v>
      </c>
    </row>
    <row r="3877" spans="1:9">
      <c r="A3877" s="1" t="str">
        <f>"411327200302160019"</f>
        <v>411327200302160019</v>
      </c>
      <c r="B3877" s="1" t="str">
        <f t="shared" si="1914"/>
        <v>群众</v>
      </c>
      <c r="C3877" s="1" t="str">
        <f t="shared" si="1913"/>
        <v>本科</v>
      </c>
      <c r="D3877" s="1" t="str">
        <f>"20250607"</f>
        <v>20250607</v>
      </c>
      <c r="E3877" s="1" t="str">
        <f>"西安文理学院"</f>
        <v>西安文理学院</v>
      </c>
      <c r="F3877" s="1" t="str">
        <f>"体育教育"</f>
        <v>体育教育</v>
      </c>
      <c r="G3877" s="1" t="str">
        <f>"河南省南阳市内乡县湍东镇水岸豪庭"</f>
        <v>河南省南阳市内乡县湍东镇水岸豪庭</v>
      </c>
      <c r="H3877" s="1" t="str">
        <f t="shared" si="1915"/>
        <v>无</v>
      </c>
      <c r="I3877" s="1" t="str">
        <f>"202109-202506西安文理学院体育学院就读是全日制学历"</f>
        <v>202109-202506西安文理学院体育学院就读是全日制学历</v>
      </c>
    </row>
    <row r="3878" spans="1:9">
      <c r="A3878" s="1" t="str">
        <f>"411327200407033921"</f>
        <v>411327200407033921</v>
      </c>
      <c r="B3878" s="1" t="str">
        <f t="shared" si="1914"/>
        <v>群众</v>
      </c>
      <c r="C3878" s="1" t="str">
        <f t="shared" si="1913"/>
        <v>本科</v>
      </c>
      <c r="D3878" s="1" t="str">
        <f>"202407"</f>
        <v>202407</v>
      </c>
      <c r="E3878" s="1" t="str">
        <f>"河南中医药大学"</f>
        <v>河南中医药大学</v>
      </c>
      <c r="F3878" s="1" t="str">
        <f>"信息管理与信息系统"</f>
        <v>信息管理与信息系统</v>
      </c>
      <c r="G3878" s="1" t="str">
        <f>"河南省南阳市内乡县岞区镇双堰村"</f>
        <v>河南省南阳市内乡县岞区镇双堰村</v>
      </c>
      <c r="H3878" s="1" t="str">
        <f>"企业人力资源管理师高级工"</f>
        <v>企业人力资源管理师高级工</v>
      </c>
      <c r="I3878" s="1" t="str">
        <f>"202009-202407 河南中医药大学尚真书院信息管理与信息系统专业就读，是全日制学历；"</f>
        <v>202009-202407 河南中医药大学尚真书院信息管理与信息系统专业就读，是全日制学历；</v>
      </c>
    </row>
    <row r="3879" spans="1:9">
      <c r="A3879" s="1" t="str">
        <f>"411327200206290032"</f>
        <v>411327200206290032</v>
      </c>
      <c r="B3879" s="1" t="str">
        <f>"中共预备党员"</f>
        <v>中共预备党员</v>
      </c>
      <c r="C3879" s="1" t="str">
        <f>"专科"</f>
        <v>专科</v>
      </c>
      <c r="D3879" s="1" t="str">
        <f>"202307"</f>
        <v>202307</v>
      </c>
      <c r="E3879" s="1" t="str">
        <f>"河南科技学院"</f>
        <v>河南科技学院</v>
      </c>
      <c r="F3879" s="1" t="str">
        <f>"广告设计与制作"</f>
        <v>广告设计与制作</v>
      </c>
      <c r="G3879" s="1" t="str">
        <f>"河南省南阳市内乡县"</f>
        <v>河南省南阳市内乡县</v>
      </c>
      <c r="H3879" s="1" t="str">
        <f t="shared" ref="H3879:H3882" si="1916">"无"</f>
        <v>无</v>
      </c>
      <c r="I3879" s="1" t="str">
        <f>"202010-202307河南科技学院就读高等职业技术学院全日制
"</f>
        <v>202010-202307河南科技学院就读高等职业技术学院全日制
</v>
      </c>
    </row>
    <row r="3880" spans="1:9">
      <c r="A3880" s="1" t="str">
        <f>"410881200205070016"</f>
        <v>410881200205070016</v>
      </c>
      <c r="B3880" s="1" t="str">
        <f t="shared" ref="B3880:B3887" si="1917">"共青团员"</f>
        <v>共青团员</v>
      </c>
      <c r="C3880" s="1" t="str">
        <f t="shared" ref="C3880:C3882" si="1918">"本科"</f>
        <v>本科</v>
      </c>
      <c r="D3880" s="1" t="str">
        <f>"20240618"</f>
        <v>20240618</v>
      </c>
      <c r="E3880" s="1" t="str">
        <f>"河南农业大学"</f>
        <v>河南农业大学</v>
      </c>
      <c r="F3880" s="1" t="str">
        <f>"烟草"</f>
        <v>烟草</v>
      </c>
      <c r="G3880" s="1" t="str">
        <f>"河南省济源市沁园办事处双语教师公寓东单元4楼B户"</f>
        <v>河南省济源市沁园办事处双语教师公寓东单元4楼B户</v>
      </c>
      <c r="H3880" s="1" t="str">
        <f t="shared" si="1916"/>
        <v>无</v>
      </c>
      <c r="I3880" s="1" t="str">
        <f>"202009-202406 河南农业大学烟草学院烟草专业就读，是全日制
202406-今 河南省济源市待业"</f>
        <v>202009-202406 河南农业大学烟草学院烟草专业就读，是全日制
202406-今 河南省济源市待业</v>
      </c>
    </row>
    <row r="3881" spans="1:9">
      <c r="A3881" s="1" t="str">
        <f>"411327200309120028"</f>
        <v>411327200309120028</v>
      </c>
      <c r="B3881" s="1" t="str">
        <f t="shared" si="1917"/>
        <v>共青团员</v>
      </c>
      <c r="C3881" s="1" t="str">
        <f t="shared" si="1918"/>
        <v>本科</v>
      </c>
      <c r="D3881" s="1" t="str">
        <f>"20250607"</f>
        <v>20250607</v>
      </c>
      <c r="E3881" s="1" t="str">
        <f>"商丘师范学院"</f>
        <v>商丘师范学院</v>
      </c>
      <c r="F3881" s="1" t="str">
        <f>"文化产业管理"</f>
        <v>文化产业管理</v>
      </c>
      <c r="G3881" s="1" t="str">
        <f>"河南省南阳市内乡县城关镇县衙路435号"</f>
        <v>河南省南阳市内乡县城关镇县衙路435号</v>
      </c>
      <c r="H3881" s="1" t="str">
        <f>"英语四级证书；普通话二甲证书；"</f>
        <v>英语四级证书；普通话二甲证书；</v>
      </c>
      <c r="I3881" s="1" t="str">
        <f>"202109-202506 商丘师范学院文化产业管理专业，全日制就读"</f>
        <v>202109-202506 商丘师范学院文化产业管理专业，全日制就读</v>
      </c>
    </row>
    <row r="3882" spans="1:9">
      <c r="A3882" s="1" t="str">
        <f>"411327199702124273"</f>
        <v>411327199702124273</v>
      </c>
      <c r="B3882" s="1" t="str">
        <f>"群众"</f>
        <v>群众</v>
      </c>
      <c r="C3882" s="1" t="str">
        <f t="shared" si="1918"/>
        <v>本科</v>
      </c>
      <c r="D3882" s="1" t="str">
        <f>"2019-06-14"</f>
        <v>2019-06-14</v>
      </c>
      <c r="E3882" s="1" t="str">
        <f>"北京化工大学"</f>
        <v>北京化工大学</v>
      </c>
      <c r="F3882" s="1" t="str">
        <f>"社会体育指导与管理"</f>
        <v>社会体育指导与管理</v>
      </c>
      <c r="G3882" s="1" t="str">
        <f>"河南省南阳市内乡县湍东镇罗岗村李元沟"</f>
        <v>河南省南阳市内乡县湍东镇罗岗村李元沟</v>
      </c>
      <c r="H3882" s="1" t="str">
        <f t="shared" si="1916"/>
        <v>无</v>
      </c>
      <c r="I3882" s="1" t="str">
        <f>"201409-201906 北京化工大学 文法学院 社会体育指导与管理专业就读"</f>
        <v>201409-201906 北京化工大学 文法学院 社会体育指导与管理专业就读</v>
      </c>
    </row>
    <row r="3883" spans="1:9">
      <c r="A3883" s="1" t="str">
        <f>"411327199805180016"</f>
        <v>411327199805180016</v>
      </c>
      <c r="B3883" s="1" t="str">
        <f t="shared" si="1917"/>
        <v>共青团员</v>
      </c>
      <c r="C3883" s="1" t="str">
        <f>"硕士研究生"</f>
        <v>硕士研究生</v>
      </c>
      <c r="D3883" s="1" t="str">
        <f>"20250623"</f>
        <v>20250623</v>
      </c>
      <c r="E3883" s="1" t="str">
        <f>"大连海洋大学"</f>
        <v>大连海洋大学</v>
      </c>
      <c r="F3883" s="1" t="str">
        <f>"农业工程与信息技术"</f>
        <v>农业工程与信息技术</v>
      </c>
      <c r="G3883" s="1" t="str">
        <f>"河南省南阳市内乡县电业新村"</f>
        <v>河南省南阳市内乡县电业新村</v>
      </c>
      <c r="H3883" s="1" t="str">
        <f>"二级甲等普通话证书"</f>
        <v>二级甲等普通话证书</v>
      </c>
      <c r="I3883" s="1" t="str">
        <f>"201909-202106 四川传媒学院，专科，影视编导专业就读。
202106-202204 备考研究生考试。
202209-202506 大连海洋大学，硕士研究生，农业工程与信息技术专业就读
"</f>
        <v>201909-202106 四川传媒学院，专科，影视编导专业就读。
202106-202204 备考研究生考试。
202209-202506 大连海洋大学，硕士研究生，农业工程与信息技术专业就读
</v>
      </c>
    </row>
    <row r="3884" spans="1:9">
      <c r="A3884" s="1" t="str">
        <f>"412828200307091838"</f>
        <v>412828200307091838</v>
      </c>
      <c r="B3884" s="1" t="str">
        <f t="shared" si="1917"/>
        <v>共青团员</v>
      </c>
      <c r="C3884" s="1" t="str">
        <f>"专科"</f>
        <v>专科</v>
      </c>
      <c r="D3884" s="1" t="str">
        <f>"20230701"</f>
        <v>20230701</v>
      </c>
      <c r="E3884" s="1" t="str">
        <f>"信阳职业技术学院"</f>
        <v>信阳职业技术学院</v>
      </c>
      <c r="F3884" s="1" t="str">
        <f>"建筑装饰工程技术"</f>
        <v>建筑装饰工程技术</v>
      </c>
      <c r="G3884" s="1" t="str">
        <f>"河 南 省 新 蔡 县 人民法院六合庄园"</f>
        <v>河 南 省 新 蔡 县 人民法院六合庄园</v>
      </c>
      <c r="H3884" s="1" t="str">
        <f t="shared" ref="H3884:H3889" si="1919">"无"</f>
        <v>无</v>
      </c>
      <c r="I3884" s="1" t="str">
        <f>"202009-202307信阳职业技术学院建筑工程学院建筑装饰工程技术就读
全日制
202307-202508 待业"</f>
        <v>202009-202307信阳职业技术学院建筑工程学院建筑装饰工程技术就读
全日制
202307-202508 待业</v>
      </c>
    </row>
    <row r="3885" spans="1:9">
      <c r="A3885" s="1" t="str">
        <f>"411302199904281341"</f>
        <v>411302199904281341</v>
      </c>
      <c r="B3885" s="1" t="str">
        <f t="shared" si="1917"/>
        <v>共青团员</v>
      </c>
      <c r="C3885" s="1" t="str">
        <f t="shared" ref="C3885:C3890" si="1920">"本科"</f>
        <v>本科</v>
      </c>
      <c r="D3885" s="1" t="str">
        <f>"20210623"</f>
        <v>20210623</v>
      </c>
      <c r="E3885" s="1" t="str">
        <f>"沈阳农业大学"</f>
        <v>沈阳农业大学</v>
      </c>
      <c r="F3885" s="1" t="str">
        <f>"食品质量与安全"</f>
        <v>食品质量与安全</v>
      </c>
      <c r="G3885" s="1" t="str">
        <f>"河南省南阳市卧龙区梅溪街道公交家属院北院139号"</f>
        <v>河南省南阳市卧龙区梅溪街道公交家属院北院139号</v>
      </c>
      <c r="H3885" s="1" t="str">
        <f t="shared" si="1919"/>
        <v>无</v>
      </c>
      <c r="I3885" s="1" t="str">
        <f>"201709-202106沈阳农业大学食品学院食品质量与安全专业就读，全日制学历
202107-202201南阳待业
202202-202206南阳市第七中学代课
202207-202301南阳待业
202302-202506南都实验中学工作"</f>
        <v>201709-202106沈阳农业大学食品学院食品质量与安全专业就读，全日制学历
202107-202201南阳待业
202202-202206南阳市第七中学代课
202207-202301南阳待业
202302-202506南都实验中学工作</v>
      </c>
    </row>
    <row r="3886" spans="1:9">
      <c r="A3886" s="1" t="str">
        <f>"411381199707170832"</f>
        <v>411381199707170832</v>
      </c>
      <c r="B3886" s="1" t="str">
        <f t="shared" si="1917"/>
        <v>共青团员</v>
      </c>
      <c r="C3886" s="1" t="str">
        <f t="shared" si="1920"/>
        <v>本科</v>
      </c>
      <c r="D3886" s="1" t="str">
        <f>"20240701"</f>
        <v>20240701</v>
      </c>
      <c r="E3886" s="1" t="str">
        <f>"武汉科技大学"</f>
        <v>武汉科技大学</v>
      </c>
      <c r="F3886" s="1" t="str">
        <f>"行政管理"</f>
        <v>行政管理</v>
      </c>
      <c r="G3886" s="1" t="str">
        <f>"河南省邓州市南一环四季花城C区"</f>
        <v>河南省邓州市南一环四季花城C区</v>
      </c>
      <c r="H3886" s="1" t="str">
        <f t="shared" si="1919"/>
        <v>无</v>
      </c>
      <c r="I3886" s="1" t="str">
        <f>"201509-201807郑州理工职业学院就读 经贸系 营销与策划 全日制
201808-202202佛山林氏木业家具有限公司
202203-202407武汉科技大学 公共管理系 行政管理 非全日制学历
202408-202506 待业
"</f>
        <v>201509-201807郑州理工职业学院就读 经贸系 营销与策划 全日制
201808-202202佛山林氏木业家具有限公司
202203-202407武汉科技大学 公共管理系 行政管理 非全日制学历
202408-202506 待业
</v>
      </c>
    </row>
    <row r="3887" spans="1:9">
      <c r="A3887" s="1" t="str">
        <f>"411327200111194515"</f>
        <v>411327200111194515</v>
      </c>
      <c r="B3887" s="1" t="str">
        <f t="shared" si="1917"/>
        <v>共青团员</v>
      </c>
      <c r="C3887" s="1" t="str">
        <f t="shared" si="1920"/>
        <v>本科</v>
      </c>
      <c r="D3887" s="1" t="str">
        <f>"20250630"</f>
        <v>20250630</v>
      </c>
      <c r="E3887" s="1" t="str">
        <f>"许昌学院"</f>
        <v>许昌学院</v>
      </c>
      <c r="F3887" s="1" t="str">
        <f>"工商管理"</f>
        <v>工商管理</v>
      </c>
      <c r="G3887" s="1" t="str">
        <f>"河南省南阳市内乡县"</f>
        <v>河南省南阳市内乡县</v>
      </c>
      <c r="H3887" s="1" t="str">
        <f t="shared" si="1919"/>
        <v>无</v>
      </c>
      <c r="I3887" s="1" t="str">
        <f>"202009-202307 三门峡职业技术学院 经济管理学院 旅游管理 就读 全日制
202309-202507 许昌学院 商学院 工商管理 就读 全日制"</f>
        <v>202009-202307 三门峡职业技术学院 经济管理学院 旅游管理 就读 全日制
202309-202507 许昌学院 商学院 工商管理 就读 全日制</v>
      </c>
    </row>
    <row r="3888" spans="1:9">
      <c r="A3888" s="1" t="str">
        <f>"411327199504020019"</f>
        <v>411327199504020019</v>
      </c>
      <c r="B3888" s="1" t="str">
        <f>"群众"</f>
        <v>群众</v>
      </c>
      <c r="C3888" s="1" t="str">
        <f t="shared" si="1920"/>
        <v>本科</v>
      </c>
      <c r="D3888" s="1" t="str">
        <f>"20170701"</f>
        <v>20170701</v>
      </c>
      <c r="E3888" s="1" t="str">
        <f>"河南科技学院"</f>
        <v>河南科技学院</v>
      </c>
      <c r="F3888" s="1" t="str">
        <f>"英语"</f>
        <v>英语</v>
      </c>
      <c r="G3888" s="1" t="str">
        <f>"内乡县北关书院路十巷"</f>
        <v>内乡县北关书院路十巷</v>
      </c>
      <c r="H3888" s="1" t="str">
        <f t="shared" si="1919"/>
        <v>无</v>
      </c>
      <c r="I3888" s="1" t="str">
        <f>"
2013.09-2017.07   河南科技学院就读  全日制学历
2017.07-2019.02    待业
2019.02-2022.09    西安人民大厦 职员
2022.10-2023.05     重庆保利文旅 职员
2023.05-至今       待业
"</f>
        <v>
2013.09-2017.07   河南科技学院就读  全日制学历
2017.07-2019.02    待业
2019.02-2022.09    西安人民大厦 职员
2022.10-2023.05     重庆保利文旅 职员
2023.05-至今       待业
</v>
      </c>
    </row>
    <row r="3889" spans="1:9">
      <c r="A3889" s="1" t="str">
        <f>"411303199801012428"</f>
        <v>411303199801012428</v>
      </c>
      <c r="B3889" s="1" t="str">
        <f t="shared" ref="B3889:B3892" si="1921">"共青团员"</f>
        <v>共青团员</v>
      </c>
      <c r="C3889" s="1" t="str">
        <f t="shared" si="1920"/>
        <v>本科</v>
      </c>
      <c r="D3889" s="1" t="str">
        <f>"20200701"</f>
        <v>20200701</v>
      </c>
      <c r="E3889" s="1" t="str">
        <f>"南阳师范学院"</f>
        <v>南阳师范学院</v>
      </c>
      <c r="F3889" s="1" t="str">
        <f>"法学"</f>
        <v>法学</v>
      </c>
      <c r="G3889" s="1" t="str">
        <f>"河南省南阳市卧龙区张衡东路天泰小区"</f>
        <v>河南省南阳市卧龙区张衡东路天泰小区</v>
      </c>
      <c r="H3889" s="1" t="str">
        <f t="shared" si="1919"/>
        <v>无</v>
      </c>
      <c r="I3889" s="1" t="str">
        <f>"201609-202007  南阳师范学院  法学院  法学专业就读 
202008-202208  疫情封闭 家中待业
202209-202309  牧原食品股份有限公司  采购
202310-至今  备考  家中待业"</f>
        <v>201609-202007  南阳师范学院  法学院  法学专业就读 
202008-202208  疫情封闭 家中待业
202209-202309  牧原食品股份有限公司  采购
202310-至今  备考  家中待业</v>
      </c>
    </row>
    <row r="3890" spans="1:9">
      <c r="A3890" s="1" t="str">
        <f>"412728199803026428"</f>
        <v>412728199803026428</v>
      </c>
      <c r="B3890" s="1" t="str">
        <f>"群众"</f>
        <v>群众</v>
      </c>
      <c r="C3890" s="1" t="str">
        <f t="shared" si="1920"/>
        <v>本科</v>
      </c>
      <c r="D3890" s="1" t="str">
        <f>"202106"</f>
        <v>202106</v>
      </c>
      <c r="E3890" s="1" t="str">
        <f>"河南医药健康技师学院"</f>
        <v>河南医药健康技师学院</v>
      </c>
      <c r="F3890" s="1" t="str">
        <f>"药物分析与检验"</f>
        <v>药物分析与检验</v>
      </c>
      <c r="G3890" s="1" t="str">
        <f>"河南省南阳市西峡县双龙镇"</f>
        <v>河南省南阳市西峡县双龙镇</v>
      </c>
      <c r="H3890" s="1" t="str">
        <f>"计算机一级证书"</f>
        <v>计算机一级证书</v>
      </c>
      <c r="I3890" s="1" t="str">
        <f>"201809-202106在河南医药健康技师学院 制药工程系 药物分析与检验专业就读 全日制学历
202108-202411就职于北京诺赛基因研究中心有限公司
202411-至今  待业"</f>
        <v>201809-202106在河南医药健康技师学院 制药工程系 药物分析与检验专业就读 全日制学历
202108-202411就职于北京诺赛基因研究中心有限公司
202411-至今  待业</v>
      </c>
    </row>
    <row r="3891" spans="1:9">
      <c r="A3891" s="1" t="str">
        <f>"411327199810123913"</f>
        <v>411327199810123913</v>
      </c>
      <c r="B3891" s="1" t="str">
        <f t="shared" si="1921"/>
        <v>共青团员</v>
      </c>
      <c r="C3891" s="1" t="str">
        <f>"专科"</f>
        <v>专科</v>
      </c>
      <c r="D3891" s="1" t="str">
        <f>"20230701"</f>
        <v>20230701</v>
      </c>
      <c r="E3891" s="1" t="str">
        <f>"郑州电子信息职业技术学院"</f>
        <v>郑州电子信息职业技术学院</v>
      </c>
      <c r="F3891" s="1" t="str">
        <f>"广告设计与制作"</f>
        <v>广告设计与制作</v>
      </c>
      <c r="G3891" s="1" t="str">
        <f>"河南省内乡县"</f>
        <v>河南省内乡县</v>
      </c>
      <c r="H3891" s="1" t="str">
        <f t="shared" ref="H3891:H3894" si="1922">"无"</f>
        <v>无</v>
      </c>
      <c r="I3891" s="1" t="str">
        <f>"202009-202306  郑州电子信息职业技术学院 艺术设计系 广告设计与制作专业  就读  全日制学历 
202306-至今  内乡县 待业"</f>
        <v>202009-202306  郑州电子信息职业技术学院 艺术设计系 广告设计与制作专业  就读  全日制学历 
202306-至今  内乡县 待业</v>
      </c>
    </row>
    <row r="3892" spans="1:9">
      <c r="A3892" s="1" t="str">
        <f>"410324199807251447"</f>
        <v>410324199807251447</v>
      </c>
      <c r="B3892" s="1" t="str">
        <f t="shared" si="1921"/>
        <v>共青团员</v>
      </c>
      <c r="C3892" s="1" t="str">
        <f t="shared" ref="C3892:C3896" si="1923">"本科"</f>
        <v>本科</v>
      </c>
      <c r="D3892" s="1" t="str">
        <f>"20210701"</f>
        <v>20210701</v>
      </c>
      <c r="E3892" s="1" t="str">
        <f>"郑州升达经贸管理学院"</f>
        <v>郑州升达经贸管理学院</v>
      </c>
      <c r="F3892" s="1" t="str">
        <f>"金融学（商业银行金融方向）"</f>
        <v>金融学（商业银行金融方向）</v>
      </c>
      <c r="G3892" s="1" t="str">
        <f>"河南省洛阳市栾川县"</f>
        <v>河南省洛阳市栾川县</v>
      </c>
      <c r="H3892" s="1" t="str">
        <f t="shared" si="1922"/>
        <v>无</v>
      </c>
      <c r="I3892" s="1" t="str">
        <f>"201709-202107 郑州升达经贸管理学院 金融学院系 金融学（商业银行金融方向）专业就读，是全日制学历
202107-202507 待业"</f>
        <v>201709-202107 郑州升达经贸管理学院 金融学院系 金融学（商业银行金融方向）专业就读，是全日制学历
202107-202507 待业</v>
      </c>
    </row>
    <row r="3893" spans="1:9">
      <c r="A3893" s="1" t="str">
        <f>"41132620031225512X"</f>
        <v>41132620031225512X</v>
      </c>
      <c r="B3893" s="1" t="str">
        <f>"中共预备党员"</f>
        <v>中共预备党员</v>
      </c>
      <c r="C3893" s="1" t="str">
        <f t="shared" si="1923"/>
        <v>本科</v>
      </c>
      <c r="D3893" s="1" t="str">
        <f>"20250701"</f>
        <v>20250701</v>
      </c>
      <c r="E3893" s="1" t="str">
        <f>"中原科技学院"</f>
        <v>中原科技学院</v>
      </c>
      <c r="F3893" s="1" t="str">
        <f>"日语（师范）"</f>
        <v>日语（师范）</v>
      </c>
      <c r="G3893" s="1" t="str">
        <f>"河南省南阳市南召县南召现代中学家属院"</f>
        <v>河南省南阳市南召县南召现代中学家属院</v>
      </c>
      <c r="H3893" s="1" t="str">
        <f t="shared" si="1922"/>
        <v>无</v>
      </c>
      <c r="I3893" s="1" t="str">
        <f>"202109-202507 中原科技学院 就读日语专业 全日制"</f>
        <v>202109-202507 中原科技学院 就读日语专业 全日制</v>
      </c>
    </row>
    <row r="3894" spans="1:9">
      <c r="A3894" s="1" t="str">
        <f>"41058120010903908X"</f>
        <v>41058120010903908X</v>
      </c>
      <c r="B3894" s="1" t="str">
        <f>"中共党员"</f>
        <v>中共党员</v>
      </c>
      <c r="C3894" s="1" t="str">
        <f t="shared" si="1923"/>
        <v>本科</v>
      </c>
      <c r="D3894" s="1" t="str">
        <f>"20240701"</f>
        <v>20240701</v>
      </c>
      <c r="E3894" s="1" t="str">
        <f>"安阳学院"</f>
        <v>安阳学院</v>
      </c>
      <c r="F3894" s="1" t="str">
        <f>"汉语言文学"</f>
        <v>汉语言文学</v>
      </c>
      <c r="G3894" s="1" t="str">
        <f>"河南省林州市迭坡村西柳树行自然村272号"</f>
        <v>河南省林州市迭坡村西柳树行自然村272号</v>
      </c>
      <c r="H3894" s="1" t="str">
        <f t="shared" si="1922"/>
        <v>无</v>
      </c>
      <c r="I3894" s="1" t="str">
        <f>"202009-202406 安阳学院就读 文法学院汉语言文学专业 全日制本科
202406 至今 待业"</f>
        <v>202009-202406 安阳学院就读 文法学院汉语言文学专业 全日制本科
202406 至今 待业</v>
      </c>
    </row>
    <row r="3895" spans="1:9">
      <c r="A3895" s="1" t="str">
        <f>"411381199405203037"</f>
        <v>411381199405203037</v>
      </c>
      <c r="B3895" s="1" t="str">
        <f t="shared" ref="B3895:B3900" si="1924">"群众"</f>
        <v>群众</v>
      </c>
      <c r="C3895" s="1" t="str">
        <f t="shared" si="1923"/>
        <v>本科</v>
      </c>
      <c r="D3895" s="1" t="str">
        <f>"20230701"</f>
        <v>20230701</v>
      </c>
      <c r="E3895" s="1" t="str">
        <f>"南阳理工学院"</f>
        <v>南阳理工学院</v>
      </c>
      <c r="F3895" s="1" t="str">
        <f>"土木工程"</f>
        <v>土木工程</v>
      </c>
      <c r="G3895" s="1" t="str">
        <f>"邓州市花洲街道新华东路幸福家园"</f>
        <v>邓州市花洲街道新华东路幸福家园</v>
      </c>
      <c r="H3895" s="1" t="str">
        <f>"助理工程师"</f>
        <v>助理工程师</v>
      </c>
      <c r="I3895" s="1" t="str">
        <f>"201309-201606 新疆工程学院采矿工程系工程测量专业就读，全日制大专学历
201607-201705在家待业
201706-201903河南明悦工程有限公司工作
201904-202010在家待业
202011-202110就职于镇平县万德隆商贸有限公司
202111-至今就职于淅川县林业局"</f>
        <v>201309-201606 新疆工程学院采矿工程系工程测量专业就读，全日制大专学历
201607-201705在家待业
201706-201903河南明悦工程有限公司工作
201904-202010在家待业
202011-202110就职于镇平县万德隆商贸有限公司
202111-至今就职于淅川县林业局</v>
      </c>
    </row>
    <row r="3896" spans="1:9">
      <c r="A3896" s="1" t="str">
        <f>"411327199903094525"</f>
        <v>411327199903094525</v>
      </c>
      <c r="B3896" s="1" t="str">
        <f t="shared" si="1924"/>
        <v>群众</v>
      </c>
      <c r="C3896" s="1" t="str">
        <f t="shared" si="1923"/>
        <v>本科</v>
      </c>
      <c r="D3896" s="1" t="str">
        <f>"20210701"</f>
        <v>20210701</v>
      </c>
      <c r="E3896" s="1" t="str">
        <f>"河南财政金融学院"</f>
        <v>河南财政金融学院</v>
      </c>
      <c r="F3896" s="1" t="str">
        <f>"会计学"</f>
        <v>会计学</v>
      </c>
      <c r="G3896" s="1" t="str">
        <f>"河南省内乡县湍东镇360精致酒店附近"</f>
        <v>河南省内乡县湍东镇360精致酒店附近</v>
      </c>
      <c r="H3896" s="1" t="str">
        <f>"计算机二级、英语四级"</f>
        <v>计算机二级、英语四级</v>
      </c>
      <c r="I3896" s="1" t="str">
        <f>"201709-202107就读于河南财政金融学院，会计学院会计系，全日制本科
202107-202207就职于中原银行内乡支行柜员岗
202207至今，就职于内乡郦都学校教学岗，任教八九年级物理并担任班主任"</f>
        <v>201709-202107就读于河南财政金融学院，会计学院会计系，全日制本科
202107-202207就职于中原银行内乡支行柜员岗
202207至今，就职于内乡郦都学校教学岗，任教八九年级物理并担任班主任</v>
      </c>
    </row>
    <row r="3897" spans="1:9">
      <c r="A3897" s="1" t="str">
        <f>"411327199602014245"</f>
        <v>411327199602014245</v>
      </c>
      <c r="B3897" s="1" t="str">
        <f t="shared" si="1924"/>
        <v>群众</v>
      </c>
      <c r="C3897" s="1" t="str">
        <f>"专科"</f>
        <v>专科</v>
      </c>
      <c r="D3897" s="1" t="str">
        <f>"201607"</f>
        <v>201607</v>
      </c>
      <c r="E3897" s="1" t="str">
        <f>"南阳师范学院"</f>
        <v>南阳师范学院</v>
      </c>
      <c r="F3897" s="1" t="str">
        <f>"学前教育"</f>
        <v>学前教育</v>
      </c>
      <c r="G3897" s="1" t="str">
        <f>"河南省南阳市内乡县余关乡麦山村"</f>
        <v>河南省南阳市内乡县余关乡麦山村</v>
      </c>
      <c r="H3897" s="1" t="str">
        <f t="shared" ref="H3897:H3901" si="1925">"无"</f>
        <v>无</v>
      </c>
      <c r="I3897" s="1" t="str">
        <f>"2011.9-2016.7在南阳师范学院学前教育专业就读，是全日制学历。2016.8-2018.7在余关幼儿园教学，2018.9-2021.7教小学二年级语文，2021.8-2022.12在郑州学习甜品，2023.1-2025.7在余关幼儿园教学。"</f>
        <v>2011.9-2016.7在南阳师范学院学前教育专业就读，是全日制学历。2016.8-2018.7在余关幼儿园教学，2018.9-2021.7教小学二年级语文，2021.8-2022.12在郑州学习甜品，2023.1-2025.7在余关幼儿园教学。</v>
      </c>
    </row>
    <row r="3898" spans="1:9">
      <c r="A3898" s="1" t="str">
        <f>"411327199905131123"</f>
        <v>411327199905131123</v>
      </c>
      <c r="B3898" s="1" t="str">
        <f t="shared" si="1924"/>
        <v>群众</v>
      </c>
      <c r="C3898" s="1" t="str">
        <f t="shared" ref="C3898:C3902" si="1926">"本科"</f>
        <v>本科</v>
      </c>
      <c r="D3898" s="1" t="str">
        <f>"20210701"</f>
        <v>20210701</v>
      </c>
      <c r="E3898" s="1" t="str">
        <f>"河南牧业经济学院"</f>
        <v>河南牧业经济学院</v>
      </c>
      <c r="F3898" s="1" t="str">
        <f>"财务管理"</f>
        <v>财务管理</v>
      </c>
      <c r="G3898" s="1" t="str">
        <f>"河南省南阳市内乡县赤眉镇王堂村席营"</f>
        <v>河南省南阳市内乡县赤眉镇王堂村席营</v>
      </c>
      <c r="H3898" s="1" t="str">
        <f>"初级会计资格证书"</f>
        <v>初级会计资格证书</v>
      </c>
      <c r="I3898" s="1" t="str">
        <f>"201709-202107 河南牧业经济学院金融与会计学院财务管理专业就读，全日制学历；202107-202110在河南省南阳市内乡县赤眉镇王堂村待业；202110-202206 南阳轻舟装饰公司担任会计；202207-至今在南阳市卧龙区康宁养老院担任出纳"</f>
        <v>201709-202107 河南牧业经济学院金融与会计学院财务管理专业就读，全日制学历；202107-202110在河南省南阳市内乡县赤眉镇王堂村待业；202110-202206 南阳轻舟装饰公司担任会计；202207-至今在南阳市卧龙区康宁养老院担任出纳</v>
      </c>
    </row>
    <row r="3899" spans="1:9">
      <c r="A3899" s="1" t="str">
        <f>"41132719960828203X"</f>
        <v>41132719960828203X</v>
      </c>
      <c r="B3899" s="1" t="str">
        <f t="shared" si="1924"/>
        <v>群众</v>
      </c>
      <c r="C3899" s="1" t="str">
        <f t="shared" si="1926"/>
        <v>本科</v>
      </c>
      <c r="D3899" s="1" t="str">
        <f>"2019-07-01"</f>
        <v>2019-07-01</v>
      </c>
      <c r="E3899" s="1" t="str">
        <f>"许昌学院"</f>
        <v>许昌学院</v>
      </c>
      <c r="F3899" s="1" t="str">
        <f>"工商管理"</f>
        <v>工商管理</v>
      </c>
      <c r="G3899" s="1" t="str">
        <f>"内乡县五里堡转盘北斗星城小区"</f>
        <v>内乡县五里堡转盘北斗星城小区</v>
      </c>
      <c r="H3899" s="1" t="str">
        <f t="shared" si="1925"/>
        <v>无</v>
      </c>
      <c r="I3899" s="1" t="str">
        <f>"201509-201907就读于许昌学院经管系工商管理专业，为全日制学历
201907-202205就职于中国电信南阳分公司
202206-目前就职于平安财产保险公司南阳中心支公司"</f>
        <v>201509-201907就读于许昌学院经管系工商管理专业，为全日制学历
201907-202205就职于中国电信南阳分公司
202206-目前就职于平安财产保险公司南阳中心支公司</v>
      </c>
    </row>
    <row r="3900" spans="1:9">
      <c r="A3900" s="1" t="str">
        <f>"411327200305314511"</f>
        <v>411327200305314511</v>
      </c>
      <c r="B3900" s="1" t="str">
        <f t="shared" si="1924"/>
        <v>群众</v>
      </c>
      <c r="C3900" s="1" t="str">
        <f>"专科"</f>
        <v>专科</v>
      </c>
      <c r="D3900" s="1" t="str">
        <f>"20240701"</f>
        <v>20240701</v>
      </c>
      <c r="E3900" s="1" t="str">
        <f>"商丘工学院"</f>
        <v>商丘工学院</v>
      </c>
      <c r="F3900" s="1" t="str">
        <f>"医学检验技术"</f>
        <v>医学检验技术</v>
      </c>
      <c r="G3900" s="1" t="str">
        <f>"河南省南阳市内乡县赵店乡"</f>
        <v>河南省南阳市内乡县赵店乡</v>
      </c>
      <c r="H3900" s="1" t="str">
        <f t="shared" si="1925"/>
        <v>无</v>
      </c>
      <c r="I3900" s="1" t="str">
        <f>"202109-202407在商丘工学院医学院医学检验技术专业就读。"</f>
        <v>202109-202407在商丘工学院医学院医学检验技术专业就读。</v>
      </c>
    </row>
    <row r="3901" spans="1:9">
      <c r="A3901" s="1" t="str">
        <f>"411327200101254529"</f>
        <v>411327200101254529</v>
      </c>
      <c r="B3901" s="1" t="str">
        <f>"共青团员"</f>
        <v>共青团员</v>
      </c>
      <c r="C3901" s="1" t="str">
        <f t="shared" si="1926"/>
        <v>本科</v>
      </c>
      <c r="D3901" s="1" t="str">
        <f>"20220701"</f>
        <v>20220701</v>
      </c>
      <c r="E3901" s="1" t="str">
        <f>"郑州航空工业管理学院"</f>
        <v>郑州航空工业管理学院</v>
      </c>
      <c r="F3901" s="1" t="str">
        <f>"工商管理"</f>
        <v>工商管理</v>
      </c>
      <c r="G3901" s="1" t="str">
        <f>"内乡县"</f>
        <v>内乡县</v>
      </c>
      <c r="H3901" s="1" t="str">
        <f t="shared" si="1925"/>
        <v>无</v>
      </c>
      <c r="I3901" s="1" t="str">
        <f>"20180901-20220701  郑州航空工业管理学院商学院工商管理专业就读  全日制学历"</f>
        <v>20180901-20220701  郑州航空工业管理学院商学院工商管理专业就读  全日制学历</v>
      </c>
    </row>
    <row r="3902" spans="1:9">
      <c r="A3902" s="1" t="str">
        <f>"411325199908040646"</f>
        <v>411325199908040646</v>
      </c>
      <c r="B3902" s="1" t="str">
        <f t="shared" ref="B3902:B3904" si="1927">"群众"</f>
        <v>群众</v>
      </c>
      <c r="C3902" s="1" t="str">
        <f t="shared" si="1926"/>
        <v>本科</v>
      </c>
      <c r="D3902" s="1" t="str">
        <f>"20210701"</f>
        <v>20210701</v>
      </c>
      <c r="E3902" s="1" t="str">
        <f>"河南工学院"</f>
        <v>河南工学院</v>
      </c>
      <c r="F3902" s="1" t="str">
        <f>"工业工程"</f>
        <v>工业工程</v>
      </c>
      <c r="G3902" s="1" t="str">
        <f>"河南省南阳市内乡县城关镇南湖湾"</f>
        <v>河南省南阳市内乡县城关镇南湖湾</v>
      </c>
      <c r="H3902" s="1" t="str">
        <f>"普通话二甲"</f>
        <v>普通话二甲</v>
      </c>
      <c r="I3902" s="1" t="str">
        <f>"201709-202107 河南工学院管理学院工业工程专业就读 全日制学历，202107-202201 待 业
202202-202507 河南华福科技包装有限公司就业"</f>
        <v>201709-202107 河南工学院管理学院工业工程专业就读 全日制学历，202107-202201 待 业
202202-202507 河南华福科技包装有限公司就业</v>
      </c>
    </row>
    <row r="3903" spans="1:9">
      <c r="A3903" s="1" t="str">
        <f>"411327199304250012"</f>
        <v>411327199304250012</v>
      </c>
      <c r="B3903" s="1" t="str">
        <f t="shared" si="1927"/>
        <v>群众</v>
      </c>
      <c r="C3903" s="1" t="str">
        <f>"专科"</f>
        <v>专科</v>
      </c>
      <c r="D3903" s="1" t="str">
        <f>"20220701"</f>
        <v>20220701</v>
      </c>
      <c r="E3903" s="1" t="str">
        <f>"三门峡社会管理职业学院"</f>
        <v>三门峡社会管理职业学院</v>
      </c>
      <c r="F3903" s="1" t="str">
        <f>"公共事务管理"</f>
        <v>公共事务管理</v>
      </c>
      <c r="G3903" s="1" t="str">
        <f>"南阳"</f>
        <v>南阳</v>
      </c>
      <c r="H3903" s="1" t="str">
        <f t="shared" ref="H3903:H3909" si="1928">"无"</f>
        <v>无</v>
      </c>
      <c r="I3903" s="1" t="str">
        <f>"2001年至2007年在老庄小学
2007年至2010年在南阳市十九中上中学
2010年至2012年在南阳市经管学校上中专
2012年至2015年在部队服役
2017年至2018年在南阳市机关事务管理局工作
2020年至2022年在三门峡社会管理学院上大专
2018年至今在市人大工作"</f>
        <v>2001年至2007年在老庄小学
2007年至2010年在南阳市十九中上中学
2010年至2012年在南阳市经管学校上中专
2012年至2015年在部队服役
2017年至2018年在南阳市机关事务管理局工作
2020年至2022年在三门峡社会管理学院上大专
2018年至今在市人大工作</v>
      </c>
    </row>
    <row r="3904" spans="1:9">
      <c r="A3904" s="1" t="str">
        <f>"41103220010607082X"</f>
        <v>41103220010607082X</v>
      </c>
      <c r="B3904" s="1" t="str">
        <f t="shared" si="1927"/>
        <v>群众</v>
      </c>
      <c r="C3904" s="1" t="str">
        <f t="shared" ref="C3904:C3908" si="1929">"本科"</f>
        <v>本科</v>
      </c>
      <c r="D3904" s="1" t="str">
        <f>"20230630"</f>
        <v>20230630</v>
      </c>
      <c r="E3904" s="1" t="str">
        <f>"内蒙古大学"</f>
        <v>内蒙古大学</v>
      </c>
      <c r="F3904" s="1" t="str">
        <f>"公共事业管理"</f>
        <v>公共事业管理</v>
      </c>
      <c r="G3904" s="1" t="str">
        <f>"河南省南阳市光武东路34号"</f>
        <v>河南省南阳市光武东路34号</v>
      </c>
      <c r="H3904" s="1" t="str">
        <f t="shared" si="1928"/>
        <v>无</v>
      </c>
      <c r="I3904" s="1" t="str">
        <f>"201908-202306 内蒙古大学公共管理学院公共事业管理专业就读全日制学历；202306-202309 河南省南阳市待业；202309-至今 新野县人力资源和社会保障局三支一扶人员"</f>
        <v>201908-202306 内蒙古大学公共管理学院公共事业管理专业就读全日制学历；202306-202309 河南省南阳市待业；202309-至今 新野县人力资源和社会保障局三支一扶人员</v>
      </c>
    </row>
    <row r="3905" spans="1:9">
      <c r="A3905" s="1" t="str">
        <f>"411522199610094256"</f>
        <v>411522199610094256</v>
      </c>
      <c r="B3905" s="1" t="str">
        <f>"中共党员"</f>
        <v>中共党员</v>
      </c>
      <c r="C3905" s="1" t="str">
        <f>"硕士研究生"</f>
        <v>硕士研究生</v>
      </c>
      <c r="D3905" s="1" t="str">
        <f>"20250701"</f>
        <v>20250701</v>
      </c>
      <c r="E3905" s="1" t="str">
        <f>"河南师范大学"</f>
        <v>河南师范大学</v>
      </c>
      <c r="F3905" s="1" t="str">
        <f>"中国史"</f>
        <v>中国史</v>
      </c>
      <c r="G3905" s="1" t="str">
        <f>"河南省信阳市光山县晏河乡快递服务中心"</f>
        <v>河南省信阳市光山县晏河乡快递服务中心</v>
      </c>
      <c r="H3905" s="1" t="str">
        <f t="shared" si="1928"/>
        <v>无</v>
      </c>
      <c r="I3905" s="1" t="str">
        <f>"201509-201608、201809-202107 河南科技学院新科学院 就读。英语师范专业，全日制本科学士
201609-201809中国人民解放军32153部队
202110-202507河南师范大学，中国史，全日制硕士研究生"</f>
        <v>201509-201608、201809-202107 河南科技学院新科学院 就读。英语师范专业，全日制本科学士
201609-201809中国人民解放军32153部队
202110-202507河南师范大学，中国史，全日制硕士研究生</v>
      </c>
    </row>
    <row r="3906" spans="1:9">
      <c r="A3906" s="1" t="str">
        <f>"411327200109064922"</f>
        <v>411327200109064922</v>
      </c>
      <c r="B3906" s="1" t="str">
        <f>"共青团员"</f>
        <v>共青团员</v>
      </c>
      <c r="C3906" s="1" t="str">
        <f t="shared" si="1929"/>
        <v>本科</v>
      </c>
      <c r="D3906" s="1" t="str">
        <f>"2023-07-01"</f>
        <v>2023-07-01</v>
      </c>
      <c r="E3906" s="1" t="str">
        <f>"河南师范大学新联学院"</f>
        <v>河南师范大学新联学院</v>
      </c>
      <c r="F3906" s="1" t="str">
        <f>"财务会计教育"</f>
        <v>财务会计教育</v>
      </c>
      <c r="G3906" s="1" t="str">
        <f>"内乡县财富广场"</f>
        <v>内乡县财富广场</v>
      </c>
      <c r="H3906" s="1" t="str">
        <f t="shared" si="1928"/>
        <v>无</v>
      </c>
      <c r="I3906" s="1" t="str">
        <f>"2019年9月-2023年7月在河南师范大学新联学院学校商学院财务会计教育专业就读，全日制学历；
2023年7月至今 待业"</f>
        <v>2019年9月-2023年7月在河南师范大学新联学院学校商学院财务会计教育专业就读，全日制学历；
2023年7月至今 待业</v>
      </c>
    </row>
    <row r="3907" spans="1:9">
      <c r="A3907" s="1" t="str">
        <f>"411324200202050024"</f>
        <v>411324200202050024</v>
      </c>
      <c r="B3907" s="1" t="str">
        <f>"共青团员"</f>
        <v>共青团员</v>
      </c>
      <c r="C3907" s="1" t="str">
        <f t="shared" si="1929"/>
        <v>本科</v>
      </c>
      <c r="D3907" s="1" t="str">
        <f>"20240701"</f>
        <v>20240701</v>
      </c>
      <c r="E3907" s="1" t="str">
        <f>"许昌学院"</f>
        <v>许昌学院</v>
      </c>
      <c r="F3907" s="1" t="str">
        <f>"汉语言文学"</f>
        <v>汉语言文学</v>
      </c>
      <c r="G3907" s="1" t="str">
        <f>"河南内乡"</f>
        <v>河南内乡</v>
      </c>
      <c r="H3907" s="1" t="str">
        <f t="shared" si="1928"/>
        <v>无</v>
      </c>
      <c r="I3907" s="1" t="str">
        <f>"201909—202207  河南财政金融学院就读 文化与传媒学院 语文教育
202209—202407  许昌学院  文化与传播学院  汉语言文学"</f>
        <v>201909—202207  河南财政金融学院就读 文化与传媒学院 语文教育
202209—202407  许昌学院  文化与传播学院  汉语言文学</v>
      </c>
    </row>
    <row r="3908" spans="1:9">
      <c r="A3908" s="1" t="str">
        <f>"411326200302060417"</f>
        <v>411326200302060417</v>
      </c>
      <c r="B3908" s="1" t="str">
        <f t="shared" ref="B3908:B3911" si="1930">"群众"</f>
        <v>群众</v>
      </c>
      <c r="C3908" s="1" t="str">
        <f t="shared" si="1929"/>
        <v>本科</v>
      </c>
      <c r="D3908" s="1" t="str">
        <f>"2025-06-13"</f>
        <v>2025-06-13</v>
      </c>
      <c r="E3908" s="1" t="str">
        <f>"新乡医学院三全学院"</f>
        <v>新乡医学院三全学院</v>
      </c>
      <c r="F3908" s="1" t="str">
        <f>"生物技术"</f>
        <v>生物技术</v>
      </c>
      <c r="G3908" s="1" t="str">
        <f>"河南省南阳市南召县城"</f>
        <v>河南省南阳市南召县城</v>
      </c>
      <c r="H3908" s="1" t="str">
        <f t="shared" si="1928"/>
        <v>无</v>
      </c>
      <c r="I3908" s="1" t="str">
        <f>"202109-202506 新乡医学院三全学院 生物技术专业 就读。"</f>
        <v>202109-202506 新乡医学院三全学院 生物技术专业 就读。</v>
      </c>
    </row>
    <row r="3909" ht="108" spans="1:9">
      <c r="A3909" s="1" t="str">
        <f>"411327199301010638"</f>
        <v>411327199301010638</v>
      </c>
      <c r="B3909" s="1" t="str">
        <f t="shared" si="1930"/>
        <v>群众</v>
      </c>
      <c r="C3909" s="1" t="str">
        <f>"专科"</f>
        <v>专科</v>
      </c>
      <c r="D3909" s="1" t="str">
        <f>"20150701"</f>
        <v>20150701</v>
      </c>
      <c r="E3909" s="1" t="str">
        <f>"郑州财经学院"</f>
        <v>郑州财经学院</v>
      </c>
      <c r="F3909" s="1" t="str">
        <f>"市场营销"</f>
        <v>市场营销</v>
      </c>
      <c r="G3909" s="1" t="str">
        <f>"内乡县城关镇北关丽都花园小区10号楼"</f>
        <v>内乡县城关镇北关丽都花园小区10号楼</v>
      </c>
      <c r="H3909" s="1" t="str">
        <f t="shared" si="1928"/>
        <v>无</v>
      </c>
      <c r="I3909" s="3" t="s">
        <v>270</v>
      </c>
    </row>
    <row r="3910" spans="1:9">
      <c r="A3910" s="1" t="str">
        <f>"411321200007166196"</f>
        <v>411321200007166196</v>
      </c>
      <c r="B3910" s="1" t="str">
        <f t="shared" si="1930"/>
        <v>群众</v>
      </c>
      <c r="C3910" s="1" t="str">
        <f>"专科"</f>
        <v>专科</v>
      </c>
      <c r="D3910" s="1" t="str">
        <f>"20230630"</f>
        <v>20230630</v>
      </c>
      <c r="E3910" s="1" t="str">
        <f>"南阳市农业职业学院"</f>
        <v>南阳市农业职业学院</v>
      </c>
      <c r="F3910" s="1" t="str">
        <f>"计算机应用技术"</f>
        <v>计算机应用技术</v>
      </c>
      <c r="G3910" s="1" t="str">
        <f>"南阳市建业森林半岛三期"</f>
        <v>南阳市建业森林半岛三期</v>
      </c>
      <c r="H3910" s="1" t="str">
        <f>"计算机程序设计员四级"</f>
        <v>计算机程序设计员四级</v>
      </c>
      <c r="I3910" s="1" t="str">
        <f>"202010-202306南阳农业职业学院信息工程系计算机应用技术全日制
202306-202510待业"</f>
        <v>202010-202306南阳农业职业学院信息工程系计算机应用技术全日制
202306-202510待业</v>
      </c>
    </row>
    <row r="3911" spans="1:9">
      <c r="A3911" s="1" t="str">
        <f>"411381199912283932"</f>
        <v>411381199912283932</v>
      </c>
      <c r="B3911" s="1" t="str">
        <f t="shared" si="1930"/>
        <v>群众</v>
      </c>
      <c r="C3911" s="1" t="str">
        <f t="shared" ref="C3911:C3916" si="1931">"本科"</f>
        <v>本科</v>
      </c>
      <c r="D3911" s="1" t="str">
        <f>"2024.7"</f>
        <v>2024.7</v>
      </c>
      <c r="E3911" s="1" t="str">
        <f>"西安工业大学"</f>
        <v>西安工业大学</v>
      </c>
      <c r="F3911" s="1" t="str">
        <f>"计算机应用与技术"</f>
        <v>计算机应用与技术</v>
      </c>
      <c r="G3911" s="1" t="str">
        <f>"河南省邓州市罗庄镇"</f>
        <v>河南省邓州市罗庄镇</v>
      </c>
      <c r="H3911" s="1" t="str">
        <f t="shared" ref="H3911:H3915" si="1932">"无"</f>
        <v>无</v>
      </c>
      <c r="I3911" s="1" t="str">
        <f>"201909-202207河南交通职业技术学院汽车院校汽车运用与维修技术全日制就读
202207—202304邓州市待业
202304—202507西安工业大学计算机应用与技术函授本科就读
"</f>
        <v>201909-202207河南交通职业技术学院汽车院校汽车运用与维修技术全日制就读
202207—202304邓州市待业
202304—202507西安工业大学计算机应用与技术函授本科就读
</v>
      </c>
    </row>
    <row r="3912" spans="1:9">
      <c r="A3912" s="1" t="str">
        <f>"411327200012272012"</f>
        <v>411327200012272012</v>
      </c>
      <c r="B3912" s="1" t="str">
        <f>"共青团员"</f>
        <v>共青团员</v>
      </c>
      <c r="C3912" s="1" t="str">
        <f t="shared" si="1931"/>
        <v>本科</v>
      </c>
      <c r="D3912" s="1" t="str">
        <f>"20230701"</f>
        <v>20230701</v>
      </c>
      <c r="E3912" s="1" t="str">
        <f>"郑州航空工业管理学院"</f>
        <v>郑州航空工业管理学院</v>
      </c>
      <c r="F3912" s="1" t="str">
        <f>"金融工程"</f>
        <v>金融工程</v>
      </c>
      <c r="G3912" s="1" t="str">
        <f>"内乡县盛景湾"</f>
        <v>内乡县盛景湾</v>
      </c>
      <c r="H3912" s="1" t="str">
        <f t="shared" si="1932"/>
        <v>无</v>
      </c>
      <c r="I3912" s="1" t="str">
        <f>"201909-202307郑州航空工业管理学院学校经济学院金融工程专业就读，是全日制学历。"</f>
        <v>201909-202307郑州航空工业管理学院学校经济学院金融工程专业就读，是全日制学历。</v>
      </c>
    </row>
    <row r="3913" spans="1:9">
      <c r="A3913" s="1" t="str">
        <f>"411327200405063326"</f>
        <v>411327200405063326</v>
      </c>
      <c r="B3913" s="1" t="str">
        <f>"共青团员"</f>
        <v>共青团员</v>
      </c>
      <c r="C3913" s="1" t="str">
        <f t="shared" si="1931"/>
        <v>本科</v>
      </c>
      <c r="D3913" s="1" t="str">
        <f>"20250630"</f>
        <v>20250630</v>
      </c>
      <c r="E3913" s="1" t="str">
        <f>"郑州航空工业管理学院"</f>
        <v>郑州航空工业管理学院</v>
      </c>
      <c r="F3913" s="1" t="str">
        <f>"会计学（CIMA方向）"</f>
        <v>会计学（CIMA方向）</v>
      </c>
      <c r="G3913" s="1" t="str">
        <f>"河南省南阳市内乡县林场小区"</f>
        <v>河南省南阳市内乡县林场小区</v>
      </c>
      <c r="H3913" s="1" t="str">
        <f t="shared" si="1932"/>
        <v>无</v>
      </c>
      <c r="I3913" s="1" t="str">
        <f>"202109-202506郑州航空工业管理学院商学院会计学（CIMA方向）专业就读，全日制。"</f>
        <v>202109-202506郑州航空工业管理学院商学院会计学（CIMA方向）专业就读，全日制。</v>
      </c>
    </row>
    <row r="3914" spans="1:9">
      <c r="A3914" s="1" t="str">
        <f>"411327199807150048"</f>
        <v>411327199807150048</v>
      </c>
      <c r="B3914" s="1" t="str">
        <f t="shared" ref="B3914:B3917" si="1933">"群众"</f>
        <v>群众</v>
      </c>
      <c r="C3914" s="1" t="str">
        <f t="shared" si="1931"/>
        <v>本科</v>
      </c>
      <c r="D3914" s="1" t="str">
        <f>"20290607"</f>
        <v>20290607</v>
      </c>
      <c r="E3914" s="1" t="str">
        <f>"河南大学民生学院"</f>
        <v>河南大学民生学院</v>
      </c>
      <c r="F3914" s="1" t="str">
        <f>"河南大学民生学院"</f>
        <v>河南大学民生学院</v>
      </c>
      <c r="G3914" s="1" t="str">
        <f>"内乡县南关老樊水产"</f>
        <v>内乡县南关老樊水产</v>
      </c>
      <c r="H3914" s="1" t="str">
        <f t="shared" si="1932"/>
        <v>无</v>
      </c>
      <c r="I3914" s="1" t="str">
        <f>"201609-2020-06 河南大学民生学院艺术学院广播电视编导专业就读，全日制本科学历"</f>
        <v>201609-2020-06 河南大学民生学院艺术学院广播电视编导专业就读，全日制本科学历</v>
      </c>
    </row>
    <row r="3915" spans="1:9">
      <c r="A3915" s="1" t="str">
        <f>"411327199603061529"</f>
        <v>411327199603061529</v>
      </c>
      <c r="B3915" s="1" t="str">
        <f t="shared" si="1933"/>
        <v>群众</v>
      </c>
      <c r="C3915" s="1" t="str">
        <f t="shared" si="1931"/>
        <v>本科</v>
      </c>
      <c r="D3915" s="1" t="str">
        <f>"20170607"</f>
        <v>20170607</v>
      </c>
      <c r="E3915" s="1" t="str">
        <f>"宜春学院"</f>
        <v>宜春学院</v>
      </c>
      <c r="F3915" s="1" t="str">
        <f>"光电信息科学与工程"</f>
        <v>光电信息科学与工程</v>
      </c>
      <c r="G3915" s="1" t="str">
        <f>"河南省南阳市内乡县一小旁"</f>
        <v>河南省南阳市内乡县一小旁</v>
      </c>
      <c r="H3915" s="1" t="str">
        <f t="shared" si="1932"/>
        <v>无</v>
      </c>
      <c r="I3915" s="1" t="str">
        <f>"2010.9-2013.6  内乡一高读书
2013.9-2017.6  宜春学院读书
2017.9-2024.1  内乡复兴初中教学
"</f>
        <v>2010.9-2013.6  内乡一高读书
2013.9-2017.6  宜春学院读书
2017.9-2024.1  内乡复兴初中教学
</v>
      </c>
    </row>
    <row r="3916" spans="1:9">
      <c r="A3916" s="1" t="str">
        <f>"340504200002120610"</f>
        <v>340504200002120610</v>
      </c>
      <c r="B3916" s="1" t="str">
        <f>"中共党员"</f>
        <v>中共党员</v>
      </c>
      <c r="C3916" s="1" t="str">
        <f t="shared" si="1931"/>
        <v>本科</v>
      </c>
      <c r="D3916" s="1" t="str">
        <f>"20230701"</f>
        <v>20230701</v>
      </c>
      <c r="E3916" s="1" t="str">
        <f>"江西师范大学科学技术学院"</f>
        <v>江西师范大学科学技术学院</v>
      </c>
      <c r="F3916" s="1" t="str">
        <f>"财务管理"</f>
        <v>财务管理</v>
      </c>
      <c r="G3916" s="1" t="str">
        <f>"安徽省马鞍山市雨山区雨田村8栋402"</f>
        <v>安徽省马鞍山市雨山区雨田村8栋402</v>
      </c>
      <c r="H3916" s="1" t="str">
        <f>"初级会计专业资格"</f>
        <v>初级会计专业资格</v>
      </c>
      <c r="I3916" s="1" t="str">
        <f>"20190901-20230701 江西师范大学科学技术学院商学院财务管理专业就读 全日制统招本科
20230701-至今 待业"</f>
        <v>20190901-20230701 江西师范大学科学技术学院商学院财务管理专业就读 全日制统招本科
20230701-至今 待业</v>
      </c>
    </row>
    <row r="3917" spans="1:9">
      <c r="A3917" s="1" t="str">
        <f>"411303200002200014"</f>
        <v>411303200002200014</v>
      </c>
      <c r="B3917" s="1" t="str">
        <f t="shared" si="1933"/>
        <v>群众</v>
      </c>
      <c r="C3917" s="1" t="str">
        <f t="shared" ref="C3917:C3922" si="1934">"专科"</f>
        <v>专科</v>
      </c>
      <c r="D3917" s="1" t="str">
        <f>"20210630"</f>
        <v>20210630</v>
      </c>
      <c r="E3917" s="1" t="str">
        <f>"河南建筑职业技术学院"</f>
        <v>河南建筑职业技术学院</v>
      </c>
      <c r="F3917" s="1" t="str">
        <f>"给排水工程技术"</f>
        <v>给排水工程技术</v>
      </c>
      <c r="G3917" s="1" t="str">
        <f>"南阳市宛城区城建小区"</f>
        <v>南阳市宛城区城建小区</v>
      </c>
      <c r="H3917" s="1" t="str">
        <f t="shared" ref="H3917:H3921" si="1935">"无"</f>
        <v>无</v>
      </c>
      <c r="I3917" s="1" t="str">
        <f>"201809-202106 河南建筑职业技术学院设备工程系给排水工程技术专业就读
202106-202210内乡县人民检察院 司法辅助人员
202210-202407内乡县人民检察院 聘任制书记员
202407-至今 待业"</f>
        <v>201809-202106 河南建筑职业技术学院设备工程系给排水工程技术专业就读
202106-202210内乡县人民检察院 司法辅助人员
202210-202407内乡县人民检察院 聘任制书记员
202407-至今 待业</v>
      </c>
    </row>
    <row r="3918" spans="1:9">
      <c r="A3918" s="1" t="str">
        <f>"411327200111150029"</f>
        <v>411327200111150029</v>
      </c>
      <c r="B3918" s="1" t="str">
        <f>"共青团员"</f>
        <v>共青团员</v>
      </c>
      <c r="C3918" s="1" t="str">
        <f t="shared" ref="C3918:C3924" si="1936">"本科"</f>
        <v>本科</v>
      </c>
      <c r="D3918" s="1" t="str">
        <f>"2023-06-22"</f>
        <v>2023-06-22</v>
      </c>
      <c r="E3918" s="1" t="str">
        <f>"海南科技职业大学"</f>
        <v>海南科技职业大学</v>
      </c>
      <c r="F3918" s="1" t="str">
        <f>"大数据技术与应用"</f>
        <v>大数据技术与应用</v>
      </c>
      <c r="G3918" s="1" t="str">
        <f>"河南省南阳市内乡县城关镇小红美业附近"</f>
        <v>河南省南阳市内乡县城关镇小红美业附近</v>
      </c>
      <c r="H3918" s="1" t="str">
        <f t="shared" si="1935"/>
        <v>无</v>
      </c>
      <c r="I3918" s="1" t="str">
        <f>"201909-202306 海南科技职业大学信息工程学院大数据技术与应用专业 就读
202306-至今  待业"</f>
        <v>201909-202306 海南科技职业大学信息工程学院大数据技术与应用专业 就读
202306-至今  待业</v>
      </c>
    </row>
    <row r="3919" spans="1:9">
      <c r="A3919" s="1" t="str">
        <f>"411327199804063942"</f>
        <v>411327199804063942</v>
      </c>
      <c r="B3919" s="1" t="str">
        <f>"中共党员"</f>
        <v>中共党员</v>
      </c>
      <c r="C3919" s="1" t="str">
        <f>"硕士研究生"</f>
        <v>硕士研究生</v>
      </c>
      <c r="D3919" s="1" t="str">
        <f>"20240701"</f>
        <v>20240701</v>
      </c>
      <c r="E3919" s="1" t="str">
        <f>"河南科技学院"</f>
        <v>河南科技学院</v>
      </c>
      <c r="F3919" s="1" t="str">
        <f>"作物学"</f>
        <v>作物学</v>
      </c>
      <c r="G3919" s="1" t="str">
        <f>"河南省内乡县乍曲乡乍曲村"</f>
        <v>河南省内乡县乍曲乡乍曲村</v>
      </c>
      <c r="H3919" s="1" t="str">
        <f t="shared" si="1935"/>
        <v>无</v>
      </c>
      <c r="I3919" s="1" t="str">
        <f>"201709-202106河南科技学院生命科技学院农学专业就读全日制
202109-202406河南科技学院农学院作物学专业就读全日制"</f>
        <v>201709-202106河南科技学院生命科技学院农学专业就读全日制
202109-202406河南科技学院农学院作物学专业就读全日制</v>
      </c>
    </row>
    <row r="3920" spans="1:9">
      <c r="A3920" s="1" t="str">
        <f>"411326200510130459"</f>
        <v>411326200510130459</v>
      </c>
      <c r="B3920" s="1" t="str">
        <f t="shared" ref="B3920:B3925" si="1937">"群众"</f>
        <v>群众</v>
      </c>
      <c r="C3920" s="1" t="str">
        <f t="shared" si="1934"/>
        <v>专科</v>
      </c>
      <c r="D3920" s="1" t="str">
        <f>"20250619"</f>
        <v>20250619</v>
      </c>
      <c r="E3920" s="1" t="str">
        <f>"许昌职业技术学院"</f>
        <v>许昌职业技术学院</v>
      </c>
      <c r="F3920" s="1" t="str">
        <f>"计算机应用技术"</f>
        <v>计算机应用技术</v>
      </c>
      <c r="G3920" s="1" t="str">
        <f>"河南省南阳市南召县大牌子西庄小区"</f>
        <v>河南省南阳市南召县大牌子西庄小区</v>
      </c>
      <c r="H3920" s="1" t="str">
        <f t="shared" si="1935"/>
        <v>无</v>
      </c>
      <c r="I3920" s="1" t="str">
        <f>"20230901—20250619许昌职业技术学校互联网学院计算机应用技术就读，是全日制学历"</f>
        <v>20230901—20250619许昌职业技术学校互联网学院计算机应用技术就读，是全日制学历</v>
      </c>
    </row>
    <row r="3921" spans="1:9">
      <c r="A3921" s="1" t="str">
        <f>"410324199901140612"</f>
        <v>410324199901140612</v>
      </c>
      <c r="B3921" s="1" t="str">
        <f>"共青团员"</f>
        <v>共青团员</v>
      </c>
      <c r="C3921" s="1" t="str">
        <f t="shared" si="1936"/>
        <v>本科</v>
      </c>
      <c r="D3921" s="1" t="str">
        <f>"20220701"</f>
        <v>20220701</v>
      </c>
      <c r="E3921" s="1" t="str">
        <f>"郑州商学院"</f>
        <v>郑州商学院</v>
      </c>
      <c r="F3921" s="1" t="str">
        <f>"土木工程"</f>
        <v>土木工程</v>
      </c>
      <c r="G3921" s="1" t="str">
        <f>"河南省洛阳市栾川县耕莘街道碾盘沟巴厘岛酒店附近"</f>
        <v>河南省洛阳市栾川县耕莘街道碾盘沟巴厘岛酒店附近</v>
      </c>
      <c r="H3921" s="1" t="str">
        <f t="shared" si="1935"/>
        <v>无</v>
      </c>
      <c r="I3921" s="1" t="str">
        <f>"201709-202007许昌职业技术学院建筑工程系建筑工程技术专业就读，全日制
202009-202207郑州商学院建筑工程系土木工程专业就读，全日制"</f>
        <v>201709-202007许昌职业技术学院建筑工程系建筑工程技术专业就读，全日制
202009-202207郑州商学院建筑工程系土木工程专业就读，全日制</v>
      </c>
    </row>
    <row r="3922" spans="1:9">
      <c r="A3922" s="1" t="str">
        <f>"411302200108216114"</f>
        <v>411302200108216114</v>
      </c>
      <c r="B3922" s="1" t="str">
        <f t="shared" si="1937"/>
        <v>群众</v>
      </c>
      <c r="C3922" s="1" t="str">
        <f t="shared" si="1934"/>
        <v>专科</v>
      </c>
      <c r="D3922" s="1" t="str">
        <f>"20220701"</f>
        <v>20220701</v>
      </c>
      <c r="E3922" s="1" t="str">
        <f>"河南工业职业技术学院"</f>
        <v>河南工业职业技术学院</v>
      </c>
      <c r="F3922" s="1" t="str">
        <f>"数控技术"</f>
        <v>数控技术</v>
      </c>
      <c r="G3922" s="1" t="str">
        <f>"河南省南阳市宛城区东关街道净土庵村13号 邮政编码：473000"</f>
        <v>河南省南阳市宛城区东关街道净土庵村13号 邮政编码：473000</v>
      </c>
      <c r="H3922" s="1" t="str">
        <f>"数控技术1+x证书 三级/高级工"</f>
        <v>数控技术1+x证书 三级/高级工</v>
      </c>
      <c r="I3922" s="1" t="str">
        <f>"201909-202207在河南工业职业技术学院机械工程院系数控技术专业就读 （是全日制教育）"</f>
        <v>201909-202207在河南工业职业技术学院机械工程院系数控技术专业就读 （是全日制教育）</v>
      </c>
    </row>
    <row r="3923" spans="1:9">
      <c r="A3923" s="1" t="str">
        <f>"411327200109230310"</f>
        <v>411327200109230310</v>
      </c>
      <c r="B3923" s="1" t="str">
        <f t="shared" si="1937"/>
        <v>群众</v>
      </c>
      <c r="C3923" s="1" t="str">
        <f t="shared" si="1936"/>
        <v>本科</v>
      </c>
      <c r="D3923" s="1" t="str">
        <f>"20240701"</f>
        <v>20240701</v>
      </c>
      <c r="E3923" s="1" t="str">
        <f>"郑州工业应用技术学院"</f>
        <v>郑州工业应用技术学院</v>
      </c>
      <c r="F3923" s="1" t="str">
        <f>"工程管理"</f>
        <v>工程管理</v>
      </c>
      <c r="G3923" s="1" t="str">
        <f>"河南省南阳市内乡县大桥乡堰庄村张竹园东北238"</f>
        <v>河南省南阳市内乡县大桥乡堰庄村张竹园东北238</v>
      </c>
      <c r="H3923" s="1" t="str">
        <f>"室内装饰设计师 建筑信息模型技术员"</f>
        <v>室内装饰设计师 建筑信息模型技术员</v>
      </c>
      <c r="I3923" s="1" t="str">
        <f>"201909-202206 郑州财经学院就读（全日制）
202209-202406 郑州工业应用技术学院就读（全日制）
"</f>
        <v>201909-202206 郑州财经学院就读（全日制）
202209-202406 郑州工业应用技术学院就读（全日制）
</v>
      </c>
    </row>
    <row r="3924" spans="1:9">
      <c r="A3924" s="1" t="str">
        <f>"411324199904060053"</f>
        <v>411324199904060053</v>
      </c>
      <c r="B3924" s="1" t="str">
        <f t="shared" si="1937"/>
        <v>群众</v>
      </c>
      <c r="C3924" s="1" t="str">
        <f t="shared" si="1936"/>
        <v>本科</v>
      </c>
      <c r="D3924" s="1" t="str">
        <f>"20200701"</f>
        <v>20200701</v>
      </c>
      <c r="E3924" s="1" t="str">
        <f>"河南科技大学"</f>
        <v>河南科技大学</v>
      </c>
      <c r="F3924" s="1" t="str">
        <f>"数学与应用数学"</f>
        <v>数学与应用数学</v>
      </c>
      <c r="G3924" s="1" t="str">
        <f>"镇平县涅阳街道中山西街怡心苑小区"</f>
        <v>镇平县涅阳街道中山西街怡心苑小区</v>
      </c>
      <c r="H3924" s="1" t="str">
        <f t="shared" ref="H3924:H3926" si="1938">"无"</f>
        <v>无</v>
      </c>
      <c r="I3924" s="1" t="str">
        <f>"201609-202007 河南科技大学 数学与统计学院 数学与应用数学专业就读，是全日制本科学历。"</f>
        <v>201609-202007 河南科技大学 数学与统计学院 数学与应用数学专业就读，是全日制本科学历。</v>
      </c>
    </row>
    <row r="3925" spans="1:9">
      <c r="A3925" s="1" t="str">
        <f>"411327199605302912"</f>
        <v>411327199605302912</v>
      </c>
      <c r="B3925" s="1" t="str">
        <f t="shared" si="1937"/>
        <v>群众</v>
      </c>
      <c r="C3925" s="1" t="str">
        <f>"专科"</f>
        <v>专科</v>
      </c>
      <c r="D3925" s="1" t="str">
        <f>"20190701"</f>
        <v>20190701</v>
      </c>
      <c r="E3925" s="1" t="str">
        <f>"河南科技学院"</f>
        <v>河南科技学院</v>
      </c>
      <c r="F3925" s="1" t="str">
        <f>"汽车检测与维修技术"</f>
        <v>汽车检测与维修技术</v>
      </c>
      <c r="G3925" s="1" t="str">
        <f>"河南省内乡县城关镇金城花园"</f>
        <v>河南省内乡县城关镇金城花园</v>
      </c>
      <c r="H3925" s="1" t="str">
        <f t="shared" si="1938"/>
        <v>无</v>
      </c>
      <c r="I3925" s="1" t="str">
        <f>"201609-201907   河南科技学院
201907-202005   待业
202005-202208   内乡县灌涨镇人民政府（购岗）
202208-至今         内乡县乡村振兴局（购岗）"</f>
        <v>201609-201907   河南科技学院
201907-202005   待业
202005-202208   内乡县灌涨镇人民政府（购岗）
202208-至今         内乡县乡村振兴局（购岗）</v>
      </c>
    </row>
    <row r="3926" spans="1:9">
      <c r="A3926" s="1" t="str">
        <f>"41133019990120002X"</f>
        <v>41133019990120002X</v>
      </c>
      <c r="B3926" s="1" t="str">
        <f t="shared" ref="B3926:B3928" si="1939">"共青团员"</f>
        <v>共青团员</v>
      </c>
      <c r="C3926" s="1" t="str">
        <f t="shared" ref="C3926:C3929" si="1940">"本科"</f>
        <v>本科</v>
      </c>
      <c r="D3926" s="1" t="str">
        <f>"20210701"</f>
        <v>20210701</v>
      </c>
      <c r="E3926" s="1" t="str">
        <f>"郑州大学"</f>
        <v>郑州大学</v>
      </c>
      <c r="F3926" s="1" t="str">
        <f>"计算机科学与技术"</f>
        <v>计算机科学与技术</v>
      </c>
      <c r="G3926" s="1" t="str">
        <f>"河南省郑州市郑东新区祭城26号院"</f>
        <v>河南省郑州市郑东新区祭城26号院</v>
      </c>
      <c r="H3926" s="1" t="str">
        <f t="shared" si="1938"/>
        <v>无</v>
      </c>
      <c r="I3926" s="1" t="str">
        <f>"201709-202107 郑州大学软件学院计算机科学与技术专业就读 普通全日制学历
202107-202212 帆一尚行郑州科技有限公司 测试工程师
202301-至今 河南省郑州市郑东新区祭城26号院 待业"</f>
        <v>201709-202107 郑州大学软件学院计算机科学与技术专业就读 普通全日制学历
202107-202212 帆一尚行郑州科技有限公司 测试工程师
202301-至今 河南省郑州市郑东新区祭城26号院 待业</v>
      </c>
    </row>
    <row r="3927" spans="1:9">
      <c r="A3927" s="1" t="str">
        <f>"410423200206150012"</f>
        <v>410423200206150012</v>
      </c>
      <c r="B3927" s="1" t="str">
        <f t="shared" si="1939"/>
        <v>共青团员</v>
      </c>
      <c r="C3927" s="1" t="str">
        <f t="shared" si="1940"/>
        <v>本科</v>
      </c>
      <c r="D3927" s="1" t="str">
        <f>"20250701"</f>
        <v>20250701</v>
      </c>
      <c r="E3927" s="1" t="str">
        <f>"河南财政金融学院"</f>
        <v>河南财政金融学院</v>
      </c>
      <c r="F3927" s="1" t="str">
        <f>"审计学"</f>
        <v>审计学</v>
      </c>
      <c r="G3927" s="1" t="str">
        <f>"河南省平顶山市鲁山县"</f>
        <v>河南省平顶山市鲁山县</v>
      </c>
      <c r="H3927" s="1" t="str">
        <f>"初级会计专业技术资格证"</f>
        <v>初级会计专业技术资格证</v>
      </c>
      <c r="I3927" s="1" t="str">
        <f>"201909-202009在河南财政金融学院，法学院，社会工作专业就读
202009-202209服兵役
202209-202507在河南财政金融学院，会计学院，审计学专业就读
是全日制本科
"</f>
        <v>201909-202009在河南财政金融学院，法学院，社会工作专业就读
202009-202209服兵役
202209-202507在河南财政金融学院，会计学院，审计学专业就读
是全日制本科
</v>
      </c>
    </row>
    <row r="3928" spans="1:9">
      <c r="A3928" s="1" t="str">
        <f>"412829200308130022"</f>
        <v>412829200308130022</v>
      </c>
      <c r="B3928" s="1" t="str">
        <f t="shared" si="1939"/>
        <v>共青团员</v>
      </c>
      <c r="C3928" s="1" t="str">
        <f t="shared" si="1940"/>
        <v>本科</v>
      </c>
      <c r="D3928" s="1" t="str">
        <f>"20240701"</f>
        <v>20240701</v>
      </c>
      <c r="E3928" s="1" t="str">
        <f>"商丘工学院"</f>
        <v>商丘工学院</v>
      </c>
      <c r="F3928" s="1" t="str">
        <f>"数据科学与大数据技术"</f>
        <v>数据科学与大数据技术</v>
      </c>
      <c r="G3928" s="1" t="str">
        <f>"河南省驻马店市正阳县"</f>
        <v>河南省驻马店市正阳县</v>
      </c>
      <c r="H3928" s="1" t="str">
        <f>"职业技能等级证书三级"</f>
        <v>职业技能等级证书三级</v>
      </c>
      <c r="I3928" s="1" t="str">
        <f>"202009-202406 商丘工学院 全日制 数据科学与大数据技术专业
202406-202506 河南省驻马店市正阳县 待业"</f>
        <v>202009-202406 商丘工学院 全日制 数据科学与大数据技术专业
202406-202506 河南省驻马店市正阳县 待业</v>
      </c>
    </row>
    <row r="3929" spans="1:9">
      <c r="A3929" s="1" t="str">
        <f>"372901199712217219"</f>
        <v>372901199712217219</v>
      </c>
      <c r="B3929" s="1" t="str">
        <f>"中共党员"</f>
        <v>中共党员</v>
      </c>
      <c r="C3929" s="1" t="str">
        <f t="shared" si="1940"/>
        <v>本科</v>
      </c>
      <c r="D3929" s="1" t="str">
        <f>"20250630"</f>
        <v>20250630</v>
      </c>
      <c r="E3929" s="1" t="str">
        <f>"青岛恒星科技学院"</f>
        <v>青岛恒星科技学院</v>
      </c>
      <c r="F3929" s="1" t="str">
        <f>"房地产开发与管理"</f>
        <v>房地产开发与管理</v>
      </c>
      <c r="G3929" s="1" t="str">
        <f>"山东省菏泽市牡丹区西城街道德林华府小区"</f>
        <v>山东省菏泽市牡丹区西城街道德林华府小区</v>
      </c>
      <c r="H3929" s="1" t="str">
        <f t="shared" ref="H3929:H3939" si="1941">"无"</f>
        <v>无</v>
      </c>
      <c r="I3929" s="1" t="str">
        <f>"202010-202306 青岛理工大学琴岛学院建设工程管理专业就读，全日制专科学历
202309-202506青岛恒星科技学院房地产开发与管理专业就读，全日制本科学历"</f>
        <v>202010-202306 青岛理工大学琴岛学院建设工程管理专业就读，全日制专科学历
202309-202506青岛恒星科技学院房地产开发与管理专业就读，全日制本科学历</v>
      </c>
    </row>
    <row r="3930" spans="1:9">
      <c r="A3930" s="1" t="str">
        <f>"411327199103230015"</f>
        <v>411327199103230015</v>
      </c>
      <c r="B3930" s="1" t="str">
        <f t="shared" ref="B3930:B3933" si="1942">"群众"</f>
        <v>群众</v>
      </c>
      <c r="C3930" s="1" t="str">
        <f t="shared" ref="C3930:C3933" si="1943">"专科"</f>
        <v>专科</v>
      </c>
      <c r="D3930" s="1" t="str">
        <f>"20130703"</f>
        <v>20130703</v>
      </c>
      <c r="E3930" s="1" t="str">
        <f>"河南牧业经济学院"</f>
        <v>河南牧业经济学院</v>
      </c>
      <c r="F3930" s="1" t="str">
        <f>"生物技术及应用"</f>
        <v>生物技术及应用</v>
      </c>
      <c r="G3930" s="1" t="str">
        <f>"河南省南阳市内乡县渚阳大街399号"</f>
        <v>河南省南阳市内乡县渚阳大街399号</v>
      </c>
      <c r="H3930" s="1" t="str">
        <f t="shared" si="1941"/>
        <v>无</v>
      </c>
      <c r="I3930" s="1" t="str">
        <f>"2013.7--2014.5 牧原
2014.6--至今 南阳飞龙汽车零部件有限公司"</f>
        <v>2013.7--2014.5 牧原
2014.6--至今 南阳飞龙汽车零部件有限公司</v>
      </c>
    </row>
    <row r="3931" spans="1:9">
      <c r="A3931" s="1" t="str">
        <f>"37132119961001691X"</f>
        <v>37132119961001691X</v>
      </c>
      <c r="B3931" s="1" t="str">
        <f t="shared" si="1942"/>
        <v>群众</v>
      </c>
      <c r="C3931" s="1" t="str">
        <f t="shared" ref="C3931:C3939" si="1944">"本科"</f>
        <v>本科</v>
      </c>
      <c r="D3931" s="1" t="str">
        <f>"20200620"</f>
        <v>20200620</v>
      </c>
      <c r="E3931" s="1" t="str">
        <f>"武汉轻工大学"</f>
        <v>武汉轻工大学</v>
      </c>
      <c r="F3931" s="1" t="str">
        <f>"旅游管理"</f>
        <v>旅游管理</v>
      </c>
      <c r="G3931" s="1" t="str">
        <f>"湖北省十堰市房县绿源小区301"</f>
        <v>湖北省十堰市房县绿源小区301</v>
      </c>
      <c r="H3931" s="1" t="str">
        <f t="shared" si="1941"/>
        <v>无</v>
      </c>
      <c r="I3931" s="1" t="str">
        <f>"201509-201806 武汉职业技术学院动力工程专业就读，全日制
201806-201809武汉待业
201809-202006武汉轻工大学旅游管理专业就读，全日制"</f>
        <v>201509-201806 武汉职业技术学院动力工程专业就读，全日制
201806-201809武汉待业
201809-202006武汉轻工大学旅游管理专业就读，全日制</v>
      </c>
    </row>
    <row r="3932" spans="1:9">
      <c r="A3932" s="1" t="str">
        <f>"411327199503070073"</f>
        <v>411327199503070073</v>
      </c>
      <c r="B3932" s="1" t="str">
        <f t="shared" si="1942"/>
        <v>群众</v>
      </c>
      <c r="C3932" s="1" t="str">
        <f t="shared" si="1943"/>
        <v>专科</v>
      </c>
      <c r="D3932" s="1" t="str">
        <f>"2015-07-01"</f>
        <v>2015-07-01</v>
      </c>
      <c r="E3932" s="1" t="str">
        <f>"南阳师范学院"</f>
        <v>南阳师范学院</v>
      </c>
      <c r="F3932" s="1" t="str">
        <f>"语文教育"</f>
        <v>语文教育</v>
      </c>
      <c r="G3932" s="1" t="str">
        <f>"内乡县城关镇广源路十六巷2号"</f>
        <v>内乡县城关镇广源路十六巷2号</v>
      </c>
      <c r="H3932" s="1" t="str">
        <f t="shared" si="1941"/>
        <v>无</v>
      </c>
      <c r="I3932" s="1" t="str">
        <f>"2010.09--2015.07    南阳师范学院
2016.09--2018.09     陆军第71602部队"</f>
        <v>2010.09--2015.07    南阳师范学院
2016.09--2018.09     陆军第71602部队</v>
      </c>
    </row>
    <row r="3933" spans="1:9">
      <c r="A3933" s="1" t="str">
        <f>"411327199602250117"</f>
        <v>411327199602250117</v>
      </c>
      <c r="B3933" s="1" t="str">
        <f t="shared" si="1942"/>
        <v>群众</v>
      </c>
      <c r="C3933" s="1" t="str">
        <f t="shared" si="1943"/>
        <v>专科</v>
      </c>
      <c r="D3933" s="1" t="str">
        <f>"20200701"</f>
        <v>20200701</v>
      </c>
      <c r="E3933" s="1" t="str">
        <f>"河南工业职业技术学院"</f>
        <v>河南工业职业技术学院</v>
      </c>
      <c r="F3933" s="1" t="str">
        <f>"应用英语"</f>
        <v>应用英语</v>
      </c>
      <c r="G3933" s="1" t="str">
        <f>"河南省南阳市内乡县城关镇利民路247号"</f>
        <v>河南省南阳市内乡县城关镇利民路247号</v>
      </c>
      <c r="H3933" s="1" t="str">
        <f t="shared" si="1941"/>
        <v>无</v>
      </c>
      <c r="I3933" s="1" t="str">
        <f>"2014.09-2017.07    内乡一高
2017.09-2020.07    河南工业职业技术学院
2020.10-2021.10    福州长乐国际机场
2021.11-至今       南阳市翔丞人力资源服务有限公司派遣至内乡县自然资源局"</f>
        <v>2014.09-2017.07    内乡一高
2017.09-2020.07    河南工业职业技术学院
2020.10-2021.10    福州长乐国际机场
2021.11-至今       南阳市翔丞人力资源服务有限公司派遣至内乡县自然资源局</v>
      </c>
    </row>
    <row r="3934" spans="1:9">
      <c r="A3934" s="1" t="str">
        <f>"411327200301160068"</f>
        <v>411327200301160068</v>
      </c>
      <c r="B3934" s="1" t="str">
        <f t="shared" ref="B3934:B3939" si="1945">"共青团员"</f>
        <v>共青团员</v>
      </c>
      <c r="C3934" s="1" t="str">
        <f t="shared" si="1944"/>
        <v>本科</v>
      </c>
      <c r="D3934" s="1" t="str">
        <f>"20250607"</f>
        <v>20250607</v>
      </c>
      <c r="E3934" s="1" t="str">
        <f>"中南民族大学"</f>
        <v>中南民族大学</v>
      </c>
      <c r="F3934" s="1" t="str">
        <f>"广告学"</f>
        <v>广告学</v>
      </c>
      <c r="G3934" s="1" t="str">
        <f>"河南省南阳市内乡县"</f>
        <v>河南省南阳市内乡县</v>
      </c>
      <c r="H3934" s="1" t="str">
        <f t="shared" si="1941"/>
        <v>无</v>
      </c>
      <c r="I3934" s="1" t="str">
        <f>"202506-至今 待业
202109-202506 中南民族大学文学与新闻传播学院广告学就读 全日制
"</f>
        <v>202506-至今 待业
202109-202506 中南民族大学文学与新闻传播学院广告学就读 全日制
</v>
      </c>
    </row>
    <row r="3935" spans="1:9">
      <c r="A3935" s="1" t="str">
        <f>"411327200011111604"</f>
        <v>411327200011111604</v>
      </c>
      <c r="B3935" s="1" t="str">
        <f t="shared" ref="B3935:B3940" si="1946">"群众"</f>
        <v>群众</v>
      </c>
      <c r="C3935" s="1" t="str">
        <f>"专科"</f>
        <v>专科</v>
      </c>
      <c r="D3935" s="1" t="str">
        <f>"20230701"</f>
        <v>20230701</v>
      </c>
      <c r="E3935" s="1" t="str">
        <f>"商丘师范学院"</f>
        <v>商丘师范学院</v>
      </c>
      <c r="F3935" s="1" t="str">
        <f>"小学教育"</f>
        <v>小学教育</v>
      </c>
      <c r="G3935" s="1" t="str">
        <f>"河南省南阳市内乡县海天楼泰洁干洗巷内"</f>
        <v>河南省南阳市内乡县海天楼泰洁干洗巷内</v>
      </c>
      <c r="H3935" s="1" t="str">
        <f t="shared" si="1941"/>
        <v>无</v>
      </c>
      <c r="I3935" s="1" t="str">
        <f>"2020.09-2023.07 商丘师范学院小学教育专业 就读 全日制
2023.07-至今 内乡县将军岭水电站管理所员工"</f>
        <v>2020.09-2023.07 商丘师范学院小学教育专业 就读 全日制
2023.07-至今 内乡县将军岭水电站管理所员工</v>
      </c>
    </row>
    <row r="3936" spans="1:9">
      <c r="A3936" s="1" t="str">
        <f>"411326200206270043"</f>
        <v>411326200206270043</v>
      </c>
      <c r="B3936" s="1" t="str">
        <f>"中共党员"</f>
        <v>中共党员</v>
      </c>
      <c r="C3936" s="1" t="str">
        <f t="shared" si="1944"/>
        <v>本科</v>
      </c>
      <c r="D3936" s="1" t="str">
        <f>"20240613"</f>
        <v>20240613</v>
      </c>
      <c r="E3936" s="1" t="str">
        <f>"商丘工学院"</f>
        <v>商丘工学院</v>
      </c>
      <c r="F3936" s="1" t="str">
        <f>"环境设计"</f>
        <v>环境设计</v>
      </c>
      <c r="G3936" s="1" t="str">
        <f>"河南省南阳市南召县城郊乡盛世华城"</f>
        <v>河南省南阳市南召县城郊乡盛世华城</v>
      </c>
      <c r="H3936" s="1" t="str">
        <f t="shared" si="1941"/>
        <v>无</v>
      </c>
      <c r="I3936" s="1" t="str">
        <f>"202009-202406 商丘工学院学校 教育与现代艺术学院 环境设计专业就读，是全日制学历。
202406-202506 于南召县装修公司上班"</f>
        <v>202009-202406 商丘工学院学校 教育与现代艺术学院 环境设计专业就读，是全日制学历。
202406-202506 于南召县装修公司上班</v>
      </c>
    </row>
    <row r="3937" spans="1:9">
      <c r="A3937" s="1" t="str">
        <f>"41132719981112001X"</f>
        <v>41132719981112001X</v>
      </c>
      <c r="B3937" s="1" t="str">
        <f t="shared" si="1945"/>
        <v>共青团员</v>
      </c>
      <c r="C3937" s="1" t="str">
        <f t="shared" si="1944"/>
        <v>本科</v>
      </c>
      <c r="D3937" s="1" t="str">
        <f>"20200630"</f>
        <v>20200630</v>
      </c>
      <c r="E3937" s="1" t="str">
        <f>"郑州轻工业大学"</f>
        <v>郑州轻工业大学</v>
      </c>
      <c r="F3937" s="1" t="str">
        <f>"公共事业管理"</f>
        <v>公共事业管理</v>
      </c>
      <c r="G3937" s="1" t="str">
        <f>"河南省南阳市内乡县罗岗村"</f>
        <v>河南省南阳市内乡县罗岗村</v>
      </c>
      <c r="H3937" s="1" t="str">
        <f t="shared" si="1941"/>
        <v>无</v>
      </c>
      <c r="I3937" s="1" t="str">
        <f>"201609-202006 郑州轻工业大学 政法院系公共事业管理专业就读 全日制学历
202006-202507在家待业"</f>
        <v>201609-202006 郑州轻工业大学 政法院系公共事业管理专业就读 全日制学历
202006-202507在家待业</v>
      </c>
    </row>
    <row r="3938" spans="1:9">
      <c r="A3938" s="1" t="str">
        <f>"411381200209290415"</f>
        <v>411381200209290415</v>
      </c>
      <c r="B3938" s="1" t="str">
        <f t="shared" si="1946"/>
        <v>群众</v>
      </c>
      <c r="C3938" s="1" t="str">
        <f t="shared" si="1944"/>
        <v>本科</v>
      </c>
      <c r="D3938" s="1" t="str">
        <f>"2025-07-05"</f>
        <v>2025-07-05</v>
      </c>
      <c r="E3938" s="1" t="str">
        <f>"华北水利水电大学"</f>
        <v>华北水利水电大学</v>
      </c>
      <c r="F3938" s="1" t="str">
        <f>"环境设计"</f>
        <v>环境设计</v>
      </c>
      <c r="G3938" s="1" t="str">
        <f>"邓州市湍河街道办事处三里河社区421号"</f>
        <v>邓州市湍河街道办事处三里河社区421号</v>
      </c>
      <c r="H3938" s="1" t="str">
        <f t="shared" si="1941"/>
        <v>无</v>
      </c>
      <c r="I3938" s="1" t="str">
        <f>"20210910-20250705华北水利水电大学人文与艺术学院环境设计专业就读"</f>
        <v>20210910-20250705华北水利水电大学人文与艺术学院环境设计专业就读</v>
      </c>
    </row>
    <row r="3939" spans="1:9">
      <c r="A3939" s="1" t="str">
        <f>"411327200010250063"</f>
        <v>411327200010250063</v>
      </c>
      <c r="B3939" s="1" t="str">
        <f t="shared" si="1945"/>
        <v>共青团员</v>
      </c>
      <c r="C3939" s="1" t="str">
        <f t="shared" si="1944"/>
        <v>本科</v>
      </c>
      <c r="D3939" s="1" t="str">
        <f>"20230701"</f>
        <v>20230701</v>
      </c>
      <c r="E3939" s="1" t="str">
        <f>"河南财经政法大学"</f>
        <v>河南财经政法大学</v>
      </c>
      <c r="F3939" s="1" t="str">
        <f>"工程管理、金融学"</f>
        <v>工程管理、金融学</v>
      </c>
      <c r="G3939" s="1" t="str">
        <f>"河南省南阳市内乡县"</f>
        <v>河南省南阳市内乡县</v>
      </c>
      <c r="H3939" s="1" t="str">
        <f t="shared" si="1941"/>
        <v>无</v>
      </c>
      <c r="I3939" s="1" t="str">
        <f>"201909-202307 就读于河南财经政法大学工程管理与房地产学院工程管理专业，全日制本科。工程管理与金融学双学位毕业。"</f>
        <v>201909-202307 就读于河南财经政法大学工程管理与房地产学院工程管理专业，全日制本科。工程管理与金融学双学位毕业。</v>
      </c>
    </row>
    <row r="3940" spans="1:9">
      <c r="A3940" s="1" t="str">
        <f>"411527200006164518"</f>
        <v>411527200006164518</v>
      </c>
      <c r="B3940" s="1" t="str">
        <f t="shared" si="1946"/>
        <v>群众</v>
      </c>
      <c r="C3940" s="1" t="str">
        <f t="shared" ref="C3940:C3945" si="1947">"专科"</f>
        <v>专科</v>
      </c>
      <c r="D3940" s="1" t="str">
        <f>"20220721"</f>
        <v>20220721</v>
      </c>
      <c r="E3940" s="1" t="str">
        <f>"信阳职业技术学院"</f>
        <v>信阳职业技术学院</v>
      </c>
      <c r="F3940" s="1" t="str">
        <f>"医学影像技术"</f>
        <v>医学影像技术</v>
      </c>
      <c r="G3940" s="1" t="str">
        <f>"河南省信阳市淮滨县新里镇"</f>
        <v>河南省信阳市淮滨县新里镇</v>
      </c>
      <c r="H3940" s="1" t="str">
        <f>"医学影像技术资格证技士"</f>
        <v>医学影像技术资格证技士</v>
      </c>
      <c r="I3940" s="1" t="str">
        <f>"201909-202207在信阳职业技术学院医学院就读医学影像技术专业为全日制大专
202207-202308在信阳市淮滨县春海骨科担任放射技士
202308-202407在一脉阳光上海正影医学影像诊断中心担任市场营销员
202407-至今在上海彭勋医药科技有限公司担任销售员"</f>
        <v>201909-202207在信阳职业技术学院医学院就读医学影像技术专业为全日制大专
202207-202308在信阳市淮滨县春海骨科担任放射技士
202308-202407在一脉阳光上海正影医学影像诊断中心担任市场营销员
202407-至今在上海彭勋医药科技有限公司担任销售员</v>
      </c>
    </row>
    <row r="3941" spans="1:9">
      <c r="A3941" s="1" t="str">
        <f>"410122200109244719"</f>
        <v>410122200109244719</v>
      </c>
      <c r="B3941" s="1" t="str">
        <f t="shared" ref="B3941:B3944" si="1948">"共青团员"</f>
        <v>共青团员</v>
      </c>
      <c r="C3941" s="1" t="str">
        <f t="shared" ref="C3941:C3944" si="1949">"本科"</f>
        <v>本科</v>
      </c>
      <c r="D3941" s="1" t="str">
        <f>"2024-06-06"</f>
        <v>2024-06-06</v>
      </c>
      <c r="E3941" s="1" t="str">
        <f>"信阳学院"</f>
        <v>信阳学院</v>
      </c>
      <c r="F3941" s="1" t="str">
        <f>"汉语言文学"</f>
        <v>汉语言文学</v>
      </c>
      <c r="G3941" s="1" t="str">
        <f>"河南省郑州市中牟县泰安街超越小区二单元一楼"</f>
        <v>河南省郑州市中牟县泰安街超越小区二单元一楼</v>
      </c>
      <c r="H3941" s="1" t="str">
        <f t="shared" ref="H3941:H3943" si="1950">"无"</f>
        <v>无</v>
      </c>
      <c r="I3941" s="1" t="str">
        <f>"202009-202406 信阳学院汉语言文学专业就读，全日制本科
202407-202409 待业
202409-202411 中华保险 内务后勤
202411-至今 待业"</f>
        <v>202009-202406 信阳学院汉语言文学专业就读，全日制本科
202407-202409 待业
202409-202411 中华保险 内务后勤
202411-至今 待业</v>
      </c>
    </row>
    <row r="3942" spans="1:9">
      <c r="A3942" s="1" t="str">
        <f>"411323200107283413"</f>
        <v>411323200107283413</v>
      </c>
      <c r="B3942" s="1" t="str">
        <f t="shared" si="1948"/>
        <v>共青团员</v>
      </c>
      <c r="C3942" s="1" t="str">
        <f t="shared" si="1949"/>
        <v>本科</v>
      </c>
      <c r="D3942" s="1" t="str">
        <f>"20230701"</f>
        <v>20230701</v>
      </c>
      <c r="E3942" s="1" t="str">
        <f>"南阳理工学院"</f>
        <v>南阳理工学院</v>
      </c>
      <c r="F3942" s="1" t="str">
        <f>"国际经济与贸易"</f>
        <v>国际经济与贸易</v>
      </c>
      <c r="G3942" s="1" t="str">
        <f>"河南省南阳市淅川县大石桥乡石燕河村五组6号"</f>
        <v>河南省南阳市淅川县大石桥乡石燕河村五组6号</v>
      </c>
      <c r="H3942" s="1" t="str">
        <f t="shared" si="1950"/>
        <v>无</v>
      </c>
      <c r="I3942" s="1" t="str">
        <f>"201909-202307 南阳理工学院范蠡商学院国际经济与贸易专业就读，是全日制学历；
202307-至今 在河南省南阳市淅川县待业"</f>
        <v>201909-202307 南阳理工学院范蠡商学院国际经济与贸易专业就读，是全日制学历；
202307-至今 在河南省南阳市淅川县待业</v>
      </c>
    </row>
    <row r="3943" spans="1:9">
      <c r="A3943" s="1" t="str">
        <f>"41132719991119493X"</f>
        <v>41132719991119493X</v>
      </c>
      <c r="B3943" s="1" t="str">
        <f>"群众"</f>
        <v>群众</v>
      </c>
      <c r="C3943" s="1" t="str">
        <f t="shared" si="1947"/>
        <v>专科</v>
      </c>
      <c r="D3943" s="1" t="str">
        <f>"20200607"</f>
        <v>20200607</v>
      </c>
      <c r="E3943" s="1" t="str">
        <f>"漯河职业技术学院"</f>
        <v>漯河职业技术学院</v>
      </c>
      <c r="F3943" s="1" t="str">
        <f>"视觉传播设计与制作"</f>
        <v>视觉传播设计与制作</v>
      </c>
      <c r="G3943" s="1" t="str">
        <f>"河南省南阳市内乡县灌涨镇屈营村"</f>
        <v>河南省南阳市内乡县灌涨镇屈营村</v>
      </c>
      <c r="H3943" s="1" t="str">
        <f t="shared" si="1950"/>
        <v>无</v>
      </c>
      <c r="I3943" s="1" t="str">
        <f>"201709-202006 漯河职业技术学院
202006-202305 待业
202305-202507 米畅科技有限公司"</f>
        <v>201709-202006 漯河职业技术学院
202006-202305 待业
202305-202507 米畅科技有限公司</v>
      </c>
    </row>
    <row r="3944" spans="1:9">
      <c r="A3944" s="1" t="str">
        <f>"411327200302180028"</f>
        <v>411327200302180028</v>
      </c>
      <c r="B3944" s="1" t="str">
        <f t="shared" si="1948"/>
        <v>共青团员</v>
      </c>
      <c r="C3944" s="1" t="str">
        <f t="shared" si="1949"/>
        <v>本科</v>
      </c>
      <c r="D3944" s="1" t="str">
        <f>"20250701"</f>
        <v>20250701</v>
      </c>
      <c r="E3944" s="1" t="str">
        <f>"河南师范大学"</f>
        <v>河南师范大学</v>
      </c>
      <c r="F3944" s="1" t="str">
        <f>"历史学"</f>
        <v>历史学</v>
      </c>
      <c r="G3944" s="1" t="str">
        <f>"河南省南阳市内乡县城关镇县衙路243号科技组17号"</f>
        <v>河南省南阳市内乡县城关镇县衙路243号科技组17号</v>
      </c>
      <c r="H3944" s="1" t="str">
        <f>"教师资格证 高中历史老师"</f>
        <v>教师资格证 高中历史老师</v>
      </c>
      <c r="I3944" s="1" t="str">
        <f>"202110-20250701 河南师范大学历史文化学院历史学就读，全日制本科生"</f>
        <v>202110-20250701 河南师范大学历史文化学院历史学就读，全日制本科生</v>
      </c>
    </row>
    <row r="3945" spans="1:9">
      <c r="A3945" s="1" t="str">
        <f>"411323200009050018"</f>
        <v>411323200009050018</v>
      </c>
      <c r="B3945" s="1" t="str">
        <f t="shared" ref="B3945:B3949" si="1951">"中共党员"</f>
        <v>中共党员</v>
      </c>
      <c r="C3945" s="1" t="str">
        <f t="shared" si="1947"/>
        <v>专科</v>
      </c>
      <c r="D3945" s="1" t="str">
        <f>"20210701"</f>
        <v>20210701</v>
      </c>
      <c r="E3945" s="1" t="str">
        <f>"郑州理工职业学院"</f>
        <v>郑州理工职业学院</v>
      </c>
      <c r="F3945" s="1" t="str">
        <f>"会计"</f>
        <v>会计</v>
      </c>
      <c r="G3945" s="1" t="str">
        <f>" 河南省南阳市淅川县"</f>
        <v> 河南省南阳市淅川县</v>
      </c>
      <c r="H3945" s="1" t="str">
        <f t="shared" ref="H3945:H3947" si="1952">"无"</f>
        <v>无</v>
      </c>
      <c r="I3945" s="1" t="str">
        <f>"201809-202107   郑州理工职业学院就读
202107-202209   河南省南阳市淅川县待业
202209-202409   31632部队服役
202409-至今        河南省南阳市淅川县待业"</f>
        <v>201809-202107   郑州理工职业学院就读
202107-202209   河南省南阳市淅川县待业
202209-202409   31632部队服役
202409-至今        河南省南阳市淅川县待业</v>
      </c>
    </row>
    <row r="3946" spans="1:9">
      <c r="A3946" s="1" t="str">
        <f>"142430199902241238"</f>
        <v>142430199902241238</v>
      </c>
      <c r="B3946" s="1" t="str">
        <f>"共青团员"</f>
        <v>共青团员</v>
      </c>
      <c r="C3946" s="1" t="str">
        <f t="shared" ref="C3946:C3953" si="1953">"本科"</f>
        <v>本科</v>
      </c>
      <c r="D3946" s="1" t="str">
        <f>"20220701"</f>
        <v>20220701</v>
      </c>
      <c r="E3946" s="1" t="str">
        <f>"太原理工大学现代科技学院"</f>
        <v>太原理工大学现代科技学院</v>
      </c>
      <c r="F3946" s="1" t="str">
        <f>"土木工程"</f>
        <v>土木工程</v>
      </c>
      <c r="G3946" s="1" t="str">
        <f>"山西省晋中市祁县昭馀镇西关村东南巷88号"</f>
        <v>山西省晋中市祁县昭馀镇西关村东南巷88号</v>
      </c>
      <c r="H3946" s="1" t="str">
        <f t="shared" si="1952"/>
        <v>无</v>
      </c>
      <c r="I3946" s="1" t="str">
        <f>"201809-202207在太原理工大学现代科技学院建筑与土木工程系土木工程专业就读(大学，全日制);202207-202408在中国化学工程第十三建设有限公司工作;2024年08月底辞职后，待业至今，(无单位，在山西省晋中市祁县待业)。"</f>
        <v>201809-202207在太原理工大学现代科技学院建筑与土木工程系土木工程专业就读(大学，全日制);202207-202408在中国化学工程第十三建设有限公司工作;2024年08月底辞职后，待业至今，(无单位，在山西省晋中市祁县待业)。</v>
      </c>
    </row>
    <row r="3947" spans="1:9">
      <c r="A3947" s="1" t="str">
        <f>"140624199111050015"</f>
        <v>140624199111050015</v>
      </c>
      <c r="B3947" s="1" t="str">
        <f t="shared" si="1951"/>
        <v>中共党员</v>
      </c>
      <c r="C3947" s="1" t="str">
        <f t="shared" si="1953"/>
        <v>本科</v>
      </c>
      <c r="D3947" s="1" t="str">
        <f>"20150701"</f>
        <v>20150701</v>
      </c>
      <c r="E3947" s="1" t="str">
        <f>"河南农业大学"</f>
        <v>河南农业大学</v>
      </c>
      <c r="F3947" s="1" t="str">
        <f>"经济学"</f>
        <v>经济学</v>
      </c>
      <c r="G3947" s="1" t="str">
        <f>"山西省太原市万柏林区小井峪街80号恒大城一期"</f>
        <v>山西省太原市万柏林区小井峪街80号恒大城一期</v>
      </c>
      <c r="H3947" s="1" t="str">
        <f t="shared" si="1952"/>
        <v>无</v>
      </c>
      <c r="I3947" s="1" t="str">
        <f>"201109-201507在河南农业大学经济与管理学院经济学专业就读；
201508至今在山西大众电子信息产业集团有限公司工作。"</f>
        <v>201109-201507在河南农业大学经济与管理学院经济学专业就读；
201508至今在山西大众电子信息产业集团有限公司工作。</v>
      </c>
    </row>
    <row r="3948" spans="1:9">
      <c r="A3948" s="1" t="str">
        <f>"411327200301230628"</f>
        <v>411327200301230628</v>
      </c>
      <c r="B3948" s="1" t="str">
        <f t="shared" ref="B3948:B3952" si="1954">"群众"</f>
        <v>群众</v>
      </c>
      <c r="C3948" s="1" t="str">
        <f>"专科"</f>
        <v>专科</v>
      </c>
      <c r="D3948" s="1" t="str">
        <f>"20240601"</f>
        <v>20240601</v>
      </c>
      <c r="E3948" s="1" t="str">
        <f>"南阳医学高等专科学校"</f>
        <v>南阳医学高等专科学校</v>
      </c>
      <c r="F3948" s="1" t="str">
        <f>"助产"</f>
        <v>助产</v>
      </c>
      <c r="G3948" s="1" t="str">
        <f>"河南省南阳市内乡县马山口镇"</f>
        <v>河南省南阳市内乡县马山口镇</v>
      </c>
      <c r="H3948" s="1" t="str">
        <f>"护士资格证"</f>
        <v>护士资格证</v>
      </c>
      <c r="I3948" s="1" t="str">
        <f>"202109-202403 南阳医学高等专科学校 全日制
202306-202403内乡县人民医院实习
202502至今在内乡县妇幼保健院上班
"</f>
        <v>202109-202403 南阳医学高等专科学校 全日制
202306-202403内乡县人民医院实习
202502至今在内乡县妇幼保健院上班
</v>
      </c>
    </row>
    <row r="3949" spans="1:9">
      <c r="A3949" s="1" t="str">
        <f>"411330200010301535"</f>
        <v>411330200010301535</v>
      </c>
      <c r="B3949" s="1" t="str">
        <f t="shared" si="1951"/>
        <v>中共党员</v>
      </c>
      <c r="C3949" s="1" t="str">
        <f t="shared" si="1953"/>
        <v>本科</v>
      </c>
      <c r="D3949" s="1" t="str">
        <f>"20240607"</f>
        <v>20240607</v>
      </c>
      <c r="E3949" s="1" t="str">
        <f>"河南牧业经济学院"</f>
        <v>河南牧业经济学院</v>
      </c>
      <c r="F3949" s="1" t="str">
        <f>"国际商务"</f>
        <v>国际商务</v>
      </c>
      <c r="G3949" s="1" t="str">
        <f>"河南省南阳市西峡县白羽国际小区"</f>
        <v>河南省南阳市西峡县白羽国际小区</v>
      </c>
      <c r="H3949" s="1" t="str">
        <f t="shared" ref="H3949:H3953" si="1955">"无"</f>
        <v>无</v>
      </c>
      <c r="I3949" s="1" t="str">
        <f>"202009-202406在河南牧业经济学院工商管理学院国际商务专业就读
202406-至今在河南省南阳市西峡县待业"</f>
        <v>202009-202406在河南牧业经济学院工商管理学院国际商务专业就读
202406-至今在河南省南阳市西峡县待业</v>
      </c>
    </row>
    <row r="3950" spans="1:9">
      <c r="A3950" s="1" t="str">
        <f>"411327199905241138"</f>
        <v>411327199905241138</v>
      </c>
      <c r="B3950" s="1" t="str">
        <f t="shared" ref="B3950:B3955" si="1956">"共青团员"</f>
        <v>共青团员</v>
      </c>
      <c r="C3950" s="1" t="str">
        <f t="shared" si="1953"/>
        <v>本科</v>
      </c>
      <c r="D3950" s="1" t="str">
        <f>"20210630"</f>
        <v>20210630</v>
      </c>
      <c r="E3950" s="1" t="str">
        <f>"郑州轻工业大学"</f>
        <v>郑州轻工业大学</v>
      </c>
      <c r="F3950" s="1" t="str">
        <f>"建筑电气与智能化"</f>
        <v>建筑电气与智能化</v>
      </c>
      <c r="G3950" s="1" t="str">
        <f>"河南省南阳市内乡县"</f>
        <v>河南省南阳市内乡县</v>
      </c>
      <c r="H3950" s="1" t="str">
        <f t="shared" si="1955"/>
        <v>无</v>
      </c>
      <c r="I3950" s="1" t="str">
        <f>"201709-202106 郑州轻工业大学建筑环境工程学院建筑电气与智能化专业全日制就读"</f>
        <v>201709-202106 郑州轻工业大学建筑环境工程学院建筑电气与智能化专业全日制就读</v>
      </c>
    </row>
    <row r="3951" spans="1:9">
      <c r="A3951" s="1" t="str">
        <f>"41132719980312001X"</f>
        <v>41132719980312001X</v>
      </c>
      <c r="B3951" s="1" t="str">
        <f t="shared" si="1954"/>
        <v>群众</v>
      </c>
      <c r="C3951" s="1" t="str">
        <f t="shared" si="1953"/>
        <v>本科</v>
      </c>
      <c r="D3951" s="1" t="str">
        <f>"20210630"</f>
        <v>20210630</v>
      </c>
      <c r="E3951" s="1" t="str">
        <f>"沈阳城市建设学院"</f>
        <v>沈阳城市建设学院</v>
      </c>
      <c r="F3951" s="1" t="str">
        <f>"建筑环境与能源应用工程"</f>
        <v>建筑环境与能源应用工程</v>
      </c>
      <c r="G3951" s="1" t="str">
        <f>"河南省南阳市内乡县城关镇西关转盘南50米清雅斋饭店"</f>
        <v>河南省南阳市内乡县城关镇西关转盘南50米清雅斋饭店</v>
      </c>
      <c r="H3951" s="1" t="str">
        <f t="shared" si="1955"/>
        <v>无</v>
      </c>
      <c r="I3951" s="1" t="str">
        <f>"201709-202106在沈阳城市建设学院市政与环境工程系建筑环境与能源应用工程专业就读；
202106-至今在柏诚系统科技股份有限公司就职机械主管工程师"</f>
        <v>201709-202106在沈阳城市建设学院市政与环境工程系建筑环境与能源应用工程专业就读；
202106-至今在柏诚系统科技股份有限公司就职机械主管工程师</v>
      </c>
    </row>
    <row r="3952" spans="1:9">
      <c r="A3952" s="1" t="str">
        <f>"411327200101310017"</f>
        <v>411327200101310017</v>
      </c>
      <c r="B3952" s="1" t="str">
        <f t="shared" si="1954"/>
        <v>群众</v>
      </c>
      <c r="C3952" s="1" t="str">
        <f t="shared" si="1953"/>
        <v>本科</v>
      </c>
      <c r="D3952" s="1" t="str">
        <f>"2025年7月1日"</f>
        <v>2025年7月1日</v>
      </c>
      <c r="E3952" s="1" t="str">
        <f>"商丘学院"</f>
        <v>商丘学院</v>
      </c>
      <c r="F3952" s="1" t="str">
        <f>"会计学"</f>
        <v>会计学</v>
      </c>
      <c r="G3952" s="1" t="str">
        <f>"河南省南阳市内乡县城关镇"</f>
        <v>河南省南阳市内乡县城关镇</v>
      </c>
      <c r="H3952" s="1" t="str">
        <f t="shared" si="1955"/>
        <v>无</v>
      </c>
      <c r="I3952" s="1" t="str">
        <f>"201609—201907 就读郑州升达经贸管理学院 
202304—202507 就读商丘学院"</f>
        <v>201609—201907 就读郑州升达经贸管理学院 
202304—202507 就读商丘学院</v>
      </c>
    </row>
    <row r="3953" spans="1:9">
      <c r="A3953" s="1" t="str">
        <f>"411521200306185718"</f>
        <v>411521200306185718</v>
      </c>
      <c r="B3953" s="1" t="str">
        <f t="shared" si="1956"/>
        <v>共青团员</v>
      </c>
      <c r="C3953" s="1" t="str">
        <f t="shared" si="1953"/>
        <v>本科</v>
      </c>
      <c r="D3953" s="1" t="str">
        <f>"20250701"</f>
        <v>20250701</v>
      </c>
      <c r="E3953" s="1" t="str">
        <f>"郑州工商学院"</f>
        <v>郑州工商学院</v>
      </c>
      <c r="F3953" s="1" t="str">
        <f>"国际经济与贸易"</f>
        <v>国际经济与贸易</v>
      </c>
      <c r="G3953" s="1" t="str">
        <f>"河南省信阳市罗山县灵山大道中段鸿禧嘉园西区"</f>
        <v>河南省信阳市罗山县灵山大道中段鸿禧嘉园西区</v>
      </c>
      <c r="H3953" s="1" t="str">
        <f t="shared" si="1955"/>
        <v>无</v>
      </c>
      <c r="I3953" s="1" t="str">
        <f>"202109-202507 郑州工商学院商学院国际经济与贸易专业就读 全日制学历"</f>
        <v>202109-202507 郑州工商学院商学院国际经济与贸易专业就读 全日制学历</v>
      </c>
    </row>
    <row r="3954" spans="1:9">
      <c r="A3954" s="1" t="str">
        <f>"411327199908114919"</f>
        <v>411327199908114919</v>
      </c>
      <c r="B3954" s="1" t="str">
        <f>"中共党员"</f>
        <v>中共党员</v>
      </c>
      <c r="C3954" s="1" t="str">
        <f>"专科"</f>
        <v>专科</v>
      </c>
      <c r="D3954" s="1" t="str">
        <f>"20240720"</f>
        <v>20240720</v>
      </c>
      <c r="E3954" s="1" t="str">
        <f>"国家开放大学"</f>
        <v>国家开放大学</v>
      </c>
      <c r="F3954" s="1" t="str">
        <f>"计算机网络技术（网络管理方向）"</f>
        <v>计算机网络技术（网络管理方向）</v>
      </c>
      <c r="G3954" s="1" t="str">
        <f>"河南省南阳市内乡县灌涨镇前湾村后湾西五号"</f>
        <v>河南省南阳市内乡县灌涨镇前湾村后湾西五号</v>
      </c>
      <c r="H3954" s="1" t="str">
        <f>"信息安全测试员和保密档案管理员中级技能鉴定"</f>
        <v>信息安全测试员和保密档案管理员中级技能鉴定</v>
      </c>
      <c r="I3954" s="1" t="str">
        <f>"201609-202409 中国人民解放军93427部队  服役
202109-202407 国家开放大学计算机网络技术（网络管理方向）专业就读  非全日制学历"</f>
        <v>201609-202409 中国人民解放军93427部队  服役
202109-202407 国家开放大学计算机网络技术（网络管理方向）专业就读  非全日制学历</v>
      </c>
    </row>
    <row r="3955" spans="1:9">
      <c r="A3955" s="1" t="str">
        <f>"411325199607032933"</f>
        <v>411325199607032933</v>
      </c>
      <c r="B3955" s="1" t="str">
        <f t="shared" si="1956"/>
        <v>共青团员</v>
      </c>
      <c r="C3955" s="1" t="str">
        <f t="shared" ref="C3955:C3958" si="1957">"本科"</f>
        <v>本科</v>
      </c>
      <c r="D3955" s="1" t="str">
        <f>"20190630"</f>
        <v>20190630</v>
      </c>
      <c r="E3955" s="1" t="str">
        <f>"广西艺术学院"</f>
        <v>广西艺术学院</v>
      </c>
      <c r="F3955" s="1" t="str">
        <f>"广播电视编导"</f>
        <v>广播电视编导</v>
      </c>
      <c r="G3955" s="1" t="str">
        <f>"河南省南阳市宛城区官庄镇园丁小区4-2-201"</f>
        <v>河南省南阳市宛城区官庄镇园丁小区4-2-201</v>
      </c>
      <c r="H3955" s="1" t="str">
        <f t="shared" ref="H3955:H3960" si="1958">"无"</f>
        <v>无</v>
      </c>
      <c r="I3955" s="1" t="str">
        <f>"201509-201906   在广西艺术学院  影视与传播学院  广播电视编导专业就读，全日制学历。
201905-202112   在中廉国宏（北京）文化传播有限公司任编导一职。
202112-202507   在南阳市待业"</f>
        <v>201509-201906   在广西艺术学院  影视与传播学院  广播电视编导专业就读，全日制学历。
201905-202112   在中廉国宏（北京）文化传播有限公司任编导一职。
202112-202507   在南阳市待业</v>
      </c>
    </row>
    <row r="3956" spans="1:9">
      <c r="A3956" s="1" t="str">
        <f>"410326199401235052"</f>
        <v>410326199401235052</v>
      </c>
      <c r="B3956" s="1" t="str">
        <f t="shared" ref="B3956:B3963" si="1959">"群众"</f>
        <v>群众</v>
      </c>
      <c r="C3956" s="1" t="str">
        <f t="shared" si="1957"/>
        <v>本科</v>
      </c>
      <c r="D3956" s="1" t="str">
        <f>"20180607"</f>
        <v>20180607</v>
      </c>
      <c r="E3956" s="1" t="str">
        <f>"河南科技大学"</f>
        <v>河南科技大学</v>
      </c>
      <c r="F3956" s="1" t="str">
        <f>"药学"</f>
        <v>药学</v>
      </c>
      <c r="G3956" s="1" t="str">
        <f>"河南省郑州市国棉一厂家属院"</f>
        <v>河南省郑州市国棉一厂家属院</v>
      </c>
      <c r="H3956" s="1" t="str">
        <f t="shared" si="1958"/>
        <v>无</v>
      </c>
      <c r="I3956" s="1" t="str">
        <f>"201409-201806 河南科技大学 药学 就读  全日制学历"</f>
        <v>201409-201806 河南科技大学 药学 就读  全日制学历</v>
      </c>
    </row>
    <row r="3957" spans="1:9">
      <c r="A3957" s="1" t="str">
        <f>"41133020010508406X"</f>
        <v>41133020010508406X</v>
      </c>
      <c r="B3957" s="1" t="str">
        <f>"共青团员"</f>
        <v>共青团员</v>
      </c>
      <c r="C3957" s="1" t="str">
        <f t="shared" si="1957"/>
        <v>本科</v>
      </c>
      <c r="D3957" s="1" t="str">
        <f>"2024-06-15"</f>
        <v>2024-06-15</v>
      </c>
      <c r="E3957" s="1" t="str">
        <f>"周口师范学院"</f>
        <v>周口师范学院</v>
      </c>
      <c r="F3957" s="1" t="str">
        <f>"智能科学与技术（080907T）"</f>
        <v>智能科学与技术（080907T）</v>
      </c>
      <c r="G3957" s="1" t="str">
        <f>"河南省南阳市"</f>
        <v>河南省南阳市</v>
      </c>
      <c r="H3957" s="1" t="str">
        <f t="shared" si="1958"/>
        <v>无</v>
      </c>
      <c r="I3957" s="1" t="str">
        <f>"2020.09---2024.06  周口师范学院
2024.06---至今  待业"</f>
        <v>2020.09---2024.06  周口师范学院
2024.06---至今  待业</v>
      </c>
    </row>
    <row r="3958" spans="1:9">
      <c r="A3958" s="1" t="str">
        <f>"411121200009013010"</f>
        <v>411121200009013010</v>
      </c>
      <c r="B3958" s="1" t="str">
        <f>"中共党员"</f>
        <v>中共党员</v>
      </c>
      <c r="C3958" s="1" t="str">
        <f t="shared" si="1957"/>
        <v>本科</v>
      </c>
      <c r="D3958" s="1" t="str">
        <f>"20220617"</f>
        <v>20220617</v>
      </c>
      <c r="E3958" s="1" t="str">
        <f>"郑州工商学院"</f>
        <v>郑州工商学院</v>
      </c>
      <c r="F3958" s="1" t="str">
        <f>"学前教育"</f>
        <v>学前教育</v>
      </c>
      <c r="G3958" s="1" t="str">
        <f>"河南省漯河市舞阳县舞阳首府"</f>
        <v>河南省漯河市舞阳县舞阳首府</v>
      </c>
      <c r="H3958" s="1" t="str">
        <f t="shared" si="1958"/>
        <v>无</v>
      </c>
      <c r="I3958" s="1" t="str">
        <f>"201909—202206周口职业技术学院文化教育学院语文教育专业就读，全日制专科
202209—202406郑州工商学院文法学院学前教育专业就读，全日制本科
202406—至今在家待业"</f>
        <v>201909—202206周口职业技术学院文化教育学院语文教育专业就读，全日制专科
202209—202406郑州工商学院文法学院学前教育专业就读，全日制本科
202406—至今在家待业</v>
      </c>
    </row>
    <row r="3959" spans="1:9">
      <c r="A3959" s="1" t="str">
        <f>"41132719931006032X"</f>
        <v>41132719931006032X</v>
      </c>
      <c r="B3959" s="1" t="str">
        <f t="shared" si="1959"/>
        <v>群众</v>
      </c>
      <c r="C3959" s="1" t="str">
        <f t="shared" ref="C3959:C3963" si="1960">"专科"</f>
        <v>专科</v>
      </c>
      <c r="D3959" s="1" t="str">
        <f>"20160630"</f>
        <v>20160630</v>
      </c>
      <c r="E3959" s="1" t="str">
        <f>"青岛黄海学院"</f>
        <v>青岛黄海学院</v>
      </c>
      <c r="F3959" s="1" t="str">
        <f>"物流管理"</f>
        <v>物流管理</v>
      </c>
      <c r="G3959" s="1" t="str">
        <f>"河南省南阳市内乡县城关镇"</f>
        <v>河南省南阳市内乡县城关镇</v>
      </c>
      <c r="H3959" s="1" t="str">
        <f t="shared" si="1958"/>
        <v>无</v>
      </c>
      <c r="I3959" s="1" t="str">
        <f>"201209——201509青岛黄海学院 全日制 管理学院物流管理专科
201509——201609青岛大学 高等教育自学考试 物流管理本科
201610——201812青岛联合立辉商贸有限公司
201902——202112洪恩教育
202202至今 内乡县住建局 "</f>
        <v>201209——201509青岛黄海学院 全日制 管理学院物流管理专科
201509——201609青岛大学 高等教育自学考试 物流管理本科
201610——201812青岛联合立辉商贸有限公司
201902——202112洪恩教育
202202至今 内乡县住建局 </v>
      </c>
    </row>
    <row r="3960" spans="1:9">
      <c r="A3960" s="1" t="str">
        <f>"411381199609290419"</f>
        <v>411381199609290419</v>
      </c>
      <c r="B3960" s="1" t="str">
        <f t="shared" si="1959"/>
        <v>群众</v>
      </c>
      <c r="C3960" s="1" t="str">
        <f t="shared" si="1960"/>
        <v>专科</v>
      </c>
      <c r="D3960" s="1" t="str">
        <f>"20170701"</f>
        <v>20170701</v>
      </c>
      <c r="E3960" s="1" t="str">
        <f>"华北水利水电大学水利与环境职业技术学校"</f>
        <v>华北水利水电大学水利与环境职业技术学校</v>
      </c>
      <c r="F3960" s="1" t="str">
        <f>"水利水电建筑工程"</f>
        <v>水利水电建筑工程</v>
      </c>
      <c r="G3960" s="1" t="str">
        <f>"河南省邓州市"</f>
        <v>河南省邓州市</v>
      </c>
      <c r="H3960" s="1" t="str">
        <f t="shared" si="1958"/>
        <v>无</v>
      </c>
      <c r="I3960" s="1" t="str">
        <f>"200909-201207就读于邓州市一初中
201209-201707就读于华北水利水电大学3+2年全日制大专
2017年至今与邓州市水利局工作"</f>
        <v>200909-201207就读于邓州市一初中
201209-201707就读于华北水利水电大学3+2年全日制大专
2017年至今与邓州市水利局工作</v>
      </c>
    </row>
    <row r="3961" spans="1:9">
      <c r="A3961" s="1" t="str">
        <f>"411302200107306097"</f>
        <v>411302200107306097</v>
      </c>
      <c r="B3961" s="1" t="str">
        <f t="shared" si="1959"/>
        <v>群众</v>
      </c>
      <c r="C3961" s="1" t="str">
        <f t="shared" si="1960"/>
        <v>专科</v>
      </c>
      <c r="D3961" s="1" t="str">
        <f>"20220701"</f>
        <v>20220701</v>
      </c>
      <c r="E3961" s="1" t="str">
        <f>"黄河水利职业技术学院"</f>
        <v>黄河水利职业技术学院</v>
      </c>
      <c r="F3961" s="1" t="str">
        <f>"水利工程（水生态修复工程技术方向）"</f>
        <v>水利工程（水生态修复工程技术方向）</v>
      </c>
      <c r="G3961" s="1" t="str">
        <f>"河南省南阳市北京大道西苑小区"</f>
        <v>河南省南阳市北京大道西苑小区</v>
      </c>
      <c r="H3961" s="1" t="str">
        <f>"河道修防工证（高级工）"</f>
        <v>河道修防工证（高级工）</v>
      </c>
      <c r="I3961" s="1" t="str">
        <f>"20190901-20220701在黄河水利职业技术学院水利工程学院就读，为全日制学历，20220706-20250720在中国水利水电第十一工程局担任施工员职位"</f>
        <v>20190901-20220701在黄河水利职业技术学院水利工程学院就读，为全日制学历，20220706-20250720在中国水利水电第十一工程局担任施工员职位</v>
      </c>
    </row>
    <row r="3962" spans="1:9">
      <c r="A3962" s="1" t="str">
        <f>"411327199503121555"</f>
        <v>411327199503121555</v>
      </c>
      <c r="B3962" s="1" t="str">
        <f t="shared" si="1959"/>
        <v>群众</v>
      </c>
      <c r="C3962" s="1" t="str">
        <f t="shared" si="1960"/>
        <v>专科</v>
      </c>
      <c r="D3962" s="1" t="str">
        <f>"20160618"</f>
        <v>20160618</v>
      </c>
      <c r="E3962" s="1" t="str">
        <f>"南京科技职业学院"</f>
        <v>南京科技职业学院</v>
      </c>
      <c r="F3962" s="1" t="str">
        <f>"机电一体化技术"</f>
        <v>机电一体化技术</v>
      </c>
      <c r="G3962" s="1" t="str">
        <f>"河南省南阳市内乡县东王营村岳营"</f>
        <v>河南省南阳市内乡县东王营村岳营</v>
      </c>
      <c r="H3962" s="1" t="str">
        <f t="shared" ref="H3962:H3964" si="1961">"无"</f>
        <v>无</v>
      </c>
      <c r="I3962" s="1" t="str">
        <f>"2013.09-2016.06 南京科技职业学院 机电一体化技术专业（全日制大专）
2013.09-2016.12 南京大学 人力资源管理专业（自考本科）
2016.04-2017.09 江苏中鲈科技发展股份有限公司 电仪维修工
2017.10-2021.03 在家待业
2021.04至今 内乡县发展和改革委员会 辅助工作人员"</f>
        <v>2013.09-2016.06 南京科技职业学院 机电一体化技术专业（全日制大专）
2013.09-2016.12 南京大学 人力资源管理专业（自考本科）
2016.04-2017.09 江苏中鲈科技发展股份有限公司 电仪维修工
2017.10-2021.03 在家待业
2021.04至今 内乡县发展和改革委员会 辅助工作人员</v>
      </c>
    </row>
    <row r="3963" spans="1:9">
      <c r="A3963" s="1" t="str">
        <f>"411303199201111027"</f>
        <v>411303199201111027</v>
      </c>
      <c r="B3963" s="1" t="str">
        <f t="shared" si="1959"/>
        <v>群众</v>
      </c>
      <c r="C3963" s="1" t="str">
        <f t="shared" si="1960"/>
        <v>专科</v>
      </c>
      <c r="D3963" s="1" t="str">
        <f>"20120701"</f>
        <v>20120701</v>
      </c>
      <c r="E3963" s="1" t="str">
        <f>"南阳师范学院"</f>
        <v>南阳师范学院</v>
      </c>
      <c r="F3963" s="1" t="str">
        <f>"动漫设计与制作"</f>
        <v>动漫设计与制作</v>
      </c>
      <c r="G3963" s="1" t="str">
        <f>"河南省南阳市桐树庄168号"</f>
        <v>河南省南阳市桐树庄168号</v>
      </c>
      <c r="H3963" s="1" t="str">
        <f t="shared" si="1961"/>
        <v>无</v>
      </c>
      <c r="I3963" s="1" t="str">
        <f>"201009-201207 南阳师范学院  动漫设计与制作 全日制
201303-201601 南阳理工学院   工商管理（成人教育）
201602-202405 自由职业
202406-至今 南阳市统计局（公益岗）"</f>
        <v>201009-201207 南阳师范学院  动漫设计与制作 全日制
201303-201601 南阳理工学院   工商管理（成人教育）
201602-202405 自由职业
202406-至今 南阳市统计局（公益岗）</v>
      </c>
    </row>
    <row r="3964" spans="1:9">
      <c r="A3964" s="1" t="str">
        <f>"410523200309100128"</f>
        <v>410523200309100128</v>
      </c>
      <c r="B3964" s="1" t="str">
        <f t="shared" ref="B3964:B3969" si="1962">"共青团员"</f>
        <v>共青团员</v>
      </c>
      <c r="C3964" s="1" t="str">
        <f t="shared" ref="C3964:C3976" si="1963">"本科"</f>
        <v>本科</v>
      </c>
      <c r="D3964" s="1" t="str">
        <f>"20250606"</f>
        <v>20250606</v>
      </c>
      <c r="E3964" s="1" t="str">
        <f>"河南大学"</f>
        <v>河南大学</v>
      </c>
      <c r="F3964" s="1" t="str">
        <f>"国际经济与贸易"</f>
        <v>国际经济与贸易</v>
      </c>
      <c r="G3964" s="1" t="str">
        <f>"河南省安阳市汤阴县幸福家园"</f>
        <v>河南省安阳市汤阴县幸福家园</v>
      </c>
      <c r="H3964" s="1" t="str">
        <f t="shared" si="1961"/>
        <v>无</v>
      </c>
      <c r="I3964" s="1" t="str">
        <f>"202109-202506河南大学高级金融学院国际经济与贸易专业就读，是全日制学历"</f>
        <v>202109-202506河南大学高级金融学院国际经济与贸易专业就读，是全日制学历</v>
      </c>
    </row>
    <row r="3965" spans="1:9">
      <c r="A3965" s="1" t="str">
        <f>"411327200309090025"</f>
        <v>411327200309090025</v>
      </c>
      <c r="B3965" s="1" t="str">
        <f t="shared" si="1962"/>
        <v>共青团员</v>
      </c>
      <c r="C3965" s="1" t="str">
        <f>"专科"</f>
        <v>专科</v>
      </c>
      <c r="D3965" s="1" t="str">
        <f>"20250701"</f>
        <v>20250701</v>
      </c>
      <c r="E3965" s="1" t="str">
        <f>"河南测绘职业学院"</f>
        <v>河南测绘职业学院</v>
      </c>
      <c r="F3965" s="1" t="str">
        <f>"测绘地理信息技术"</f>
        <v>测绘地理信息技术</v>
      </c>
      <c r="G3965" s="1" t="str">
        <f>"河南省南阳市内乡县城关镇"</f>
        <v>河南省南阳市内乡县城关镇</v>
      </c>
      <c r="H3965" s="1" t="str">
        <f>"职业技能等级证书 地图绘制员 三级/高级工"</f>
        <v>职业技能等级证书 地图绘制员 三级/高级工</v>
      </c>
      <c r="I3965" s="1" t="str">
        <f>"202209-202506 河南测绘职业学院 空间信息工程系测绘地理信息技术专业就读，是全日制学历
201909-202206 内乡县实验高级中学 就读
201509-201906 内乡县实验初级中学 就读
200909-201506 城关镇第一小学 就读
"</f>
        <v>202209-202506 河南测绘职业学院 空间信息工程系测绘地理信息技术专业就读，是全日制学历
201909-202206 内乡县实验高级中学 就读
201509-201906 内乡县实验初级中学 就读
200909-201506 城关镇第一小学 就读
</v>
      </c>
    </row>
    <row r="3966" spans="1:9">
      <c r="A3966" s="1" t="str">
        <f>"411327199502202919"</f>
        <v>411327199502202919</v>
      </c>
      <c r="B3966" s="1" t="str">
        <f t="shared" ref="B3966:B3968" si="1964">"群众"</f>
        <v>群众</v>
      </c>
      <c r="C3966" s="1" t="str">
        <f>"专科"</f>
        <v>专科</v>
      </c>
      <c r="D3966" s="1" t="str">
        <f>"20160701"</f>
        <v>20160701</v>
      </c>
      <c r="E3966" s="1" t="str">
        <f>"河南农业大学"</f>
        <v>河南农业大学</v>
      </c>
      <c r="F3966" s="1" t="str">
        <f>"计算机应用技术"</f>
        <v>计算机应用技术</v>
      </c>
      <c r="G3966" s="1" t="str">
        <f>"河南省南阳市内乡县三里桥"</f>
        <v>河南省南阳市内乡县三里桥</v>
      </c>
      <c r="H3966" s="1" t="str">
        <f t="shared" ref="H3966:H3974" si="1965">"无"</f>
        <v>无</v>
      </c>
      <c r="I3966" s="1" t="str">
        <f>"201309-201607  河南农业大学学校 就读
201607-201610  待业
201610-201805  劳务派遣在内乡县公安局辅警工作
201806-202309  劳务派遣在内乡县供电公司工作
202309-202507  在内乡县菊龙市政工程有限公司工作"</f>
        <v>201309-201607  河南农业大学学校 就读
201607-201610  待业
201610-201805  劳务派遣在内乡县公安局辅警工作
201806-202309  劳务派遣在内乡县供电公司工作
202309-202507  在内乡县菊龙市政工程有限公司工作</v>
      </c>
    </row>
    <row r="3967" ht="121.5" spans="1:9">
      <c r="A3967" s="1" t="str">
        <f>"411327199003284227"</f>
        <v>411327199003284227</v>
      </c>
      <c r="B3967" s="1" t="str">
        <f t="shared" si="1964"/>
        <v>群众</v>
      </c>
      <c r="C3967" s="1" t="str">
        <f t="shared" si="1963"/>
        <v>本科</v>
      </c>
      <c r="D3967" s="1" t="str">
        <f>"2014-06-19"</f>
        <v>2014-06-19</v>
      </c>
      <c r="E3967" s="1" t="str">
        <f>"吉林建筑大学城建学院"</f>
        <v>吉林建筑大学城建学院</v>
      </c>
      <c r="F3967" s="1" t="str">
        <f>"工商管理"</f>
        <v>工商管理</v>
      </c>
      <c r="G3967" s="1" t="str">
        <f>"河南省南阳市卧龙区北京路与博望路交汇处麒麟公馆三期"</f>
        <v>河南省南阳市卧龙区北京路与博望路交汇处麒麟公馆三期</v>
      </c>
      <c r="H3967" s="1" t="str">
        <f t="shared" si="1965"/>
        <v>无</v>
      </c>
      <c r="I3967" s="3" t="s">
        <v>271</v>
      </c>
    </row>
    <row r="3968" spans="1:9">
      <c r="A3968" s="1" t="str">
        <f>"610221200011130015"</f>
        <v>610221200011130015</v>
      </c>
      <c r="B3968" s="1" t="str">
        <f t="shared" si="1964"/>
        <v>群众</v>
      </c>
      <c r="C3968" s="1" t="str">
        <f t="shared" si="1963"/>
        <v>本科</v>
      </c>
      <c r="D3968" s="1" t="str">
        <f>"20220620"</f>
        <v>20220620</v>
      </c>
      <c r="E3968" s="1" t="str">
        <f>"上海政法学院"</f>
        <v>上海政法学院</v>
      </c>
      <c r="F3968" s="1" t="str">
        <f>"法学"</f>
        <v>法学</v>
      </c>
      <c r="G3968" s="1" t="str">
        <f>"西安市雁塔区曲江街道雁翔路黄渠头小区3号楼2单元1102"</f>
        <v>西安市雁塔区曲江街道雁翔路黄渠头小区3号楼2单元1102</v>
      </c>
      <c r="H3968" s="1" t="str">
        <f>"法律职业资格证A证"</f>
        <v>法律职业资格证A证</v>
      </c>
      <c r="I3968" s="1" t="str">
        <f>"201509-201809 陕西省耀州中学 全日制高中 就读 
201809-202206 上海政法学院 经济法学院法学专业就读 全日制本科学历
202206-202308 陕西省铜川市 待业
202309-202311 广东瑞玖律师事务所 律师助理
202312-202410 陕西省铜川市 待业
202411-202412 陕西固伦律师事务所 律师助理
202501-202507 陕西省西安市 待业"</f>
        <v>201509-201809 陕西省耀州中学 全日制高中 就读 
201809-202206 上海政法学院 经济法学院法学专业就读 全日制本科学历
202206-202308 陕西省铜川市 待业
202309-202311 广东瑞玖律师事务所 律师助理
202312-202410 陕西省铜川市 待业
202411-202412 陕西固伦律师事务所 律师助理
202501-202507 陕西省西安市 待业</v>
      </c>
    </row>
    <row r="3969" spans="1:9">
      <c r="A3969" s="1" t="str">
        <f>"41132720030118115X"</f>
        <v>41132720030118115X</v>
      </c>
      <c r="B3969" s="1" t="str">
        <f t="shared" si="1962"/>
        <v>共青团员</v>
      </c>
      <c r="C3969" s="1" t="str">
        <f t="shared" si="1963"/>
        <v>本科</v>
      </c>
      <c r="D3969" s="1" t="str">
        <f>"20250613"</f>
        <v>20250613</v>
      </c>
      <c r="E3969" s="1" t="str">
        <f>"湖南科技学院"</f>
        <v>湖南科技学院</v>
      </c>
      <c r="F3969" s="1" t="str">
        <f>"环境设计"</f>
        <v>环境设计</v>
      </c>
      <c r="G3969" s="1" t="str">
        <f>"河南省南阳市内乡县赤眉镇街东东100号"</f>
        <v>河南省南阳市内乡县赤眉镇街东东100号</v>
      </c>
      <c r="H3969" s="1" t="str">
        <f t="shared" si="1965"/>
        <v>无</v>
      </c>
      <c r="I3969" s="1" t="str">
        <f>"202109-202506 湖南科技学院 美术与艺术设计学院 环境设计专业 就读  全日制学历
202506至今  今生金画室 河南省南阳市内乡县赤眉校区 担任素描和动漫教师、教务管理 工作"</f>
        <v>202109-202506 湖南科技学院 美术与艺术设计学院 环境设计专业 就读  全日制学历
202506至今  今生金画室 河南省南阳市内乡县赤眉校区 担任素描和动漫教师、教务管理 工作</v>
      </c>
    </row>
    <row r="3970" spans="1:9">
      <c r="A3970" s="1" t="str">
        <f>"411327199909093718"</f>
        <v>411327199909093718</v>
      </c>
      <c r="B3970" s="1" t="str">
        <f t="shared" ref="B3970:B3973" si="1966">"中共党员"</f>
        <v>中共党员</v>
      </c>
      <c r="C3970" s="1" t="str">
        <f t="shared" si="1963"/>
        <v>本科</v>
      </c>
      <c r="D3970" s="1" t="str">
        <f>"20230630"</f>
        <v>20230630</v>
      </c>
      <c r="E3970" s="1" t="str">
        <f>"中央司法警官学院"</f>
        <v>中央司法警官学院</v>
      </c>
      <c r="F3970" s="1" t="str">
        <f>"法学（030101K）"</f>
        <v>法学（030101K）</v>
      </c>
      <c r="G3970" s="1" t="str">
        <f>"河南省南阳市内乡县郦都国际三期三号楼2002"</f>
        <v>河南省南阳市内乡县郦都国际三期三号楼2002</v>
      </c>
      <c r="H3970" s="1" t="str">
        <f t="shared" si="1965"/>
        <v>无</v>
      </c>
      <c r="I3970" s="1" t="str">
        <f>"201709-201806就读于中央司法警官学院   法学（030101K）
201809-202009服役于中国人民解放军69036部队
202009-202306就读于中央司法警官学院   法学（030101K）
202307至今  内乡县人民检察院   书记员"</f>
        <v>201709-201806就读于中央司法警官学院   法学（030101K）
201809-202009服役于中国人民解放军69036部队
202009-202306就读于中央司法警官学院   法学（030101K）
202307至今  内乡县人民检察院   书记员</v>
      </c>
    </row>
    <row r="3971" spans="1:9">
      <c r="A3971" s="1" t="str">
        <f>"410326199507216722"</f>
        <v>410326199507216722</v>
      </c>
      <c r="B3971" s="1" t="str">
        <f>"群众"</f>
        <v>群众</v>
      </c>
      <c r="C3971" s="1" t="str">
        <f t="shared" si="1963"/>
        <v>本科</v>
      </c>
      <c r="D3971" s="1" t="str">
        <f>"2019-12-30"</f>
        <v>2019-12-30</v>
      </c>
      <c r="E3971" s="1" t="str">
        <f>"河南大学"</f>
        <v>河南大学</v>
      </c>
      <c r="F3971" s="1" t="str">
        <f>"经济学"</f>
        <v>经济学</v>
      </c>
      <c r="G3971" s="1" t="str">
        <f>"洛阳市洛龙区丰李街道"</f>
        <v>洛阳市洛龙区丰李街道</v>
      </c>
      <c r="H3971" s="1" t="str">
        <f t="shared" si="1965"/>
        <v>无</v>
      </c>
      <c r="I3971" s="1" t="str">
        <f>"201409-201707  河南牧业经济学院  就读  投资与理财专业  全日制学历
201510-201912  河南大学  经济学专业  非全日制学历
201707-201902  河南省创融金融服务有限公司  就职
201903-202105  河南省晨钟教育咨询有限公司  就职
202106-202301  无业
202302 至今  河南众达人力资源有限公司派遣至丰李街道办事处  就职"</f>
        <v>201409-201707  河南牧业经济学院  就读  投资与理财专业  全日制学历
201510-201912  河南大学  经济学专业  非全日制学历
201707-201902  河南省创融金融服务有限公司  就职
201903-202105  河南省晨钟教育咨询有限公司  就职
202106-202301  无业
202302 至今  河南众达人力资源有限公司派遣至丰李街道办事处  就职</v>
      </c>
    </row>
    <row r="3972" spans="1:9">
      <c r="A3972" s="1" t="str">
        <f>"411327200111110027"</f>
        <v>411327200111110027</v>
      </c>
      <c r="B3972" s="1" t="str">
        <f t="shared" si="1966"/>
        <v>中共党员</v>
      </c>
      <c r="C3972" s="1" t="str">
        <f t="shared" si="1963"/>
        <v>本科</v>
      </c>
      <c r="D3972" s="1" t="str">
        <f>"20240630"</f>
        <v>20240630</v>
      </c>
      <c r="E3972" s="1" t="str">
        <f>"上海应用技术大学"</f>
        <v>上海应用技术大学</v>
      </c>
      <c r="F3972" s="1" t="str">
        <f t="shared" ref="F3972:F3975" si="1967">"电子信息工程"</f>
        <v>电子信息工程</v>
      </c>
      <c r="G3972" s="1" t="str">
        <f>"河南省南阳市内乡县实验初中斜对面"</f>
        <v>河南省南阳市内乡县实验初中斜对面</v>
      </c>
      <c r="H3972" s="1" t="str">
        <f t="shared" si="1965"/>
        <v>无</v>
      </c>
      <c r="I3972" s="1" t="str">
        <f>"202009-202406 上海应用技术大学 电气与电子工程学院 电子信息工程专业就读，是全日制学历"</f>
        <v>202009-202406 上海应用技术大学 电气与电子工程学院 电子信息工程专业就读，是全日制学历</v>
      </c>
    </row>
    <row r="3973" spans="1:9">
      <c r="A3973" s="1" t="str">
        <f>"41132720010927003X"</f>
        <v>41132720010927003X</v>
      </c>
      <c r="B3973" s="1" t="str">
        <f t="shared" si="1966"/>
        <v>中共党员</v>
      </c>
      <c r="C3973" s="1" t="str">
        <f t="shared" si="1963"/>
        <v>本科</v>
      </c>
      <c r="D3973" s="1" t="str">
        <f>"20250701"</f>
        <v>20250701</v>
      </c>
      <c r="E3973" s="1" t="str">
        <f>"大连民族大学"</f>
        <v>大连民族大学</v>
      </c>
      <c r="F3973" s="1" t="str">
        <f t="shared" si="1967"/>
        <v>电子信息工程</v>
      </c>
      <c r="G3973" s="1" t="str">
        <f>"河南省南阳市内乡县五里堡转盘向南五百米马家烩面"</f>
        <v>河南省南阳市内乡县五里堡转盘向南五百米马家烩面</v>
      </c>
      <c r="H3973" s="1" t="str">
        <f t="shared" si="1965"/>
        <v>无</v>
      </c>
      <c r="I3973" s="1" t="str">
        <f>"201909-202007 大连民族大学信息与通信工程学院电子信息工程专业就读，是全日制学历。
202009-202209 河北石家庄参加武警部队服役两年。
202209-202507 大连民族大学信息与通信工程学院电子信息工程专业就读，是全日制学历。"</f>
        <v>201909-202007 大连民族大学信息与通信工程学院电子信息工程专业就读，是全日制学历。
202009-202209 河北石家庄参加武警部队服役两年。
202209-202507 大连民族大学信息与通信工程学院电子信息工程专业就读，是全日制学历。</v>
      </c>
    </row>
    <row r="3974" spans="1:9">
      <c r="A3974" s="1" t="str">
        <f>"411327199709120013"</f>
        <v>411327199709120013</v>
      </c>
      <c r="B3974" s="1" t="str">
        <f t="shared" ref="B3974:B3978" si="1968">"共青团员"</f>
        <v>共青团员</v>
      </c>
      <c r="C3974" s="1" t="str">
        <f t="shared" si="1963"/>
        <v>本科</v>
      </c>
      <c r="D3974" s="1" t="str">
        <f>"20190701"</f>
        <v>20190701</v>
      </c>
      <c r="E3974" s="1" t="str">
        <f>"周口师范学院"</f>
        <v>周口师范学院</v>
      </c>
      <c r="F3974" s="1" t="str">
        <f>"自动化"</f>
        <v>自动化</v>
      </c>
      <c r="G3974" s="1" t="str">
        <f>"河南省南阳市内乡县城关镇县衙路202号"</f>
        <v>河南省南阳市内乡县城关镇县衙路202号</v>
      </c>
      <c r="H3974" s="1" t="str">
        <f t="shared" si="1965"/>
        <v>无</v>
      </c>
      <c r="I3974" s="1" t="str">
        <f>"201209-201507内乡一高就读
201509-201907周口师范学院就读
201908-202201苏州保控电子科技有限公司就职
202207-202306南阳飞龙铸造就职
202306至今在家待业"</f>
        <v>201209-201507内乡一高就读
201509-201907周口师范学院就读
201908-202201苏州保控电子科技有限公司就职
202207-202306南阳飞龙铸造就职
202306至今在家待业</v>
      </c>
    </row>
    <row r="3975" spans="1:9">
      <c r="A3975" s="1" t="str">
        <f>"411327200010240033"</f>
        <v>411327200010240033</v>
      </c>
      <c r="B3975" s="1" t="str">
        <f t="shared" ref="B3975:B3986" si="1969">"群众"</f>
        <v>群众</v>
      </c>
      <c r="C3975" s="1" t="str">
        <f t="shared" si="1963"/>
        <v>本科</v>
      </c>
      <c r="D3975" s="1" t="str">
        <f>"20230701"</f>
        <v>20230701</v>
      </c>
      <c r="E3975" s="1" t="str">
        <f>"安阳学院"</f>
        <v>安阳学院</v>
      </c>
      <c r="F3975" s="1" t="str">
        <f t="shared" si="1967"/>
        <v>电子信息工程</v>
      </c>
      <c r="G3975" s="1" t="str">
        <f>"河南省南阳市内乡县丽都花园"</f>
        <v>河南省南阳市内乡县丽都花园</v>
      </c>
      <c r="H3975" s="1" t="str">
        <f>"电工三级高级工   信息通信网络运行管理员三级高级工"</f>
        <v>电工三级高级工   信息通信网络运行管理员三级高级工</v>
      </c>
      <c r="I3975" s="1" t="str">
        <f>"201809-202107河南建筑职业技术学院设备工程系建筑智能化工程专业就读全日制
202109-202307安阳学院航空工程学院电子信息工程专业就读全日制
202307至今待业"</f>
        <v>201809-202107河南建筑职业技术学院设备工程系建筑智能化工程专业就读全日制
202109-202307安阳学院航空工程学院电子信息工程专业就读全日制
202307至今待业</v>
      </c>
    </row>
    <row r="3976" spans="1:9">
      <c r="A3976" s="1" t="str">
        <f>"411327200001220014"</f>
        <v>411327200001220014</v>
      </c>
      <c r="B3976" s="1" t="str">
        <f t="shared" si="1968"/>
        <v>共青团员</v>
      </c>
      <c r="C3976" s="1" t="str">
        <f t="shared" si="1963"/>
        <v>本科</v>
      </c>
      <c r="D3976" s="1" t="str">
        <f>"20221214"</f>
        <v>20221214</v>
      </c>
      <c r="E3976" s="1" t="str">
        <f>"郑州大学西亚斯国际学院"</f>
        <v>郑州大学西亚斯国际学院</v>
      </c>
      <c r="F3976" s="1" t="str">
        <f>"金融学"</f>
        <v>金融学</v>
      </c>
      <c r="G3976" s="1" t="str">
        <f>"河南省南阳市内乡县城关镇清真寺村清真寺北路12号"</f>
        <v>河南省南阳市内乡县城关镇清真寺村清真寺北路12号</v>
      </c>
      <c r="H3976" s="1" t="str">
        <f t="shared" ref="H3976:H3978" si="1970">"无"</f>
        <v>无</v>
      </c>
      <c r="I3976" s="1" t="str">
        <f>"201809-202212  就读全日制本科郑州大学西亚斯国际学院金融学专业
202212-至今 待业"</f>
        <v>201809-202212  就读全日制本科郑州大学西亚斯国际学院金融学专业
202212-至今 待业</v>
      </c>
    </row>
    <row r="3977" spans="1:9">
      <c r="A3977" s="1" t="str">
        <f>"411327199609020322"</f>
        <v>411327199609020322</v>
      </c>
      <c r="B3977" s="1" t="str">
        <f>"中共党员"</f>
        <v>中共党员</v>
      </c>
      <c r="C3977" s="1" t="str">
        <f>"硕士研究生"</f>
        <v>硕士研究生</v>
      </c>
      <c r="D3977" s="1" t="str">
        <f>"20220701"</f>
        <v>20220701</v>
      </c>
      <c r="E3977" s="1" t="str">
        <f>"河南科技学院"</f>
        <v>河南科技学院</v>
      </c>
      <c r="F3977" s="1" t="str">
        <f>"资源利用与植物保护"</f>
        <v>资源利用与植物保护</v>
      </c>
      <c r="G3977" s="1" t="str">
        <f>"河南省内乡县大桥乡程岗村陆家816号"</f>
        <v>河南省内乡县大桥乡程岗村陆家816号</v>
      </c>
      <c r="H3977" s="1" t="str">
        <f t="shared" si="1970"/>
        <v>无</v>
      </c>
      <c r="I3977" s="1" t="str">
        <f>"201509-201907河南科技学院，资源与环境学院（植物保护专业）就读全日制本科；201909-202207 河南科技学院，资源与环境学院（资源利用与植物保护专业）就读全日制硕士研究生；"</f>
        <v>201509-201907河南科技学院，资源与环境学院（植物保护专业）就读全日制本科；201909-202207 河南科技学院，资源与环境学院（资源利用与植物保护专业）就读全日制硕士研究生；</v>
      </c>
    </row>
    <row r="3978" spans="1:9">
      <c r="A3978" s="1" t="str">
        <f>"411503199904115025"</f>
        <v>411503199904115025</v>
      </c>
      <c r="B3978" s="1" t="str">
        <f t="shared" si="1968"/>
        <v>共青团员</v>
      </c>
      <c r="C3978" s="1" t="str">
        <f t="shared" ref="C3978:C3982" si="1971">"本科"</f>
        <v>本科</v>
      </c>
      <c r="D3978" s="1" t="str">
        <f>"20210701"</f>
        <v>20210701</v>
      </c>
      <c r="E3978" s="1" t="str">
        <f>"河南师范大学"</f>
        <v>河南师范大学</v>
      </c>
      <c r="F3978" s="1" t="str">
        <f>"旅游管理"</f>
        <v>旅游管理</v>
      </c>
      <c r="G3978" s="1" t="str">
        <f>"河南省信阳市平桥区查山乡王老村红旗茶厂"</f>
        <v>河南省信阳市平桥区查山乡王老村红旗茶厂</v>
      </c>
      <c r="H3978" s="1" t="str">
        <f t="shared" si="1970"/>
        <v>无</v>
      </c>
      <c r="I3978" s="1" t="str">
        <f>"201709-202107河南师范大学就读
202107-202203居家考研
202203-202311信阳市第六职业高中任教
202311-202407武汉高途上班
202407至今在家考编"</f>
        <v>201709-202107河南师范大学就读
202107-202203居家考研
202203-202311信阳市第六职业高中任教
202311-202407武汉高途上班
202407至今在家考编</v>
      </c>
    </row>
    <row r="3979" spans="1:9">
      <c r="A3979" s="1" t="str">
        <f>"411327200310120332"</f>
        <v>411327200310120332</v>
      </c>
      <c r="B3979" s="1" t="str">
        <f t="shared" si="1969"/>
        <v>群众</v>
      </c>
      <c r="C3979" s="1" t="str">
        <f t="shared" si="1971"/>
        <v>本科</v>
      </c>
      <c r="D3979" s="1" t="str">
        <f>"20260607"</f>
        <v>20260607</v>
      </c>
      <c r="E3979" s="1" t="str">
        <f>"河南财经政法大学"</f>
        <v>河南财经政法大学</v>
      </c>
      <c r="F3979" s="1" t="str">
        <f>"人工智能"</f>
        <v>人工智能</v>
      </c>
      <c r="G3979" s="1" t="str">
        <f>"河南省南阳市内乡县北关老包装厂"</f>
        <v>河南省南阳市内乡县北关老包装厂</v>
      </c>
      <c r="H3979" s="1" t="str">
        <f>"英语四级"</f>
        <v>英语四级</v>
      </c>
      <c r="I3979" s="1" t="str">
        <f>"202209到202606在河南财经政法大学读全日制人工智能专业"</f>
        <v>202209到202606在河南财经政法大学读全日制人工智能专业</v>
      </c>
    </row>
    <row r="3980" spans="1:9">
      <c r="A3980" s="1" t="str">
        <f>"411327200203240013"</f>
        <v>411327200203240013</v>
      </c>
      <c r="B3980" s="1" t="str">
        <f t="shared" si="1969"/>
        <v>群众</v>
      </c>
      <c r="C3980" s="1" t="str">
        <f t="shared" si="1971"/>
        <v>本科</v>
      </c>
      <c r="D3980" s="1" t="str">
        <f>"20250625"</f>
        <v>20250625</v>
      </c>
      <c r="E3980" s="1" t="str">
        <f>"郑州西亚斯学院"</f>
        <v>郑州西亚斯学院</v>
      </c>
      <c r="F3980" s="1" t="str">
        <f>"计算机科学与技术（商业智能系统开发）"</f>
        <v>计算机科学与技术（商业智能系统开发）</v>
      </c>
      <c r="G3980" s="1" t="str">
        <f>"河南省南阳市内乡县城关镇政府西巷10"</f>
        <v>河南省南阳市内乡县城关镇政府西巷10</v>
      </c>
      <c r="H3980" s="1" t="str">
        <f t="shared" ref="H3980:H3984" si="1972">"无"</f>
        <v>无</v>
      </c>
      <c r="I3980" s="1" t="str">
        <f>"202109-202506 郑州西亚斯学院 就读，2021年9月至2025年6月在郑州西亚斯学院计算机与软件工程院系计算机科学与技术（商业智能系统开发）专业就读，是全日制学历"</f>
        <v>202109-202506 郑州西亚斯学院 就读，2021年9月至2025年6月在郑州西亚斯学院计算机与软件工程院系计算机科学与技术（商业智能系统开发）专业就读，是全日制学历</v>
      </c>
    </row>
    <row r="3981" spans="1:9">
      <c r="A3981" s="1" t="str">
        <f>"41132420020722242X"</f>
        <v>41132420020722242X</v>
      </c>
      <c r="B3981" s="1" t="str">
        <f t="shared" si="1969"/>
        <v>群众</v>
      </c>
      <c r="C3981" s="1" t="str">
        <f t="shared" si="1971"/>
        <v>本科</v>
      </c>
      <c r="D3981" s="1" t="str">
        <f>"20240701"</f>
        <v>20240701</v>
      </c>
      <c r="E3981" s="1" t="str">
        <f>"郑州财经学院"</f>
        <v>郑州财经学院</v>
      </c>
      <c r="F3981" s="1" t="str">
        <f>"小学教育"</f>
        <v>小学教育</v>
      </c>
      <c r="G3981" s="1" t="str">
        <f>"河南省南阳市镇平县高丘镇徐营村"</f>
        <v>河南省南阳市镇平县高丘镇徐营村</v>
      </c>
      <c r="H3981" s="1" t="str">
        <f t="shared" si="1972"/>
        <v>无</v>
      </c>
      <c r="I3981" s="1" t="str">
        <f>"202009-202407郑州财经学院教育学院小学教育专业就读，全日制学历。
202408-202411新郑市华南城第一小学工作
202412-202507在家待业"</f>
        <v>202009-202407郑州财经学院教育学院小学教育专业就读，全日制学历。
202408-202411新郑市华南城第一小学工作
202412-202507在家待业</v>
      </c>
    </row>
    <row r="3982" spans="1:9">
      <c r="A3982" s="1" t="str">
        <f>"410811200210010051"</f>
        <v>410811200210010051</v>
      </c>
      <c r="B3982" s="1" t="str">
        <f t="shared" si="1969"/>
        <v>群众</v>
      </c>
      <c r="C3982" s="1" t="str">
        <f t="shared" si="1971"/>
        <v>本科</v>
      </c>
      <c r="D3982" s="1" t="str">
        <f>"20250701"</f>
        <v>20250701</v>
      </c>
      <c r="E3982" s="1" t="str">
        <f>"新乡学院"</f>
        <v>新乡学院</v>
      </c>
      <c r="F3982" s="1" t="str">
        <f>"计算机科学与技术"</f>
        <v>计算机科学与技术</v>
      </c>
      <c r="G3982" s="1" t="str">
        <f>"河南省焦作市山阳区解放东路人行家属院"</f>
        <v>河南省焦作市山阳区解放东路人行家属院</v>
      </c>
      <c r="H3982" s="1" t="str">
        <f t="shared" si="1972"/>
        <v>无</v>
      </c>
      <c r="I3982" s="1" t="str">
        <f>"202010-202307 河南信息统计职业学院计算机系计算机应用技术专业就读
202309-202507 新乡学院计算机工程学院信息工程系计算机科学与技术专业就读"</f>
        <v>202010-202307 河南信息统计职业学院计算机系计算机应用技术专业就读
202309-202507 新乡学院计算机工程学院信息工程系计算机科学与技术专业就读</v>
      </c>
    </row>
    <row r="3983" spans="1:9">
      <c r="A3983" s="1" t="str">
        <f>"411324200206165232"</f>
        <v>411324200206165232</v>
      </c>
      <c r="B3983" s="1" t="str">
        <f t="shared" si="1969"/>
        <v>群众</v>
      </c>
      <c r="C3983" s="1" t="str">
        <f>"专科"</f>
        <v>专科</v>
      </c>
      <c r="D3983" s="1" t="str">
        <f>"2023-04-06"</f>
        <v>2023-04-06</v>
      </c>
      <c r="E3983" s="1" t="str">
        <f>"商丘学院"</f>
        <v>商丘学院</v>
      </c>
      <c r="F3983" s="1" t="str">
        <f>"小学教育"</f>
        <v>小学教育</v>
      </c>
      <c r="G3983" s="1" t="str">
        <f>"镇平县石佛寺镇新兴北路老邻居超市"</f>
        <v>镇平县石佛寺镇新兴北路老邻居超市</v>
      </c>
      <c r="H3983" s="1" t="str">
        <f t="shared" si="1972"/>
        <v>无</v>
      </c>
      <c r="I3983" s="1" t="str">
        <f>"2020 09-2023 07商丘学院小学教育专业就读"</f>
        <v>2020 09-2023 07商丘学院小学教育专业就读</v>
      </c>
    </row>
    <row r="3984" spans="1:9">
      <c r="A3984" s="1" t="str">
        <f>"411327199612110011"</f>
        <v>411327199612110011</v>
      </c>
      <c r="B3984" s="1" t="str">
        <f t="shared" si="1969"/>
        <v>群众</v>
      </c>
      <c r="C3984" s="1" t="str">
        <f t="shared" ref="C3984:C3988" si="1973">"本科"</f>
        <v>本科</v>
      </c>
      <c r="D3984" s="1" t="str">
        <f>"20200701"</f>
        <v>20200701</v>
      </c>
      <c r="E3984" s="1" t="str">
        <f>"郑州科技学院"</f>
        <v>郑州科技学院</v>
      </c>
      <c r="F3984" s="1" t="str">
        <f>"土木工程"</f>
        <v>土木工程</v>
      </c>
      <c r="G3984" s="1" t="str">
        <f>"河南省南阳市内乡县城关镇大成路大成明珠"</f>
        <v>河南省南阳市内乡县城关镇大成路大成明珠</v>
      </c>
      <c r="H3984" s="1" t="str">
        <f t="shared" si="1972"/>
        <v>无</v>
      </c>
      <c r="I3984" s="1" t="str">
        <f>"2015.9-2018.7  河南水利与环境职业学院  建筑工程系  工程造价专业  全日制专科
2018.9-2020.7  郑州科技学院  建筑工程系  土木工程专业  全日制本科
2020.9-2023.8  南阳翔龙工程建设监理有限公司  监理员职位
2023.09至今  新野县汉城街道办事处  纪工委纪检干事"</f>
        <v>2015.9-2018.7  河南水利与环境职业学院  建筑工程系  工程造价专业  全日制专科
2018.9-2020.7  郑州科技学院  建筑工程系  土木工程专业  全日制本科
2020.9-2023.8  南阳翔龙工程建设监理有限公司  监理员职位
2023.09至今  新野县汉城街道办事处  纪工委纪检干事</v>
      </c>
    </row>
    <row r="3985" spans="1:9">
      <c r="A3985" s="1" t="str">
        <f>"411325199811050055"</f>
        <v>411325199811050055</v>
      </c>
      <c r="B3985" s="1" t="str">
        <f t="shared" si="1969"/>
        <v>群众</v>
      </c>
      <c r="C3985" s="1" t="str">
        <f t="shared" si="1973"/>
        <v>本科</v>
      </c>
      <c r="D3985" s="1" t="str">
        <f>"20210701"</f>
        <v>20210701</v>
      </c>
      <c r="E3985" s="1" t="str">
        <f>"河南科技学院"</f>
        <v>河南科技学院</v>
      </c>
      <c r="F3985" s="1" t="str">
        <f>"农学"</f>
        <v>农学</v>
      </c>
      <c r="G3985" s="1" t="str">
        <f>"内乡县城关镇利民路114号"</f>
        <v>内乡县城关镇利民路114号</v>
      </c>
      <c r="H3985" s="1" t="str">
        <f>"助理农艺师 助理级"</f>
        <v>助理农艺师 助理级</v>
      </c>
      <c r="I3985" s="1" t="str">
        <f>"201709——202107 河南科技学院农学专业就读 全日制本科
202107——202112  河南心连心化学工业有限集团 就职
202201——202203 在家待业
202204——             邓州市农业技术推广中心 助理农艺师"</f>
        <v>201709——202107 河南科技学院农学专业就读 全日制本科
202107——202112  河南心连心化学工业有限集团 就职
202201——202203 在家待业
202204——             邓州市农业技术推广中心 助理农艺师</v>
      </c>
    </row>
    <row r="3986" spans="1:9">
      <c r="A3986" s="1" t="str">
        <f>"411522199112192128"</f>
        <v>411522199112192128</v>
      </c>
      <c r="B3986" s="1" t="str">
        <f t="shared" si="1969"/>
        <v>群众</v>
      </c>
      <c r="C3986" s="1" t="str">
        <f>"专科"</f>
        <v>专科</v>
      </c>
      <c r="D3986" s="1" t="str">
        <f>"2013-07-01"</f>
        <v>2013-07-01</v>
      </c>
      <c r="E3986" s="1" t="str">
        <f>"郑州华信学院"</f>
        <v>郑州华信学院</v>
      </c>
      <c r="F3986" s="1" t="str">
        <f>"会计电算化"</f>
        <v>会计电算化</v>
      </c>
      <c r="G3986" s="1" t="str">
        <f>"郑州市金水区北林路街道恒升府邸21号楼106号"</f>
        <v>郑州市金水区北林路街道恒升府邸21号楼106号</v>
      </c>
      <c r="H3986" s="1" t="str">
        <f t="shared" ref="H3986:H4003" si="1974">"无"</f>
        <v>无</v>
      </c>
      <c r="I3986" s="1" t="str">
        <f>"201009-201307 郑州华信学院 就读经济贸易系会计电算化专业 全日制专科
201803-202101 河南理工大学 就读会计系会计学专业 非全日制本科
201308-201504 河南大象会计师事务所 就职审计助理岗
201505-201712 郑州勤泰财务咨询有限公司 就职会计岗
201801-202203 河南八八财务咨询有限公司 就职会计岗
202204至今 郑州速达新能源科技有限公司 就职会计岗"</f>
        <v>201009-201307 郑州华信学院 就读经济贸易系会计电算化专业 全日制专科
201803-202101 河南理工大学 就读会计系会计学专业 非全日制本科
201308-201504 河南大象会计师事务所 就职审计助理岗
201505-201712 郑州勤泰财务咨询有限公司 就职会计岗
201801-202203 河南八八财务咨询有限公司 就职会计岗
202204至今 郑州速达新能源科技有限公司 就职会计岗</v>
      </c>
    </row>
    <row r="3987" spans="1:9">
      <c r="A3987" s="1" t="str">
        <f>"410329200206159749"</f>
        <v>410329200206159749</v>
      </c>
      <c r="B3987" s="1" t="str">
        <f t="shared" ref="B3987:B3991" si="1975">"共青团员"</f>
        <v>共青团员</v>
      </c>
      <c r="C3987" s="1" t="str">
        <f t="shared" si="1973"/>
        <v>本科</v>
      </c>
      <c r="D3987" s="1" t="str">
        <f>"20240701"</f>
        <v>20240701</v>
      </c>
      <c r="E3987" s="1" t="str">
        <f>"河南财经政法大学"</f>
        <v>河南财经政法大学</v>
      </c>
      <c r="F3987" s="1" t="str">
        <f>"软件工程"</f>
        <v>软件工程</v>
      </c>
      <c r="G3987" s="1" t="str">
        <f>"河南省洛阳市伊川县"</f>
        <v>河南省洛阳市伊川县</v>
      </c>
      <c r="H3987" s="1" t="str">
        <f t="shared" si="1974"/>
        <v>无</v>
      </c>
      <c r="I3987" s="1" t="str">
        <f>"2020年9月1-2024年7月在河南财经政法大学就读，计算机学院，软件工程专业，全日制本科"</f>
        <v>2020年9月1-2024年7月在河南财经政法大学就读，计算机学院，软件工程专业，全日制本科</v>
      </c>
    </row>
    <row r="3988" spans="1:9">
      <c r="A3988" s="1" t="str">
        <f>"411327200210100342"</f>
        <v>411327200210100342</v>
      </c>
      <c r="B3988" s="1" t="str">
        <f t="shared" si="1975"/>
        <v>共青团员</v>
      </c>
      <c r="C3988" s="1" t="str">
        <f t="shared" si="1973"/>
        <v>本科</v>
      </c>
      <c r="D3988" s="1" t="str">
        <f>"20240624"</f>
        <v>20240624</v>
      </c>
      <c r="E3988" s="1" t="str">
        <f>"信阳农林学院"</f>
        <v>信阳农林学院</v>
      </c>
      <c r="F3988" s="1" t="str">
        <f>"农学"</f>
        <v>农学</v>
      </c>
      <c r="G3988" s="1" t="str">
        <f>"河南省南阳市内乡县大桥"</f>
        <v>河南省南阳市内乡县大桥</v>
      </c>
      <c r="H3988" s="1" t="str">
        <f t="shared" si="1974"/>
        <v>无</v>
      </c>
      <c r="I3988" s="1" t="str">
        <f>"202009-202406信阳农林学院农学院农学专业就读全日制学历。202406-202503在家待业。202504至今内乡县劳动局公益性岗位。"</f>
        <v>202009-202406信阳农林学院农学院农学专业就读全日制学历。202406-202503在家待业。202504至今内乡县劳动局公益性岗位。</v>
      </c>
    </row>
    <row r="3989" spans="1:9">
      <c r="A3989" s="1" t="str">
        <f>"411281199501294017"</f>
        <v>411281199501294017</v>
      </c>
      <c r="B3989" s="1" t="str">
        <f t="shared" ref="B3989:B3994" si="1976">"群众"</f>
        <v>群众</v>
      </c>
      <c r="C3989" s="1" t="str">
        <f>"专科"</f>
        <v>专科</v>
      </c>
      <c r="D3989" s="1" t="str">
        <f>"201607"</f>
        <v>201607</v>
      </c>
      <c r="E3989" s="1" t="str">
        <f>"河南理工大学万方科技学院"</f>
        <v>河南理工大学万方科技学院</v>
      </c>
      <c r="F3989" s="1" t="str">
        <f>"财务管理"</f>
        <v>财务管理</v>
      </c>
      <c r="G3989" s="1" t="str">
        <f>"河南省三门峡义马市"</f>
        <v>河南省三门峡义马市</v>
      </c>
      <c r="H3989" s="1" t="str">
        <f t="shared" si="1974"/>
        <v>无</v>
      </c>
      <c r="I3989" s="1" t="str">
        <f>"201309-201607河南理工大学万方科技学院 财务管理 全日制大专
201607-201706 河南科技大学 会计电算化 非全日制本科
201706-至今 待业"</f>
        <v>201309-201607河南理工大学万方科技学院 财务管理 全日制大专
201607-201706 河南科技大学 会计电算化 非全日制本科
201706-至今 待业</v>
      </c>
    </row>
    <row r="3990" spans="1:9">
      <c r="A3990" s="1" t="str">
        <f>"410481200303170019"</f>
        <v>410481200303170019</v>
      </c>
      <c r="B3990" s="1" t="str">
        <f t="shared" si="1976"/>
        <v>群众</v>
      </c>
      <c r="C3990" s="1" t="str">
        <f t="shared" ref="C3990:C3992" si="1977">"本科"</f>
        <v>本科</v>
      </c>
      <c r="D3990" s="1" t="str">
        <f>"20250630"</f>
        <v>20250630</v>
      </c>
      <c r="E3990" s="1" t="str">
        <f>"河南城建学院"</f>
        <v>河南城建学院</v>
      </c>
      <c r="F3990" s="1" t="str">
        <f>"新能源科学与工程"</f>
        <v>新能源科学与工程</v>
      </c>
      <c r="G3990" s="1" t="str">
        <f>"河南省舞钢市铁山街道予佳园小区"</f>
        <v>河南省舞钢市铁山街道予佳园小区</v>
      </c>
      <c r="H3990" s="1" t="str">
        <f t="shared" si="1974"/>
        <v>无</v>
      </c>
      <c r="I3990" s="1" t="str">
        <f>"202109-202506 就读于河南城建学院能源与建筑环境工程院系的新能源科学与工程专业，为全日制学历。"</f>
        <v>202109-202506 就读于河南城建学院能源与建筑环境工程院系的新能源科学与工程专业，为全日制学历。</v>
      </c>
    </row>
    <row r="3991" spans="1:9">
      <c r="A3991" s="1" t="str">
        <f>"411324200202085825"</f>
        <v>411324200202085825</v>
      </c>
      <c r="B3991" s="1" t="str">
        <f t="shared" si="1975"/>
        <v>共青团员</v>
      </c>
      <c r="C3991" s="1" t="str">
        <f t="shared" si="1977"/>
        <v>本科</v>
      </c>
      <c r="D3991" s="1" t="str">
        <f>"20240701"</f>
        <v>20240701</v>
      </c>
      <c r="E3991" s="1" t="str">
        <f>"信阳师范大学"</f>
        <v>信阳师范大学</v>
      </c>
      <c r="F3991" s="1" t="str">
        <f>"茶学"</f>
        <v>茶学</v>
      </c>
      <c r="G3991" s="1" t="str">
        <f>"河南省南阳市镇平县遮山镇马营村"</f>
        <v>河南省南阳市镇平县遮山镇马营村</v>
      </c>
      <c r="H3991" s="1" t="str">
        <f t="shared" si="1974"/>
        <v>无</v>
      </c>
      <c r="I3991" s="1" t="str">
        <f>"202009-202407 信阳师范大学生命科学学院茶学专业就读 全日制学历
202408-202501 河南省南阳市镇平县待业
202502-202504 深圳市特发政务服务有限公司南阳分公司实习
202505-202507 河南省南阳市镇平县待业"</f>
        <v>202009-202407 信阳师范大学生命科学学院茶学专业就读 全日制学历
202408-202501 河南省南阳市镇平县待业
202502-202504 深圳市特发政务服务有限公司南阳分公司实习
202505-202507 河南省南阳市镇平县待业</v>
      </c>
    </row>
    <row r="3992" spans="1:9">
      <c r="A3992" s="1" t="str">
        <f>"411303199601171512"</f>
        <v>411303199601171512</v>
      </c>
      <c r="B3992" s="1" t="str">
        <f t="shared" si="1976"/>
        <v>群众</v>
      </c>
      <c r="C3992" s="1" t="str">
        <f t="shared" si="1977"/>
        <v>本科</v>
      </c>
      <c r="D3992" s="1" t="str">
        <f>"20240630"</f>
        <v>20240630</v>
      </c>
      <c r="E3992" s="1" t="str">
        <f>"郑州大学"</f>
        <v>郑州大学</v>
      </c>
      <c r="F3992" s="1" t="str">
        <f>"计算机科学与技术"</f>
        <v>计算机科学与技术</v>
      </c>
      <c r="G3992" s="1" t="str">
        <f>"河南省南阳市仲景北路汇诚二手车交易市场车来车往车行"</f>
        <v>河南省南阳市仲景北路汇诚二手车交易市场车来车往车行</v>
      </c>
      <c r="H3992" s="1" t="str">
        <f t="shared" si="1974"/>
        <v>无</v>
      </c>
      <c r="I3992" s="1" t="str">
        <f>"201509-201906河南工业职业技术全日制专科汽车电子工程
201906-202109在南阳市待业
202109-202406郑州大学 非全日制计算机科学与技术"</f>
        <v>201509-201906河南工业职业技术全日制专科汽车电子工程
201906-202109在南阳市待业
202109-202406郑州大学 非全日制计算机科学与技术</v>
      </c>
    </row>
    <row r="3993" spans="1:9">
      <c r="A3993" s="1" t="str">
        <f>"411327199910080033"</f>
        <v>411327199910080033</v>
      </c>
      <c r="B3993" s="1" t="str">
        <f t="shared" si="1976"/>
        <v>群众</v>
      </c>
      <c r="C3993" s="1" t="str">
        <f t="shared" ref="C3993:C3999" si="1978">"专科"</f>
        <v>专科</v>
      </c>
      <c r="D3993" s="1" t="str">
        <f>"20210701"</f>
        <v>20210701</v>
      </c>
      <c r="E3993" s="1" t="str">
        <f>"郑州工程技术学院"</f>
        <v>郑州工程技术学院</v>
      </c>
      <c r="F3993" s="1" t="str">
        <f>"人力资源管理"</f>
        <v>人力资源管理</v>
      </c>
      <c r="G3993" s="1" t="str">
        <f>"河南省内乡县大成相府9号楼1单元4楼西户"</f>
        <v>河南省内乡县大成相府9号楼1单元4楼西户</v>
      </c>
      <c r="H3993" s="1" t="str">
        <f t="shared" si="1974"/>
        <v>无</v>
      </c>
      <c r="I3993" s="1" t="str">
        <f>"201809-202107 郑州工程技术学院
202109-202309 32145部队服役
202309-202410 待业
202410-202412 内乡县翔丞劳务派遣
202412-至今 淅川县西簧乡人民政府"</f>
        <v>201809-202107 郑州工程技术学院
202109-202309 32145部队服役
202309-202410 待业
202410-202412 内乡县翔丞劳务派遣
202412-至今 淅川县西簧乡人民政府</v>
      </c>
    </row>
    <row r="3994" spans="1:9">
      <c r="A3994" s="1" t="str">
        <f>"411330199907101516"</f>
        <v>411330199907101516</v>
      </c>
      <c r="B3994" s="1" t="str">
        <f t="shared" si="1976"/>
        <v>群众</v>
      </c>
      <c r="C3994" s="1" t="str">
        <f t="shared" ref="C3994:C3997" si="1979">"本科"</f>
        <v>本科</v>
      </c>
      <c r="D3994" s="1" t="str">
        <f>"20220701"</f>
        <v>20220701</v>
      </c>
      <c r="E3994" s="1" t="str">
        <f>"闽南理工学院"</f>
        <v>闽南理工学院</v>
      </c>
      <c r="F3994" s="1" t="str">
        <f>"工程造价"</f>
        <v>工程造价</v>
      </c>
      <c r="G3994" s="1" t="str">
        <f>"西峡县建设西路新天地小区"</f>
        <v>西峡县建设西路新天地小区</v>
      </c>
      <c r="H3994" s="1" t="str">
        <f t="shared" si="1974"/>
        <v>无</v>
      </c>
      <c r="I3994" s="1" t="str">
        <f>"201809-202207 闽南理工学院土木工程学院工程造价专业 全日制
202207-202407 中国华西广西分公司北海项目部 预算员
202407-至今 西峡县待业"</f>
        <v>201809-202207 闽南理工学院土木工程学院工程造价专业 全日制
202207-202407 中国华西广西分公司北海项目部 预算员
202407-至今 西峡县待业</v>
      </c>
    </row>
    <row r="3995" spans="1:9">
      <c r="A3995" s="1" t="str">
        <f>"411323200304016322"</f>
        <v>411323200304016322</v>
      </c>
      <c r="B3995" s="1" t="str">
        <f>"共青团员"</f>
        <v>共青团员</v>
      </c>
      <c r="C3995" s="1" t="str">
        <f t="shared" si="1978"/>
        <v>专科</v>
      </c>
      <c r="D3995" s="1" t="str">
        <f>"20240701"</f>
        <v>20240701</v>
      </c>
      <c r="E3995" s="1" t="str">
        <f>"西安外事学院"</f>
        <v>西安外事学院</v>
      </c>
      <c r="F3995" s="1" t="str">
        <f>"学前教育"</f>
        <v>学前教育</v>
      </c>
      <c r="G3995" s="1" t="str">
        <f>"河南省南阳市淅川县厚坡镇"</f>
        <v>河南省南阳市淅川县厚坡镇</v>
      </c>
      <c r="H3995" s="1" t="str">
        <f t="shared" si="1974"/>
        <v>无</v>
      </c>
      <c r="I3995" s="1" t="str">
        <f>"202109-20240701西安外事学院人文艺术学院学前教育专业就读"</f>
        <v>202109-20240701西安外事学院人文艺术学院学前教育专业就读</v>
      </c>
    </row>
    <row r="3996" spans="1:9">
      <c r="A3996" s="1" t="str">
        <f>"410526199905020056"</f>
        <v>410526199905020056</v>
      </c>
      <c r="B3996" s="1" t="str">
        <f>"群众"</f>
        <v>群众</v>
      </c>
      <c r="C3996" s="1" t="str">
        <f t="shared" si="1979"/>
        <v>本科</v>
      </c>
      <c r="D3996" s="1" t="str">
        <f>"2022-07-01"</f>
        <v>2022-07-01</v>
      </c>
      <c r="E3996" s="1" t="str">
        <f>"安阳学院"</f>
        <v>安阳学院</v>
      </c>
      <c r="F3996" s="1" t="str">
        <f>"金融学"</f>
        <v>金融学</v>
      </c>
      <c r="G3996" s="1" t="str">
        <f>"河南省安阳市滑县小铺乡大铺村五组18号"</f>
        <v>河南省安阳市滑县小铺乡大铺村五组18号</v>
      </c>
      <c r="H3996" s="1" t="str">
        <f t="shared" si="1974"/>
        <v>无</v>
      </c>
      <c r="I3996" s="1" t="str">
        <f>"201809-202207安阳学院就读于经济管理学院金融学本科全日制
202207-202210牧原社旗分公司供应链管理岗
202210-至今待业"</f>
        <v>201809-202207安阳学院就读于经济管理学院金融学本科全日制
202207-202210牧原社旗分公司供应链管理岗
202210-至今待业</v>
      </c>
    </row>
    <row r="3997" spans="1:9">
      <c r="A3997" s="1" t="str">
        <f>"513701200010190914"</f>
        <v>513701200010190914</v>
      </c>
      <c r="B3997" s="1" t="str">
        <f>"共青团员"</f>
        <v>共青团员</v>
      </c>
      <c r="C3997" s="1" t="str">
        <f t="shared" si="1979"/>
        <v>本科</v>
      </c>
      <c r="D3997" s="1" t="str">
        <f>"2025.06.09"</f>
        <v>2025.06.09</v>
      </c>
      <c r="E3997" s="1" t="str">
        <f>"四川农业大学"</f>
        <v>四川农业大学</v>
      </c>
      <c r="F3997" s="1" t="str">
        <f>"人力资源管理"</f>
        <v>人力资源管理</v>
      </c>
      <c r="G3997" s="1" t="str">
        <f>"四川省巴中市巴州区兴文镇"</f>
        <v>四川省巴中市巴州区兴文镇</v>
      </c>
      <c r="H3997" s="1" t="str">
        <f t="shared" si="1974"/>
        <v>无</v>
      </c>
      <c r="I3997" s="1" t="str">
        <f>"2019.09-2025.06就读于四川农业大学社会体育指导与管理专业
2020.09-2022.09服役于96762部队
2022.09-2025.06辅修人力资源管理本科专业并获得第二学士学位"</f>
        <v>2019.09-2025.06就读于四川农业大学社会体育指导与管理专业
2020.09-2022.09服役于96762部队
2022.09-2025.06辅修人力资源管理本科专业并获得第二学士学位</v>
      </c>
    </row>
    <row r="3998" spans="1:9">
      <c r="A3998" s="1" t="str">
        <f>"411327200011150056"</f>
        <v>411327200011150056</v>
      </c>
      <c r="B3998" s="1" t="str">
        <f>"群众"</f>
        <v>群众</v>
      </c>
      <c r="C3998" s="1" t="str">
        <f t="shared" si="1978"/>
        <v>专科</v>
      </c>
      <c r="D3998" s="1" t="str">
        <f>"20220701"</f>
        <v>20220701</v>
      </c>
      <c r="E3998" s="1" t="str">
        <f>"郑州旅游职业学院"</f>
        <v>郑州旅游职业学院</v>
      </c>
      <c r="F3998" s="1" t="str">
        <f>"机械制造与自动化"</f>
        <v>机械制造与自动化</v>
      </c>
      <c r="G3998" s="1" t="str">
        <f>"1300364206@qq.com"</f>
        <v>1300364206@qq.com</v>
      </c>
      <c r="H3998" s="1" t="str">
        <f t="shared" si="1974"/>
        <v>无</v>
      </c>
      <c r="I3998" s="1" t="str">
        <f>"201909-202206 郑州旅游职业学院机械制造与自动化二班毕业
202210-至今 河南锦冠电力工程有限公司"</f>
        <v>201909-202206 郑州旅游职业学院机械制造与自动化二班毕业
202210-至今 河南锦冠电力工程有限公司</v>
      </c>
    </row>
    <row r="3999" spans="1:9">
      <c r="A3999" s="1" t="str">
        <f>"411324199612142014"</f>
        <v>411324199612142014</v>
      </c>
      <c r="B3999" s="1" t="str">
        <f t="shared" ref="B3999:B4001" si="1980">"中共党员"</f>
        <v>中共党员</v>
      </c>
      <c r="C3999" s="1" t="str">
        <f t="shared" si="1978"/>
        <v>专科</v>
      </c>
      <c r="D3999" s="1" t="str">
        <f>"20220630"</f>
        <v>20220630</v>
      </c>
      <c r="E3999" s="1" t="str">
        <f>"武汉警官职业学院"</f>
        <v>武汉警官职业学院</v>
      </c>
      <c r="F3999" s="1" t="str">
        <f>"司法信息技术"</f>
        <v>司法信息技术</v>
      </c>
      <c r="G3999" s="1" t="str">
        <f>"河南省南阳市内乡县师岗镇师岗村"</f>
        <v>河南省南阳市内乡县师岗镇师岗村</v>
      </c>
      <c r="H3999" s="1" t="str">
        <f t="shared" si="1974"/>
        <v>无</v>
      </c>
      <c r="I3999" s="1" t="str">
        <f>"2011.9-2013.9 内乡职高 学生
2013.9-2018.9 中国人民解放军94535部队 班长
2018.9-2019.9 鄂州市经贸学校 学生
2019.9-2022.9 武汉警官职业学院 学生
2022.9-2022.10 在家待业
2022.10-2024.11 内乡县人民检察院 书记员
2024.12-至今  在家待业"</f>
        <v>2011.9-2013.9 内乡职高 学生
2013.9-2018.9 中国人民解放军94535部队 班长
2018.9-2019.9 鄂州市经贸学校 学生
2019.9-2022.9 武汉警官职业学院 学生
2022.9-2022.10 在家待业
2022.10-2024.11 内乡县人民检察院 书记员
2024.12-至今  在家待业</v>
      </c>
    </row>
    <row r="4000" spans="1:9">
      <c r="A4000" s="1" t="str">
        <f>"411327199307051510"</f>
        <v>411327199307051510</v>
      </c>
      <c r="B4000" s="1" t="str">
        <f t="shared" si="1980"/>
        <v>中共党员</v>
      </c>
      <c r="C4000" s="1" t="str">
        <f t="shared" ref="C4000:C4006" si="1981">"本科"</f>
        <v>本科</v>
      </c>
      <c r="D4000" s="1" t="str">
        <f>"2019-06-30"</f>
        <v>2019-06-30</v>
      </c>
      <c r="E4000" s="1" t="str">
        <f>"周口师范学院"</f>
        <v>周口师范学院</v>
      </c>
      <c r="F4000" s="1" t="str">
        <f>"音乐学"</f>
        <v>音乐学</v>
      </c>
      <c r="G4000" s="1" t="str">
        <f>"河南省南阳市内乡县湍东镇董堂村河头3号"</f>
        <v>河南省南阳市内乡县湍东镇董堂村河头3号</v>
      </c>
      <c r="H4000" s="1" t="str">
        <f t="shared" si="1974"/>
        <v>无</v>
      </c>
      <c r="I4000" s="1" t="str">
        <f>"201509-201906周口师范学院就读，201509-201906在周口师范学院音乐舞蹈学院音乐学专业就读，全日制学历。
2201209-201507内乡第三高级中学就读，
200909-201207内乡湍东镇第二初级中学就读，
200309-200907内乡东王营小学就读。"</f>
        <v>201509-201906周口师范学院就读，201509-201906在周口师范学院音乐舞蹈学院音乐学专业就读，全日制学历。
2201209-201507内乡第三高级中学就读，
200909-201207内乡湍东镇第二初级中学就读，
200309-200907内乡东王营小学就读。</v>
      </c>
    </row>
    <row r="4001" spans="1:9">
      <c r="A4001" s="1" t="str">
        <f>"411330199901243820"</f>
        <v>411330199901243820</v>
      </c>
      <c r="B4001" s="1" t="str">
        <f t="shared" si="1980"/>
        <v>中共党员</v>
      </c>
      <c r="C4001" s="1" t="str">
        <f>"硕士研究生"</f>
        <v>硕士研究生</v>
      </c>
      <c r="D4001" s="1" t="str">
        <f>"20250701"</f>
        <v>20250701</v>
      </c>
      <c r="E4001" s="1" t="str">
        <f>"兰州财经大学"</f>
        <v>兰州财经大学</v>
      </c>
      <c r="F4001" s="1" t="str">
        <f>"税务"</f>
        <v>税务</v>
      </c>
      <c r="G4001" s="1" t="str">
        <f>"河南省南阳市宛城区建设东路永祥小区"</f>
        <v>河南省南阳市宛城区建设东路永祥小区</v>
      </c>
      <c r="H4001" s="1" t="str">
        <f t="shared" si="1974"/>
        <v>无</v>
      </c>
      <c r="I4001" s="1" t="str">
        <f>"201809-202206河南财经政法大学财政税务学院税收学专业就读，全日制。
202209-202506兰州财经大学财政与税务学院税务专业就读，全日制。"</f>
        <v>201809-202206河南财经政法大学财政税务学院税收学专业就读，全日制。
202209-202506兰州财经大学财政与税务学院税务专业就读，全日制。</v>
      </c>
    </row>
    <row r="4002" spans="1:9">
      <c r="A4002" s="1" t="str">
        <f>"410926199604132822"</f>
        <v>410926199604132822</v>
      </c>
      <c r="B4002" s="1" t="str">
        <f>"群众"</f>
        <v>群众</v>
      </c>
      <c r="C4002" s="1" t="str">
        <f t="shared" si="1981"/>
        <v>本科</v>
      </c>
      <c r="D4002" s="1" t="str">
        <f>"20180701"</f>
        <v>20180701</v>
      </c>
      <c r="E4002" s="1" t="str">
        <f>"安阳师范学院"</f>
        <v>安阳师范学院</v>
      </c>
      <c r="F4002" s="1" t="str">
        <f>"软件工程（移动设备应用开发方向）"</f>
        <v>软件工程（移动设备应用开发方向）</v>
      </c>
      <c r="G4002" s="1" t="str">
        <f>"河南省濮阳市年华里"</f>
        <v>河南省濮阳市年华里</v>
      </c>
      <c r="H4002" s="1" t="str">
        <f t="shared" si="1974"/>
        <v>无</v>
      </c>
      <c r="I4002" s="1" t="str">
        <f>"201209-201407，南乐县第一高级中学；
201409-201807，安阳师范学院，软件功程（移动设备应用开发方向）；
201807-202009:待业
202009-202309，濮阳市第八中学，教师。
202309-至今：待业"</f>
        <v>201209-201407，南乐县第一高级中学；
201409-201807，安阳师范学院，软件功程（移动设备应用开发方向）；
201807-202009:待业
202009-202309，濮阳市第八中学，教师。
202309-至今：待业</v>
      </c>
    </row>
    <row r="4003" spans="1:9">
      <c r="A4003" s="1" t="str">
        <f>"411327200211140020"</f>
        <v>411327200211140020</v>
      </c>
      <c r="B4003" s="1" t="str">
        <f t="shared" ref="B4003:B4006" si="1982">"中共党员"</f>
        <v>中共党员</v>
      </c>
      <c r="C4003" s="1" t="str">
        <f>"专科"</f>
        <v>专科</v>
      </c>
      <c r="D4003" s="1" t="str">
        <f>"20230701"</f>
        <v>20230701</v>
      </c>
      <c r="E4003" s="1" t="str">
        <f>"郑州健康学院"</f>
        <v>郑州健康学院</v>
      </c>
      <c r="F4003" s="1" t="str">
        <f>"医学检验技术"</f>
        <v>医学检验技术</v>
      </c>
      <c r="G4003" s="1" t="str">
        <f>"河南南阳内乡"</f>
        <v>河南南阳内乡</v>
      </c>
      <c r="H4003" s="1" t="str">
        <f t="shared" si="1974"/>
        <v>无</v>
      </c>
      <c r="I4003" s="1" t="str">
        <f>"202010-202307 郑州健康学院医学检验技术专业就读，是全日制，202409至今就业于内乡县科达试验检测有限公司。"</f>
        <v>202010-202307 郑州健康学院医学检验技术专业就读，是全日制，202409至今就业于内乡县科达试验检测有限公司。</v>
      </c>
    </row>
    <row r="4004" spans="1:9">
      <c r="A4004" s="1" t="str">
        <f>"410825200303257561"</f>
        <v>410825200303257561</v>
      </c>
      <c r="B4004" s="1" t="str">
        <f t="shared" si="1982"/>
        <v>中共党员</v>
      </c>
      <c r="C4004" s="1" t="str">
        <f t="shared" si="1981"/>
        <v>本科</v>
      </c>
      <c r="D4004" s="1" t="str">
        <f>"20250610"</f>
        <v>20250610</v>
      </c>
      <c r="E4004" s="1" t="str">
        <f>"郑州工商学院"</f>
        <v>郑州工商学院</v>
      </c>
      <c r="F4004" s="1" t="str">
        <f>"会计学"</f>
        <v>会计学</v>
      </c>
      <c r="G4004" s="1" t="str">
        <f>"河南省温县祥云镇大玉兰村"</f>
        <v>河南省温县祥云镇大玉兰村</v>
      </c>
      <c r="H4004" s="1" t="str">
        <f>"初级会计证"</f>
        <v>初级会计证</v>
      </c>
      <c r="I4004" s="1" t="str">
        <f>"202109-202506 郑州工商学院财税学院会计学专业就读。全日制本科。四年"</f>
        <v>202109-202506 郑州工商学院财税学院会计学专业就读。全日制本科。四年</v>
      </c>
    </row>
    <row r="4005" spans="1:9">
      <c r="A4005" s="1" t="str">
        <f>"411327200011194913"</f>
        <v>411327200011194913</v>
      </c>
      <c r="B4005" s="1" t="str">
        <f>"共青团员"</f>
        <v>共青团员</v>
      </c>
      <c r="C4005" s="1" t="str">
        <f t="shared" si="1981"/>
        <v>本科</v>
      </c>
      <c r="D4005" s="1" t="str">
        <f>"20250701"</f>
        <v>20250701</v>
      </c>
      <c r="E4005" s="1" t="str">
        <f>"黄河交通学院"</f>
        <v>黄河交通学院</v>
      </c>
      <c r="F4005" s="1" t="str">
        <f>"能源与动力工程"</f>
        <v>能源与动力工程</v>
      </c>
      <c r="G4005" s="1" t="str">
        <f>"河南省南阳市内乡县灌涨镇灌涨村樊营北16号"</f>
        <v>河南省南阳市内乡县灌涨镇灌涨村樊营北16号</v>
      </c>
      <c r="H4005" s="1" t="str">
        <f t="shared" ref="H4005:H4023" si="1983">"无"</f>
        <v>无</v>
      </c>
      <c r="I4005" s="1" t="str">
        <f>"202109-202507  黄河交通学院汽车工程学院能源与动力工程  就读  全日制本科学历"</f>
        <v>202109-202507  黄河交通学院汽车工程学院能源与动力工程  就读  全日制本科学历</v>
      </c>
    </row>
    <row r="4006" spans="1:9">
      <c r="A4006" s="1" t="str">
        <f>"411330199102194030"</f>
        <v>411330199102194030</v>
      </c>
      <c r="B4006" s="1" t="str">
        <f t="shared" si="1982"/>
        <v>中共党员</v>
      </c>
      <c r="C4006" s="1" t="str">
        <f t="shared" si="1981"/>
        <v>本科</v>
      </c>
      <c r="D4006" s="1" t="str">
        <f>"20190701"</f>
        <v>20190701</v>
      </c>
      <c r="E4006" s="1" t="str">
        <f>"南阳师范学院"</f>
        <v>南阳师范学院</v>
      </c>
      <c r="F4006" s="1" t="str">
        <f>"教育学"</f>
        <v>教育学</v>
      </c>
      <c r="G4006" s="1" t="str">
        <f>"河南省西峡县白羽北路建业公园里小区"</f>
        <v>河南省西峡县白羽北路建业公园里小区</v>
      </c>
      <c r="H4006" s="1" t="str">
        <f>"高校教师资格证书"</f>
        <v>高校教师资格证书</v>
      </c>
      <c r="I4006" s="1" t="str">
        <f>"201702-201907 南阳师范学院 教育学专业（函授本科）非全日制。
201907-2024.01南阳职业学院 基础教育学院 专任教师。
202401-202407西峡县老君洞景区文员
202407-2025.01郑州河南好大夫教育集团益学专升本招生专员
2025.01-2025.07南阳市元培实验高中招生办公室 招生老师。"</f>
        <v>201702-201907 南阳师范学院 教育学专业（函授本科）非全日制。
201907-2024.01南阳职业学院 基础教育学院 专任教师。
202401-202407西峡县老君洞景区文员
202407-2025.01郑州河南好大夫教育集团益学专升本招生专员
2025.01-2025.07南阳市元培实验高中招生办公室 招生老师。</v>
      </c>
    </row>
    <row r="4007" spans="1:9">
      <c r="A4007" s="1" t="str">
        <f>"411303199611140031"</f>
        <v>411303199611140031</v>
      </c>
      <c r="B4007" s="1" t="str">
        <f t="shared" ref="B4007:B4010" si="1984">"群众"</f>
        <v>群众</v>
      </c>
      <c r="C4007" s="1" t="str">
        <f>"专科"</f>
        <v>专科</v>
      </c>
      <c r="D4007" s="1" t="str">
        <f>"20180701"</f>
        <v>20180701</v>
      </c>
      <c r="E4007" s="1" t="str">
        <f>"南阳理工学院"</f>
        <v>南阳理工学院</v>
      </c>
      <c r="F4007" s="1" t="str">
        <f>"机械设计与制造"</f>
        <v>机械设计与制造</v>
      </c>
      <c r="G4007" s="1" t="str">
        <f>"南阳市宛城区长江路与伏牛路交叉口民政局家属院"</f>
        <v>南阳市宛城区长江路与伏牛路交叉口民政局家属院</v>
      </c>
      <c r="H4007" s="1" t="str">
        <f t="shared" si="1983"/>
        <v>无</v>
      </c>
      <c r="I4007" s="1" t="str">
        <f>"20150901-20180701    南阳理工学院机械与汽车工程学院机械设计与制造专业就读
20170901-20230901    中部战区空军服役"</f>
        <v>20150901-20180701    南阳理工学院机械与汽车工程学院机械设计与制造专业就读
20170901-20230901    中部战区空军服役</v>
      </c>
    </row>
    <row r="4008" spans="1:9">
      <c r="A4008" s="1" t="str">
        <f>"411330199809101520"</f>
        <v>411330199809101520</v>
      </c>
      <c r="B4008" s="1" t="str">
        <f t="shared" ref="B4008:B4012" si="1985">"共青团员"</f>
        <v>共青团员</v>
      </c>
      <c r="C4008" s="1" t="str">
        <f t="shared" ref="C4008:C4013" si="1986">"本科"</f>
        <v>本科</v>
      </c>
      <c r="D4008" s="1" t="str">
        <f>"20220630"</f>
        <v>20220630</v>
      </c>
      <c r="E4008" s="1" t="str">
        <f>"中原工学院"</f>
        <v>中原工学院</v>
      </c>
      <c r="F4008" s="1" t="str">
        <f>"会展经济与管理"</f>
        <v>会展经济与管理</v>
      </c>
      <c r="G4008" s="1" t="str">
        <f>"河南省南阳市西峡县城关镇学堂巷79号"</f>
        <v>河南省南阳市西峡县城关镇学堂巷79号</v>
      </c>
      <c r="H4008" s="1" t="str">
        <f t="shared" si="1983"/>
        <v>无</v>
      </c>
      <c r="I4008" s="1" t="str">
        <f>"201809-202206中原工学院经济管理院系会展经济与管理专业就读，全日制学历；
202207-至今待业"</f>
        <v>201809-202206中原工学院经济管理院系会展经济与管理专业就读，全日制学历；
202207-至今待业</v>
      </c>
    </row>
    <row r="4009" spans="1:9">
      <c r="A4009" s="1" t="str">
        <f>"411327200111262047"</f>
        <v>411327200111262047</v>
      </c>
      <c r="B4009" s="1" t="str">
        <f t="shared" si="1984"/>
        <v>群众</v>
      </c>
      <c r="C4009" s="1" t="str">
        <f t="shared" si="1986"/>
        <v>本科</v>
      </c>
      <c r="D4009" s="1" t="str">
        <f>"20240701"</f>
        <v>20240701</v>
      </c>
      <c r="E4009" s="1" t="str">
        <f>"信阳学院"</f>
        <v>信阳学院</v>
      </c>
      <c r="F4009" s="1" t="str">
        <f>"教育学"</f>
        <v>教育学</v>
      </c>
      <c r="G4009" s="1" t="str">
        <f>"内乡县师岗镇"</f>
        <v>内乡县师岗镇</v>
      </c>
      <c r="H4009" s="1" t="str">
        <f t="shared" si="1983"/>
        <v>无</v>
      </c>
      <c r="I4009" s="1" t="str">
        <f>"202009-202407信阳学院就读  是全日制本科"</f>
        <v>202009-202407信阳学院就读  是全日制本科</v>
      </c>
    </row>
    <row r="4010" spans="1:9">
      <c r="A4010" s="1" t="str">
        <f>"411323199508233833"</f>
        <v>411323199508233833</v>
      </c>
      <c r="B4010" s="1" t="str">
        <f t="shared" si="1984"/>
        <v>群众</v>
      </c>
      <c r="C4010" s="1" t="str">
        <f t="shared" si="1986"/>
        <v>本科</v>
      </c>
      <c r="D4010" s="1" t="str">
        <f>"20180731"</f>
        <v>20180731</v>
      </c>
      <c r="E4010" s="1" t="str">
        <f>"河南科技大学"</f>
        <v>河南科技大学</v>
      </c>
      <c r="F4010" s="1" t="str">
        <f>"动物科学"</f>
        <v>动物科学</v>
      </c>
      <c r="G4010" s="1" t="str">
        <f>"河南省南阳市淅川县上集镇北塘村"</f>
        <v>河南省南阳市淅川县上集镇北塘村</v>
      </c>
      <c r="H4010" s="1" t="str">
        <f t="shared" si="1983"/>
        <v>无</v>
      </c>
      <c r="I4010" s="1" t="str">
        <f>"201409-201807于 河南科技大学动物科技学院动物科学专业就读，为全日制学历
201807-201809于河南省南阳市淅川县待业
201809-201910于新希望六和股份有限公司就业
201910-202012于河南省南阳市淅川县待业
202101-202507于淅川农商行就业
"</f>
        <v>201409-201807于 河南科技大学动物科技学院动物科学专业就读，为全日制学历
201807-201809于河南省南阳市淅川县待业
201809-201910于新希望六和股份有限公司就业
201910-202012于河南省南阳市淅川县待业
202101-202507于淅川农商行就业
</v>
      </c>
    </row>
    <row r="4011" spans="1:9">
      <c r="A4011" s="1" t="str">
        <f>"411325200202253960"</f>
        <v>411325200202253960</v>
      </c>
      <c r="B4011" s="1" t="str">
        <f t="shared" si="1985"/>
        <v>共青团员</v>
      </c>
      <c r="C4011" s="1" t="str">
        <f t="shared" si="1986"/>
        <v>本科</v>
      </c>
      <c r="D4011" s="1" t="str">
        <f>"20240622"</f>
        <v>20240622</v>
      </c>
      <c r="E4011" s="1" t="str">
        <f>"青岛科技大学"</f>
        <v>青岛科技大学</v>
      </c>
      <c r="F4011" s="1" t="str">
        <f>"汉语言文学"</f>
        <v>汉语言文学</v>
      </c>
      <c r="G4011" s="1" t="str">
        <f>"河南省南阳市内乡县"</f>
        <v>河南省南阳市内乡县</v>
      </c>
      <c r="H4011" s="1" t="str">
        <f t="shared" si="1983"/>
        <v>无</v>
      </c>
      <c r="I4011" s="1" t="str">
        <f>"202009-202407 青岛科技大学传媒学院就读汉语言文学专业，全日制本科学历。"</f>
        <v>202009-202407 青岛科技大学传媒学院就读汉语言文学专业，全日制本科学历。</v>
      </c>
    </row>
    <row r="4012" spans="1:9">
      <c r="A4012" s="1" t="str">
        <f>"411327200112212025"</f>
        <v>411327200112212025</v>
      </c>
      <c r="B4012" s="1" t="str">
        <f t="shared" si="1985"/>
        <v>共青团员</v>
      </c>
      <c r="C4012" s="1" t="str">
        <f t="shared" si="1986"/>
        <v>本科</v>
      </c>
      <c r="D4012" s="1" t="str">
        <f>"20250701"</f>
        <v>20250701</v>
      </c>
      <c r="E4012" s="1" t="str">
        <f>"郑州升达经贸管理学院"</f>
        <v>郑州升达经贸管理学院</v>
      </c>
      <c r="F4012" s="1" t="str">
        <f>"音乐表演"</f>
        <v>音乐表演</v>
      </c>
      <c r="G4012" s="1" t="str">
        <f>"河南省南阳市内乡县师岗镇王岗村贾庄组"</f>
        <v>河南省南阳市内乡县师岗镇王岗村贾庄组</v>
      </c>
      <c r="H4012" s="1" t="str">
        <f t="shared" si="1983"/>
        <v>无</v>
      </c>
      <c r="I4012" s="1" t="str">
        <f>"202009-202306 周口师范学院 音乐与舞蹈学院 音乐表演 全日制学历
202309-202507 郑州升达经贸管理学院 艺术学院 音乐表演 全日制学历"</f>
        <v>202009-202306 周口师范学院 音乐与舞蹈学院 音乐表演 全日制学历
202309-202507 郑州升达经贸管理学院 艺术学院 音乐表演 全日制学历</v>
      </c>
    </row>
    <row r="4013" spans="1:9">
      <c r="A4013" s="1" t="str">
        <f>"410727200010219542"</f>
        <v>410727200010219542</v>
      </c>
      <c r="B4013" s="1" t="str">
        <f t="shared" ref="B4013:B4017" si="1987">"中共党员"</f>
        <v>中共党员</v>
      </c>
      <c r="C4013" s="1" t="str">
        <f t="shared" si="1986"/>
        <v>本科</v>
      </c>
      <c r="D4013" s="1" t="str">
        <f>"20240615"</f>
        <v>20240615</v>
      </c>
      <c r="E4013" s="1" t="str">
        <f>"黄淮学院"</f>
        <v>黄淮学院</v>
      </c>
      <c r="F4013" s="1" t="str">
        <f>"汉语言文学（师范）"</f>
        <v>汉语言文学（师范）</v>
      </c>
      <c r="G4013" s="1" t="str">
        <f>"河南省新乡市封丘县城关乡后九甲村"</f>
        <v>河南省新乡市封丘县城关乡后九甲村</v>
      </c>
      <c r="H4013" s="1" t="str">
        <f t="shared" si="1983"/>
        <v>无</v>
      </c>
      <c r="I4013" s="1" t="str">
        <f>"202009-202406，在黄淮学院文化传媒学院汉语言文学（师范）专业就读，全日制本科学历，文学学士学位。202407-至今，在河南省新乡市封丘县待业。"</f>
        <v>202009-202406，在黄淮学院文化传媒学院汉语言文学（师范）专业就读，全日制本科学历，文学学士学位。202407-至今，在河南省新乡市封丘县待业。</v>
      </c>
    </row>
    <row r="4014" spans="1:9">
      <c r="A4014" s="1" t="str">
        <f>"410325200106030010"</f>
        <v>410325200106030010</v>
      </c>
      <c r="B4014" s="1" t="str">
        <f t="shared" si="1987"/>
        <v>中共党员</v>
      </c>
      <c r="C4014" s="1" t="str">
        <f>"专科"</f>
        <v>专科</v>
      </c>
      <c r="D4014" s="1" t="str">
        <f>"20210612"</f>
        <v>20210612</v>
      </c>
      <c r="E4014" s="1" t="str">
        <f>"兰州资源环境职业技术学院"</f>
        <v>兰州资源环境职业技术学院</v>
      </c>
      <c r="F4014" s="1" t="str">
        <f>"机电一体化技术"</f>
        <v>机电一体化技术</v>
      </c>
      <c r="G4014" s="1" t="str">
        <f>"河南省洛阳市嵩县城关镇167号院"</f>
        <v>河南省洛阳市嵩县城关镇167号院</v>
      </c>
      <c r="H4014" s="1" t="str">
        <f t="shared" si="1983"/>
        <v>无</v>
      </c>
      <c r="I4014" s="1" t="str">
        <f>"201909-202112 兰州资源环境职业技术学院 机电一体化技术 全日制大专
202112-202409 96747部队 战士
202409-至今 待业"</f>
        <v>201909-202112 兰州资源环境职业技术学院 机电一体化技术 全日制大专
202112-202409 96747部队 战士
202409-至今 待业</v>
      </c>
    </row>
    <row r="4015" spans="1:9">
      <c r="A4015" s="1" t="str">
        <f>"411327200110180314"</f>
        <v>411327200110180314</v>
      </c>
      <c r="B4015" s="1" t="str">
        <f>"共青团员"</f>
        <v>共青团员</v>
      </c>
      <c r="C4015" s="1" t="str">
        <f t="shared" ref="C4015:C4021" si="1988">"本科"</f>
        <v>本科</v>
      </c>
      <c r="D4015" s="1" t="str">
        <f>"20250601"</f>
        <v>20250601</v>
      </c>
      <c r="E4015" s="1" t="str">
        <f>"武汉学院"</f>
        <v>武汉学院</v>
      </c>
      <c r="F4015" s="1" t="str">
        <f>"法学"</f>
        <v>法学</v>
      </c>
      <c r="G4015" s="1" t="str">
        <f>"河南省南阳市内乡县酸南小区"</f>
        <v>河南省南阳市内乡县酸南小区</v>
      </c>
      <c r="H4015" s="1" t="str">
        <f t="shared" si="1983"/>
        <v>无</v>
      </c>
      <c r="I4015" s="1" t="str">
        <f>"201909-202006武汉学院 全日制 就读
202009-202206四川总队宜宾支队执勤十中队服役
202209-202506武汉学院 全日制 就读"</f>
        <v>201909-202006武汉学院 全日制 就读
202009-202206四川总队宜宾支队执勤十中队服役
202209-202506武汉学院 全日制 就读</v>
      </c>
    </row>
    <row r="4016" spans="1:9">
      <c r="A4016" s="1" t="str">
        <f>"140181199011280219"</f>
        <v>140181199011280219</v>
      </c>
      <c r="B4016" s="1" t="str">
        <f t="shared" ref="B4016:B4019" si="1989">"群众"</f>
        <v>群众</v>
      </c>
      <c r="C4016" s="1" t="str">
        <f t="shared" si="1988"/>
        <v>本科</v>
      </c>
      <c r="D4016" s="1" t="str">
        <f>"20150131"</f>
        <v>20150131</v>
      </c>
      <c r="E4016" s="1" t="str">
        <f>"华中师范大学"</f>
        <v>华中师范大学</v>
      </c>
      <c r="F4016" s="1" t="str">
        <f>"工商管理"</f>
        <v>工商管理</v>
      </c>
      <c r="G4016" s="1" t="str">
        <f>"山西省古交市金牛大街76号供电小区2号楼1单元201"</f>
        <v>山西省古交市金牛大街76号供电小区2号楼1单元201</v>
      </c>
      <c r="H4016" s="1" t="str">
        <f t="shared" si="1983"/>
        <v>无</v>
      </c>
      <c r="I4016" s="1" t="str">
        <f>"200903-201107华中师范大学工商管理系工商管理专业学生取得专科学历，网络教育
201109-201501华中师范大学陕西西安创新培训中心系工商管理专业学生取得本科学历，网络教育
2014.09-2020.06山西明业电力工程有限公司实际管理的场地材料员和抢修员
2020.06-2022.02待业
2022.03-2022.06太原市小店区平阳路街道滨东社区网格员
2022.06-2022.09待业
2022.10-至今古交市公安局桃园派出所辅警
"</f>
        <v>200903-201107华中师范大学工商管理系工商管理专业学生取得专科学历，网络教育
201109-201501华中师范大学陕西西安创新培训中心系工商管理专业学生取得本科学历，网络教育
2014.09-2020.06山西明业电力工程有限公司实际管理的场地材料员和抢修员
2020.06-2022.02待业
2022.03-2022.06太原市小店区平阳路街道滨东社区网格员
2022.06-2022.09待业
2022.10-至今古交市公安局桃园派出所辅警
</v>
      </c>
    </row>
    <row r="4017" spans="1:9">
      <c r="A4017" s="1" t="str">
        <f>"411327199803311510"</f>
        <v>411327199803311510</v>
      </c>
      <c r="B4017" s="1" t="str">
        <f t="shared" si="1987"/>
        <v>中共党员</v>
      </c>
      <c r="C4017" s="1" t="str">
        <f>"专科"</f>
        <v>专科</v>
      </c>
      <c r="D4017" s="1" t="str">
        <f>"20230701"</f>
        <v>20230701</v>
      </c>
      <c r="E4017" s="1" t="str">
        <f>"黄河科技学院"</f>
        <v>黄河科技学院</v>
      </c>
      <c r="F4017" s="1" t="str">
        <f>"法律事务"</f>
        <v>法律事务</v>
      </c>
      <c r="G4017" s="1" t="str">
        <f>"河南省南阳市内乡县"</f>
        <v>河南省南阳市内乡县</v>
      </c>
      <c r="H4017" s="1" t="str">
        <f t="shared" si="1983"/>
        <v>无</v>
      </c>
      <c r="I4017" s="1" t="str">
        <f>"202109-202307 黄河科技学院 2021年9月1日在黄河科技学院就读于法律事务专业，函数大专，2023年7月1日于该学校毕业，后至今待业"</f>
        <v>202109-202307 黄河科技学院 2021年9月1日在黄河科技学院就读于法律事务专业，函数大专，2023年7月1日于该学校毕业，后至今待业</v>
      </c>
    </row>
    <row r="4018" spans="1:9">
      <c r="A4018" s="1" t="str">
        <f>"411328200108310024"</f>
        <v>411328200108310024</v>
      </c>
      <c r="B4018" s="1" t="str">
        <f t="shared" si="1989"/>
        <v>群众</v>
      </c>
      <c r="C4018" s="1" t="str">
        <f t="shared" si="1988"/>
        <v>本科</v>
      </c>
      <c r="D4018" s="1" t="str">
        <f>"20230701"</f>
        <v>20230701</v>
      </c>
      <c r="E4018" s="1" t="str">
        <f>"新乡医学院三全学院"</f>
        <v>新乡医学院三全学院</v>
      </c>
      <c r="F4018" s="1" t="str">
        <f>"生物医学工程"</f>
        <v>生物医学工程</v>
      </c>
      <c r="G4018" s="1" t="str">
        <f>"河南省南阳市卧龙区卧龙城市广场"</f>
        <v>河南省南阳市卧龙区卧龙城市广场</v>
      </c>
      <c r="H4018" s="1" t="str">
        <f t="shared" si="1983"/>
        <v>无</v>
      </c>
      <c r="I4018" s="1" t="str">
        <f>"201909-202307 新乡医学院三全学院生物医学工程专业就读 全日制学历"</f>
        <v>201909-202307 新乡医学院三全学院生物医学工程专业就读 全日制学历</v>
      </c>
    </row>
    <row r="4019" spans="1:9">
      <c r="A4019" s="1" t="str">
        <f>"410325199912159884"</f>
        <v>410325199912159884</v>
      </c>
      <c r="B4019" s="1" t="str">
        <f t="shared" si="1989"/>
        <v>群众</v>
      </c>
      <c r="C4019" s="1" t="str">
        <f t="shared" si="1988"/>
        <v>本科</v>
      </c>
      <c r="D4019" s="1" t="str">
        <f>"20190708"</f>
        <v>20190708</v>
      </c>
      <c r="E4019" s="1" t="str">
        <f>"洛阳师范学院"</f>
        <v>洛阳师范学院</v>
      </c>
      <c r="F4019" s="1" t="str">
        <f>"汉语言文学"</f>
        <v>汉语言文学</v>
      </c>
      <c r="G4019" s="1" t="str">
        <f>"河南省洛阳市老城区西北隅街道古都绿城"</f>
        <v>河南省洛阳市老城区西北隅街道古都绿城</v>
      </c>
      <c r="H4019" s="1" t="str">
        <f t="shared" si="1983"/>
        <v>无</v>
      </c>
      <c r="I4019" s="1" t="str">
        <f>"201909-202307洛阳师范学院就读全日制学历
202308-至今洛阳市老城区退役军人事务局（劳务派遣）"</f>
        <v>201909-202307洛阳师范学院就读全日制学历
202308-至今洛阳市老城区退役军人事务局（劳务派遣）</v>
      </c>
    </row>
    <row r="4020" spans="1:9">
      <c r="A4020" s="1" t="str">
        <f>"411327200005290028"</f>
        <v>411327200005290028</v>
      </c>
      <c r="B4020" s="1" t="str">
        <f t="shared" ref="B4020:B4025" si="1990">"共青团员"</f>
        <v>共青团员</v>
      </c>
      <c r="C4020" s="1" t="str">
        <f t="shared" si="1988"/>
        <v>本科</v>
      </c>
      <c r="D4020" s="1" t="str">
        <f>"20220601"</f>
        <v>20220601</v>
      </c>
      <c r="E4020" s="1" t="str">
        <f>"河南大学"</f>
        <v>河南大学</v>
      </c>
      <c r="F4020" s="1" t="str">
        <f>"思想政治教育专业"</f>
        <v>思想政治教育专业</v>
      </c>
      <c r="G4020" s="1" t="str">
        <f>"河南省南阳市内乡县城关镇大成路122号人劳组77号"</f>
        <v>河南省南阳市内乡县城关镇大成路122号人劳组77号</v>
      </c>
      <c r="H4020" s="1" t="str">
        <f t="shared" si="1983"/>
        <v>无</v>
      </c>
      <c r="I4020" s="1" t="str">
        <f>"201809-202206 河南大学马克思主义学院思想政治教育专业就读 是全日制学历
202207至今 河南省南阳市内乡菊潭高级中学工作"</f>
        <v>201809-202206 河南大学马克思主义学院思想政治教育专业就读 是全日制学历
202207至今 河南省南阳市内乡菊潭高级中学工作</v>
      </c>
    </row>
    <row r="4021" spans="1:9">
      <c r="A4021" s="1" t="str">
        <f>"411327199403094510"</f>
        <v>411327199403094510</v>
      </c>
      <c r="B4021" s="1" t="str">
        <f t="shared" ref="B4021:B4023" si="1991">"群众"</f>
        <v>群众</v>
      </c>
      <c r="C4021" s="1" t="str">
        <f t="shared" si="1988"/>
        <v>本科</v>
      </c>
      <c r="D4021" s="1" t="str">
        <f>"20180701"</f>
        <v>20180701</v>
      </c>
      <c r="E4021" s="1" t="str">
        <f>"黄淮学院"</f>
        <v>黄淮学院</v>
      </c>
      <c r="F4021" s="1" t="str">
        <f>"园林"</f>
        <v>园林</v>
      </c>
      <c r="G4021" s="1" t="str">
        <f>"河南省内乡县五里堡"</f>
        <v>河南省内乡县五里堡</v>
      </c>
      <c r="H4021" s="1" t="str">
        <f t="shared" si="1983"/>
        <v>无</v>
      </c>
      <c r="I4021" s="1" t="str">
        <f>"201309-201607 河南农业大学园林专业  是全日制专科
201607-201809 黄淮学院 园林  全日制本科
201810-201907 在家待业
201910-202005 郑州高新技术产业开发区市政工程建设有限公司
202110-202205 郑州祥御苑物业管理有限公司
202208-至今 内乡复兴学校"</f>
        <v>201309-201607 河南农业大学园林专业  是全日制专科
201607-201809 黄淮学院 园林  全日制本科
201810-201907 在家待业
201910-202005 郑州高新技术产业开发区市政工程建设有限公司
202110-202205 郑州祥御苑物业管理有限公司
202208-至今 内乡复兴学校</v>
      </c>
    </row>
    <row r="4022" spans="1:9">
      <c r="A4022" s="1" t="str">
        <f>"411327199711090327"</f>
        <v>411327199711090327</v>
      </c>
      <c r="B4022" s="1" t="str">
        <f t="shared" si="1991"/>
        <v>群众</v>
      </c>
      <c r="C4022" s="1" t="str">
        <f t="shared" ref="C4022:C4027" si="1992">"专科"</f>
        <v>专科</v>
      </c>
      <c r="D4022" s="1" t="str">
        <f>"20200701"</f>
        <v>20200701</v>
      </c>
      <c r="E4022" s="1" t="str">
        <f>"郑州师范学院"</f>
        <v>郑州师范学院</v>
      </c>
      <c r="F4022" s="1" t="str">
        <f>"旅游管理"</f>
        <v>旅游管理</v>
      </c>
      <c r="G4022" s="1" t="str">
        <f>"河南省南阳市内乡县建业森林半岛四期"</f>
        <v>河南省南阳市内乡县建业森林半岛四期</v>
      </c>
      <c r="H4022" s="1" t="str">
        <f t="shared" si="1983"/>
        <v>无</v>
      </c>
      <c r="I4022" s="1" t="str">
        <f>"2017/09-2020/07 郑州师范学院学习
2020/06-2020/08 上海市迪扬信息科技有限公司郑州分公司 法务专员
2020/08-2020/10  待业
2020/10-2021/09  深圳市恒源昊信息科技有限公司郑州分公司 法务专员
2021/09-2022/05  待业
2022/05-2022/12  字节跳动
2022/12-至今         待业"</f>
        <v>2017/09-2020/07 郑州师范学院学习
2020/06-2020/08 上海市迪扬信息科技有限公司郑州分公司 法务专员
2020/08-2020/10  待业
2020/10-2021/09  深圳市恒源昊信息科技有限公司郑州分公司 法务专员
2021/09-2022/05  待业
2022/05-2022/12  字节跳动
2022/12-至今         待业</v>
      </c>
    </row>
    <row r="4023" spans="1:9">
      <c r="A4023" s="1" t="str">
        <f>"411326199910300511"</f>
        <v>411326199910300511</v>
      </c>
      <c r="B4023" s="1" t="str">
        <f t="shared" si="1991"/>
        <v>群众</v>
      </c>
      <c r="C4023" s="1" t="str">
        <f t="shared" si="1992"/>
        <v>专科</v>
      </c>
      <c r="D4023" s="1" t="str">
        <f>"20210701"</f>
        <v>20210701</v>
      </c>
      <c r="E4023" s="1" t="str">
        <f>"郑州电力高等专科学校"</f>
        <v>郑州电力高等专科学校</v>
      </c>
      <c r="F4023" s="1" t="str">
        <f>"电厂热能动力装置"</f>
        <v>电厂热能动力装置</v>
      </c>
      <c r="G4023" s="1" t="str">
        <f>"淅川县城管镇冬青一组"</f>
        <v>淅川县城管镇冬青一组</v>
      </c>
      <c r="H4023" s="1" t="str">
        <f t="shared" si="1983"/>
        <v>无</v>
      </c>
      <c r="I4023" s="1" t="str">
        <f>"2018年09月至2021年07月在郑州电力高等专科学校电厂热能动力装置专业就读"</f>
        <v>2018年09月至2021年07月在郑州电力高等专科学校电厂热能动力装置专业就读</v>
      </c>
    </row>
    <row r="4024" spans="1:9">
      <c r="A4024" s="1" t="str">
        <f>"410311200003030511"</f>
        <v>410311200003030511</v>
      </c>
      <c r="B4024" s="1" t="str">
        <f t="shared" si="1990"/>
        <v>共青团员</v>
      </c>
      <c r="C4024" s="1" t="str">
        <f t="shared" ref="C4024:C4030" si="1993">"本科"</f>
        <v>本科</v>
      </c>
      <c r="D4024" s="1" t="str">
        <f>"20230701"</f>
        <v>20230701</v>
      </c>
      <c r="E4024" s="1" t="str">
        <f>"黄河交通学院"</f>
        <v>黄河交通学院</v>
      </c>
      <c r="F4024" s="1" t="str">
        <f>"电气工程及其自动化"</f>
        <v>电气工程及其自动化</v>
      </c>
      <c r="G4024" s="1" t="str">
        <f>"河南省洛阳市西工区红山乡枣园村"</f>
        <v>河南省洛阳市西工区红山乡枣园村</v>
      </c>
      <c r="H4024" s="1" t="str">
        <f>"电工证"</f>
        <v>电工证</v>
      </c>
      <c r="I4024" s="1" t="str">
        <f>"2018年9月-2021年7月 河南工学院 全日制
2021年9月-2023年7月 黄河交通学院 全日制
2023年10月-2023年12月 洛阳正大有限公司
2024年3月-2025年7月1 洛阳一拖众城有限公司"</f>
        <v>2018年9月-2021年7月 河南工学院 全日制
2021年9月-2023年7月 黄河交通学院 全日制
2023年10月-2023年12月 洛阳正大有限公司
2024年3月-2025年7月1 洛阳一拖众城有限公司</v>
      </c>
    </row>
    <row r="4025" spans="1:9">
      <c r="A4025" s="1" t="str">
        <f>"411326200103086120"</f>
        <v>411326200103086120</v>
      </c>
      <c r="B4025" s="1" t="str">
        <f t="shared" si="1990"/>
        <v>共青团员</v>
      </c>
      <c r="C4025" s="1" t="str">
        <f t="shared" si="1993"/>
        <v>本科</v>
      </c>
      <c r="D4025" s="1" t="str">
        <f>"20220701"</f>
        <v>20220701</v>
      </c>
      <c r="E4025" s="1" t="str">
        <f>"河南理工大学"</f>
        <v>河南理工大学</v>
      </c>
      <c r="F4025" s="1" t="str">
        <f>"人文地理与城乡规划"</f>
        <v>人文地理与城乡规划</v>
      </c>
      <c r="G4025" s="1" t="str">
        <f>"河南省南阳市南召县云阳镇南召店村南头组"</f>
        <v>河南省南阳市南召县云阳镇南召店村南头组</v>
      </c>
      <c r="H4025" s="1" t="str">
        <f t="shared" ref="H4025:H4028" si="1994">"无"</f>
        <v>无</v>
      </c>
      <c r="I4025" s="1" t="str">
        <f>"201809-202207 河南理工大学测绘与国土信息工程学院人文地理与城乡规划专业就读 全日制学历
202207-202407 童星学校任职五年级数学老师
202407-至今 在家备考"</f>
        <v>201809-202207 河南理工大学测绘与国土信息工程学院人文地理与城乡规划专业就读 全日制学历
202207-202407 童星学校任职五年级数学老师
202407-至今 在家备考</v>
      </c>
    </row>
    <row r="4026" spans="1:9">
      <c r="A4026" s="1" t="str">
        <f>"411327200006280016"</f>
        <v>411327200006280016</v>
      </c>
      <c r="B4026" s="1" t="str">
        <f t="shared" ref="B4026:B4029" si="1995">"群众"</f>
        <v>群众</v>
      </c>
      <c r="C4026" s="1" t="str">
        <f t="shared" si="1992"/>
        <v>专科</v>
      </c>
      <c r="D4026" s="1" t="str">
        <f>"20220630"</f>
        <v>20220630</v>
      </c>
      <c r="E4026" s="1" t="str">
        <f>"焦作大学"</f>
        <v>焦作大学</v>
      </c>
      <c r="F4026" s="1" t="str">
        <f>"建筑工程技术"</f>
        <v>建筑工程技术</v>
      </c>
      <c r="G4026" s="1" t="str">
        <f>"河南省南阳市内乡县"</f>
        <v>河南省南阳市内乡县</v>
      </c>
      <c r="H4026" s="1" t="str">
        <f t="shared" si="1994"/>
        <v>无</v>
      </c>
      <c r="I4026" s="1" t="str">
        <f>"201509-202206 焦作大学就读
202206-至今 在内乡县待业"</f>
        <v>201509-202206 焦作大学就读
202206-至今 在内乡县待业</v>
      </c>
    </row>
    <row r="4027" spans="1:9">
      <c r="A4027" s="1" t="str">
        <f>"410581200210209370"</f>
        <v>410581200210209370</v>
      </c>
      <c r="B4027" s="1" t="str">
        <f>"共青团员"</f>
        <v>共青团员</v>
      </c>
      <c r="C4027" s="1" t="str">
        <f t="shared" si="1992"/>
        <v>专科</v>
      </c>
      <c r="D4027" s="1" t="str">
        <f>"20240701"</f>
        <v>20240701</v>
      </c>
      <c r="E4027" s="1" t="str">
        <f>"郑州幼儿师范高等专科学校"</f>
        <v>郑州幼儿师范高等专科学校</v>
      </c>
      <c r="F4027" s="1" t="str">
        <f>"体育教育"</f>
        <v>体育教育</v>
      </c>
      <c r="G4027" s="1" t="str">
        <f>"河南省安阳市"</f>
        <v>河南省安阳市</v>
      </c>
      <c r="H4027" s="1" t="str">
        <f t="shared" si="1994"/>
        <v>无</v>
      </c>
      <c r="I4027" s="1" t="str">
        <f>"2021年9月至2024年7月    郑州幼儿师范高等专科学校
全日制"</f>
        <v>2021年9月至2024年7月    郑州幼儿师范高等专科学校
全日制</v>
      </c>
    </row>
    <row r="4028" spans="1:9">
      <c r="A4028" s="1" t="str">
        <f>"411330199604284327"</f>
        <v>411330199604284327</v>
      </c>
      <c r="B4028" s="1" t="str">
        <f t="shared" si="1995"/>
        <v>群众</v>
      </c>
      <c r="C4028" s="1" t="str">
        <f t="shared" si="1993"/>
        <v>本科</v>
      </c>
      <c r="D4028" s="1" t="str">
        <f>"20180701"</f>
        <v>20180701</v>
      </c>
      <c r="E4028" s="1" t="str">
        <f>"河南师范大学"</f>
        <v>河南师范大学</v>
      </c>
      <c r="F4028" s="1" t="str">
        <f>"投资学"</f>
        <v>投资学</v>
      </c>
      <c r="G4028" s="1" t="str">
        <f>"河南省南阳市西峡县五里桥镇葛营村西李营"</f>
        <v>河南省南阳市西峡县五里桥镇葛营村西李营</v>
      </c>
      <c r="H4028" s="1" t="str">
        <f t="shared" si="1994"/>
        <v>无</v>
      </c>
      <c r="I4028" s="1" t="str">
        <f>"201409-201807 河南师范大学就读 投资学专业 全日制学历；
工作经历：
201807-201902 上海格怡金融信息服务有限公司  风控助理；
201903-201905 上海友而信市场信息咨询有限公司  风控管理专员；
201905-202305 上海实壹信息科技有限公司 合规专员；
202305-至今 （待业 居住地:河南省南阳市西峡县五里桥镇)"</f>
        <v>201409-201807 河南师范大学就读 投资学专业 全日制学历；
工作经历：
201807-201902 上海格怡金融信息服务有限公司  风控助理；
201903-201905 上海友而信市场信息咨询有限公司  风控管理专员；
201905-202305 上海实壹信息科技有限公司 合规专员；
202305-至今 （待业 居住地:河南省南阳市西峡县五里桥镇)</v>
      </c>
    </row>
    <row r="4029" spans="1:9">
      <c r="A4029" s="1" t="str">
        <f>"410422200003209225"</f>
        <v>410422200003209225</v>
      </c>
      <c r="B4029" s="1" t="str">
        <f t="shared" si="1995"/>
        <v>群众</v>
      </c>
      <c r="C4029" s="1" t="str">
        <f t="shared" si="1993"/>
        <v>本科</v>
      </c>
      <c r="D4029" s="1" t="str">
        <f>"2025年7月1日"</f>
        <v>2025年7月1日</v>
      </c>
      <c r="E4029" s="1" t="str">
        <f>"信阳师范学院"</f>
        <v>信阳师范学院</v>
      </c>
      <c r="F4029" s="1" t="str">
        <f>"汉语言文学"</f>
        <v>汉语言文学</v>
      </c>
      <c r="G4029" s="1" t="str">
        <f>"河南省郑州市航空港区"</f>
        <v>河南省郑州市航空港区</v>
      </c>
      <c r="H4029" s="1" t="str">
        <f>"平面设计师证书"</f>
        <v>平面设计师证书</v>
      </c>
      <c r="I4029" s="1" t="str">
        <f>"2018年9月-2021年7月在郑州财税金融学院计算机系动漫制作专业就读，全日制学历；2021年7月-2022年8月在许昌市鄢陵职教中心职教；2022年9月-2023年5月在郑州二七区郑州启曦教育有限公司就业；2023年5月-2025年7月在信阳师范学院汉语言文学就读非全日制"</f>
        <v>2018年9月-2021年7月在郑州财税金融学院计算机系动漫制作专业就读，全日制学历；2021年7月-2022年8月在许昌市鄢陵职教中心职教；2022年9月-2023年5月在郑州二七区郑州启曦教育有限公司就业；2023年5月-2025年7月在信阳师范学院汉语言文学就读非全日制</v>
      </c>
    </row>
    <row r="4030" spans="1:9">
      <c r="A4030" s="1" t="str">
        <f>"411681200306154112"</f>
        <v>411681200306154112</v>
      </c>
      <c r="B4030" s="1" t="str">
        <f>"共青团员"</f>
        <v>共青团员</v>
      </c>
      <c r="C4030" s="1" t="str">
        <f t="shared" si="1993"/>
        <v>本科</v>
      </c>
      <c r="D4030" s="1" t="str">
        <f>"20240701"</f>
        <v>20240701</v>
      </c>
      <c r="E4030" s="1" t="str">
        <f>"河南科技大学"</f>
        <v>河南科技大学</v>
      </c>
      <c r="F4030" s="1" t="str">
        <f>"软件工程"</f>
        <v>软件工程</v>
      </c>
      <c r="G4030" s="1" t="str">
        <f>"河南省周口市项城市惠民小区"</f>
        <v>河南省周口市项城市惠民小区</v>
      </c>
      <c r="H4030" s="1" t="str">
        <f t="shared" ref="H4030:H4033" si="1996">"无"</f>
        <v>无</v>
      </c>
      <c r="I4030" s="1" t="str">
        <f>"202009-202407 在河南科技大学软件学院的软件工程专业就读，是全日制学历"</f>
        <v>202009-202407 在河南科技大学软件学院的软件工程专业就读，是全日制学历</v>
      </c>
    </row>
    <row r="4031" spans="1:9">
      <c r="A4031" s="1" t="str">
        <f>"411381200006180849"</f>
        <v>411381200006180849</v>
      </c>
      <c r="B4031" s="1" t="str">
        <f t="shared" ref="B4031:B4035" si="1997">"中共党员"</f>
        <v>中共党员</v>
      </c>
      <c r="C4031" s="1" t="str">
        <f>"硕士研究生"</f>
        <v>硕士研究生</v>
      </c>
      <c r="D4031" s="1" t="str">
        <f>"20250630"</f>
        <v>20250630</v>
      </c>
      <c r="E4031" s="1" t="str">
        <f>"长安大学"</f>
        <v>长安大学</v>
      </c>
      <c r="F4031" s="1" t="str">
        <f>"应用经济学"</f>
        <v>应用经济学</v>
      </c>
      <c r="G4031" s="1" t="str">
        <f>"河南省南阳市宛城区范蠡路480号建行家属院"</f>
        <v>河南省南阳市宛城区范蠡路480号建行家属院</v>
      </c>
      <c r="H4031" s="1" t="str">
        <f t="shared" si="1996"/>
        <v>无</v>
      </c>
      <c r="I4031" s="1" t="str">
        <f>"201809-202206 河南农业大学经济与管理学院农林经济管理专业就读 全日制
202209-202506 长安大学经济与管理学院应用经济学专业就读 全日制"</f>
        <v>201809-202206 河南农业大学经济与管理学院农林经济管理专业就读 全日制
202209-202506 长安大学经济与管理学院应用经济学专业就读 全日制</v>
      </c>
    </row>
    <row r="4032" spans="1:9">
      <c r="A4032" s="1" t="str">
        <f>"411327200203280023"</f>
        <v>411327200203280023</v>
      </c>
      <c r="B4032" s="1" t="str">
        <f t="shared" si="1997"/>
        <v>中共党员</v>
      </c>
      <c r="C4032" s="1" t="str">
        <f t="shared" ref="C4032:C4037" si="1998">"本科"</f>
        <v>本科</v>
      </c>
      <c r="D4032" s="1" t="str">
        <f>"20250701"</f>
        <v>20250701</v>
      </c>
      <c r="E4032" s="1" t="str">
        <f>"平顶山学院"</f>
        <v>平顶山学院</v>
      </c>
      <c r="F4032" s="1" t="str">
        <f>"城乡规划"</f>
        <v>城乡规划</v>
      </c>
      <c r="G4032" s="1" t="str">
        <f>"河南省南阳市内乡县城关镇清心路"</f>
        <v>河南省南阳市内乡县城关镇清心路</v>
      </c>
      <c r="H4032" s="1" t="str">
        <f t="shared" si="1996"/>
        <v>无</v>
      </c>
      <c r="I4032" s="1" t="str">
        <f>"202009-202507平顶山学院旅游与规划学院城乡规划专业就读全日制本科学历"</f>
        <v>202009-202507平顶山学院旅游与规划学院城乡规划专业就读全日制本科学历</v>
      </c>
    </row>
    <row r="4033" spans="1:9">
      <c r="A4033" s="1" t="str">
        <f>"411325199911222029"</f>
        <v>411325199911222029</v>
      </c>
      <c r="B4033" s="1" t="str">
        <f t="shared" ref="B4033:B4036" si="1999">"群众"</f>
        <v>群众</v>
      </c>
      <c r="C4033" s="1" t="str">
        <f t="shared" si="1998"/>
        <v>本科</v>
      </c>
      <c r="D4033" s="1" t="str">
        <f>"20220701"</f>
        <v>20220701</v>
      </c>
      <c r="E4033" s="1" t="str">
        <f>"河南财经政法大学"</f>
        <v>河南财经政法大学</v>
      </c>
      <c r="F4033" s="1" t="str">
        <f>"数学与应用数学"</f>
        <v>数学与应用数学</v>
      </c>
      <c r="G4033" s="1" t="str">
        <f>"河南省南阳市内乡县"</f>
        <v>河南省南阳市内乡县</v>
      </c>
      <c r="H4033" s="1" t="str">
        <f t="shared" si="1996"/>
        <v>无</v>
      </c>
      <c r="I4033" s="1" t="str">
        <f>"201809-202207河南财经政法大学数学与信息科学学院数学与应用数学就读全日制"</f>
        <v>201809-202207河南财经政法大学数学与信息科学学院数学与应用数学就读全日制</v>
      </c>
    </row>
    <row r="4034" spans="1:9">
      <c r="A4034" s="1" t="str">
        <f>"41132719960622002X"</f>
        <v>41132719960622002X</v>
      </c>
      <c r="B4034" s="1" t="str">
        <f t="shared" si="1999"/>
        <v>群众</v>
      </c>
      <c r="C4034" s="1" t="str">
        <f t="shared" si="1998"/>
        <v>本科</v>
      </c>
      <c r="D4034" s="1" t="str">
        <f>"20190701"</f>
        <v>20190701</v>
      </c>
      <c r="E4034" s="1" t="str">
        <f>"郑州大学西亚斯国际学院"</f>
        <v>郑州大学西亚斯国际学院</v>
      </c>
      <c r="F4034" s="1" t="str">
        <f>"工商管理"</f>
        <v>工商管理</v>
      </c>
      <c r="G4034" s="1" t="str">
        <f>"河南省南阳市内乡县梨园山庄香樟苑"</f>
        <v>河南省南阳市内乡县梨园山庄香樟苑</v>
      </c>
      <c r="H4034" s="1" t="str">
        <f>"小学语文教师资格证"</f>
        <v>小学语文教师资格证</v>
      </c>
      <c r="I4034" s="1" t="str">
        <f>"201409-201706 河南财经政法大学会计专业就读 全日制
201709-201906 郑州大学西亚斯国际学院工商管理就读 全日制"</f>
        <v>201409-201706 河南财经政法大学会计专业就读 全日制
201709-201906 郑州大学西亚斯国际学院工商管理就读 全日制</v>
      </c>
    </row>
    <row r="4035" spans="1:9">
      <c r="A4035" s="1" t="str">
        <f>"411323200109110049"</f>
        <v>411323200109110049</v>
      </c>
      <c r="B4035" s="1" t="str">
        <f t="shared" si="1997"/>
        <v>中共党员</v>
      </c>
      <c r="C4035" s="1" t="str">
        <f t="shared" si="1998"/>
        <v>本科</v>
      </c>
      <c r="D4035" s="1" t="str">
        <f>"20250630"</f>
        <v>20250630</v>
      </c>
      <c r="E4035" s="1" t="str">
        <f>"河南理工大学"</f>
        <v>河南理工大学</v>
      </c>
      <c r="F4035" s="1" t="str">
        <f>"土木工程"</f>
        <v>土木工程</v>
      </c>
      <c r="G4035" s="1" t="str">
        <f>"河南省淅川县宏达小区"</f>
        <v>河南省淅川县宏达小区</v>
      </c>
      <c r="H4035" s="1" t="str">
        <f t="shared" ref="H4035:H4041" si="2000">"无"</f>
        <v>无</v>
      </c>
      <c r="I4035" s="1" t="str">
        <f>"2019年9月-2022年7月  河南建筑职业技术学院   是全日制大专
2022年7月-2023年11月   淅川县电商产业园   （上班）
2023年3月-2025年6月     河南理工大学   非全日制本科
2024年1月-至今          淅川县人社局（上班）
"</f>
        <v>2019年9月-2022年7月  河南建筑职业技术学院   是全日制大专
2022年7月-2023年11月   淅川县电商产业园   （上班）
2023年3月-2025年6月     河南理工大学   非全日制本科
2024年1月-至今          淅川县人社局（上班）
</v>
      </c>
    </row>
    <row r="4036" spans="1:9">
      <c r="A4036" s="1" t="str">
        <f>"411326200007011532"</f>
        <v>411326200007011532</v>
      </c>
      <c r="B4036" s="1" t="str">
        <f t="shared" si="1999"/>
        <v>群众</v>
      </c>
      <c r="C4036" s="1" t="str">
        <f t="shared" si="1998"/>
        <v>本科</v>
      </c>
      <c r="D4036" s="1" t="str">
        <f>"2023-07-01"</f>
        <v>2023-07-01</v>
      </c>
      <c r="E4036" s="1" t="str">
        <f>"安阳师范学院"</f>
        <v>安阳师范学院</v>
      </c>
      <c r="F4036" s="1" t="str">
        <f>"软件工程"</f>
        <v>软件工程</v>
      </c>
      <c r="G4036" s="1" t="str">
        <f>"河南省南阳市南召县云阳镇小关居委会2组3号"</f>
        <v>河南省南阳市南召县云阳镇小关居委会2组3号</v>
      </c>
      <c r="H4036" s="1" t="str">
        <f t="shared" si="2000"/>
        <v>无</v>
      </c>
      <c r="I4036" s="1" t="str">
        <f>"201809-202306 安阳 师范学院软件学院软件工程 全日制"</f>
        <v>201809-202306 安阳 师范学院软件学院软件工程 全日制</v>
      </c>
    </row>
    <row r="4037" spans="1:9">
      <c r="A4037" s="1" t="str">
        <f>"410481200203065019"</f>
        <v>410481200203065019</v>
      </c>
      <c r="B4037" s="1" t="str">
        <f t="shared" ref="B4037:B4040" si="2001">"中共党员"</f>
        <v>中共党员</v>
      </c>
      <c r="C4037" s="1" t="str">
        <f t="shared" si="1998"/>
        <v>本科</v>
      </c>
      <c r="D4037" s="1" t="str">
        <f>"20230630"</f>
        <v>20230630</v>
      </c>
      <c r="E4037" s="1" t="str">
        <f>"新乡学院"</f>
        <v>新乡学院</v>
      </c>
      <c r="F4037" s="1" t="str">
        <f>"历史学"</f>
        <v>历史学</v>
      </c>
      <c r="G4037" s="1" t="str">
        <f>"河南省南阳市宛城区红泥湾镇言蹊中学"</f>
        <v>河南省南阳市宛城区红泥湾镇言蹊中学</v>
      </c>
      <c r="H4037" s="1" t="str">
        <f t="shared" si="2000"/>
        <v>无</v>
      </c>
      <c r="I4037" s="1" t="str">
        <f>"201909-202306新乡学院就读
202309-202506南阳市宛城区言蹊中学工作"</f>
        <v>201909-202306新乡学院就读
202309-202506南阳市宛城区言蹊中学工作</v>
      </c>
    </row>
    <row r="4038" spans="1:9">
      <c r="A4038" s="1" t="str">
        <f>"411327199306261524"</f>
        <v>411327199306261524</v>
      </c>
      <c r="B4038" s="1" t="str">
        <f t="shared" ref="B4038:B4043" si="2002">"群众"</f>
        <v>群众</v>
      </c>
      <c r="C4038" s="1" t="str">
        <f>"专科"</f>
        <v>专科</v>
      </c>
      <c r="D4038" s="1" t="str">
        <f>"20140701"</f>
        <v>20140701</v>
      </c>
      <c r="E4038" s="1" t="str">
        <f>"河南牧业经济学校"</f>
        <v>河南牧业经济学校</v>
      </c>
      <c r="F4038" s="1" t="str">
        <f>"烹饪工艺与营养"</f>
        <v>烹饪工艺与营养</v>
      </c>
      <c r="G4038" s="1" t="str">
        <f>"内乡县湍东镇茶庵村北陈21号"</f>
        <v>内乡县湍东镇茶庵村北陈21号</v>
      </c>
      <c r="H4038" s="1" t="str">
        <f t="shared" si="2000"/>
        <v>无</v>
      </c>
      <c r="I4038" s="1" t="str">
        <f>"2011.09.01——2014.07.01河南牧业经济学校
2008.09.01——2011.07.01内乡县职业专科学校"</f>
        <v>2011.09.01——2014.07.01河南牧业经济学校
2008.09.01——2011.07.01内乡县职业专科学校</v>
      </c>
    </row>
    <row r="4039" spans="1:9">
      <c r="A4039" s="1" t="str">
        <f>"411381199708155626"</f>
        <v>411381199708155626</v>
      </c>
      <c r="B4039" s="1" t="str">
        <f t="shared" si="2001"/>
        <v>中共党员</v>
      </c>
      <c r="C4039" s="1" t="str">
        <f t="shared" ref="C4039:C4049" si="2003">"本科"</f>
        <v>本科</v>
      </c>
      <c r="D4039" s="1" t="str">
        <f>"20210701"</f>
        <v>20210701</v>
      </c>
      <c r="E4039" s="1" t="str">
        <f>"河南牧业经济学院"</f>
        <v>河南牧业经济学院</v>
      </c>
      <c r="F4039" s="1" t="str">
        <f>"市场营销"</f>
        <v>市场营销</v>
      </c>
      <c r="G4039" s="1" t="str">
        <f>"河南省邓州市古城街道新西社区199巷81号"</f>
        <v>河南省邓州市古城街道新西社区199巷81号</v>
      </c>
      <c r="H4039" s="1" t="str">
        <f t="shared" si="2000"/>
        <v>无</v>
      </c>
      <c r="I4039" s="1" t="str">
        <f>"201609-202107 河南牧业经济学院 工商管理学院 市场营销专业就读 全日制学历
202108-202312 邓州市范仲淹公学 任职教师
202401-至今 未就业"</f>
        <v>201609-202107 河南牧业经济学院 工商管理学院 市场营销专业就读 全日制学历
202108-202312 邓州市范仲淹公学 任职教师
202401-至今 未就业</v>
      </c>
    </row>
    <row r="4040" spans="1:9">
      <c r="A4040" s="1" t="str">
        <f>"411323200005203056"</f>
        <v>411323200005203056</v>
      </c>
      <c r="B4040" s="1" t="str">
        <f t="shared" si="2001"/>
        <v>中共党员</v>
      </c>
      <c r="C4040" s="1" t="str">
        <f>"专科"</f>
        <v>专科</v>
      </c>
      <c r="D4040" s="1" t="str">
        <f>"20210701"</f>
        <v>20210701</v>
      </c>
      <c r="E4040" s="1" t="str">
        <f>"河南工程学院"</f>
        <v>河南工程学院</v>
      </c>
      <c r="F4040" s="1" t="str">
        <f>"酒店管理"</f>
        <v>酒店管理</v>
      </c>
      <c r="G4040" s="1" t="str">
        <f>"河南省南阳市"</f>
        <v>河南省南阳市</v>
      </c>
      <c r="H4040" s="1" t="str">
        <f t="shared" si="2000"/>
        <v>无</v>
      </c>
      <c r="I4040" s="1" t="str">
        <f>"201809-202107河南工程学院就读
202107-202207待业
202207-202408郑州永和铂爵国际酒店上班
2024至今待业"</f>
        <v>201809-202107河南工程学院就读
202107-202207待业
202207-202408郑州永和铂爵国际酒店上班
2024至今待业</v>
      </c>
    </row>
    <row r="4041" spans="1:9">
      <c r="A4041" s="1" t="str">
        <f>"41132720021027422X"</f>
        <v>41132720021027422X</v>
      </c>
      <c r="B4041" s="1" t="str">
        <f t="shared" si="2002"/>
        <v>群众</v>
      </c>
      <c r="C4041" s="1" t="str">
        <f t="shared" si="2003"/>
        <v>本科</v>
      </c>
      <c r="D4041" s="1" t="str">
        <f>"2025.06"</f>
        <v>2025.06</v>
      </c>
      <c r="E4041" s="1" t="str">
        <f>"黄河科技学院"</f>
        <v>黄河科技学院</v>
      </c>
      <c r="F4041" s="1" t="str">
        <f>"英语"</f>
        <v>英语</v>
      </c>
      <c r="G4041" s="1" t="str">
        <f>"河南省南阳市内乡县"</f>
        <v>河南省南阳市内乡县</v>
      </c>
      <c r="H4041" s="1" t="str">
        <f t="shared" si="2000"/>
        <v>无</v>
      </c>
      <c r="I4041" s="1" t="str">
        <f>"202309-202506 黄河科技学院英语专业就读 为全日制"</f>
        <v>202309-202506 黄河科技学院英语专业就读 为全日制</v>
      </c>
    </row>
    <row r="4042" spans="1:9">
      <c r="A4042" s="1" t="str">
        <f>"411330200201284520"</f>
        <v>411330200201284520</v>
      </c>
      <c r="B4042" s="1" t="str">
        <f t="shared" ref="B4042:B4047" si="2004">"共青团员"</f>
        <v>共青团员</v>
      </c>
      <c r="C4042" s="1" t="str">
        <f t="shared" si="2003"/>
        <v>本科</v>
      </c>
      <c r="D4042" s="1" t="str">
        <f>"20250701"</f>
        <v>20250701</v>
      </c>
      <c r="E4042" s="1" t="str">
        <f>"郑州升达经贸管理学院"</f>
        <v>郑州升达经贸管理学院</v>
      </c>
      <c r="F4042" s="1" t="str">
        <f>"学前教育"</f>
        <v>学前教育</v>
      </c>
      <c r="G4042" s="1" t="str">
        <f>"河南省南阳市西峡县米坪镇"</f>
        <v>河南省南阳市西峡县米坪镇</v>
      </c>
      <c r="H4042" s="1" t="str">
        <f>"教师资格证"</f>
        <v>教师资格证</v>
      </c>
      <c r="I4042" s="1" t="str">
        <f>"202109-202507 郑州升达经贸管理学院学校，文法学院学前教育专业就读，是全日制本科学历"</f>
        <v>202109-202507 郑州升达经贸管理学院学校，文法学院学前教育专业就读，是全日制本科学历</v>
      </c>
    </row>
    <row r="4043" spans="1:9">
      <c r="A4043" s="1" t="str">
        <f>"411329199301260023"</f>
        <v>411329199301260023</v>
      </c>
      <c r="B4043" s="1" t="str">
        <f t="shared" si="2002"/>
        <v>群众</v>
      </c>
      <c r="C4043" s="1" t="str">
        <f t="shared" si="2003"/>
        <v>本科</v>
      </c>
      <c r="D4043" s="1" t="str">
        <f>"2024"</f>
        <v>2024</v>
      </c>
      <c r="E4043" s="1" t="str">
        <f>"南阳师范学院"</f>
        <v>南阳师范学院</v>
      </c>
      <c r="F4043" s="1" t="str">
        <f>"汉语言文学"</f>
        <v>汉语言文学</v>
      </c>
      <c r="G4043" s="1" t="str">
        <f>"河南省南阳市社旗县赊店镇"</f>
        <v>河南省南阳市社旗县赊店镇</v>
      </c>
      <c r="H4043" s="1" t="str">
        <f t="shared" ref="H4043:H4055" si="2005">"无"</f>
        <v>无</v>
      </c>
      <c r="I4043" s="1" t="str">
        <f>"201109-201407于湖北省黄冈职业技术学院就读普通专科
202209-202407于南阳师范学院就读成人本科"</f>
        <v>201109-201407于湖北省黄冈职业技术学院就读普通专科
202209-202407于南阳师范学院就读成人本科</v>
      </c>
    </row>
    <row r="4044" spans="1:9">
      <c r="A4044" s="1" t="str">
        <f>"410185199811010058"</f>
        <v>410185199811010058</v>
      </c>
      <c r="B4044" s="1" t="str">
        <f t="shared" si="2004"/>
        <v>共青团员</v>
      </c>
      <c r="C4044" s="1" t="str">
        <f t="shared" si="2003"/>
        <v>本科</v>
      </c>
      <c r="D4044" s="1" t="str">
        <f>"20200701"</f>
        <v>20200701</v>
      </c>
      <c r="E4044" s="1" t="str">
        <f>"郑州工业应用技术学院"</f>
        <v>郑州工业应用技术学院</v>
      </c>
      <c r="F4044" s="1" t="str">
        <f>"计算机科学与技术"</f>
        <v>计算机科学与技术</v>
      </c>
      <c r="G4044" s="1" t="str">
        <f>"河南省郑州市登封市七星街办事处古城新村"</f>
        <v>河南省郑州市登封市七星街办事处古城新村</v>
      </c>
      <c r="H4044" s="1" t="str">
        <f t="shared" si="2005"/>
        <v>无</v>
      </c>
      <c r="I4044" s="1" t="str">
        <f>"201509-201807  开封文化艺术职业学院就读 全日制专科
201809-202007  郑州工业应用技术学院就读 全日制本科
202007-202011  待业
202011-202103  北京神州新桥科技有限公司 监控工程师
202103-202212  内乡县牧原现代农业综合体有限公司 网络工程师
202212-202205  待业
202205-202404  鸿富锦精密电子（郑州）有限公司  网络工程师
202404-至今  待业"</f>
        <v>201509-201807  开封文化艺术职业学院就读 全日制专科
201809-202007  郑州工业应用技术学院就读 全日制本科
202007-202011  待业
202011-202103  北京神州新桥科技有限公司 监控工程师
202103-202212  内乡县牧原现代农业综合体有限公司 网络工程师
202212-202205  待业
202205-202404  鸿富锦精密电子（郑州）有限公司  网络工程师
202404-至今  待业</v>
      </c>
    </row>
    <row r="4045" spans="1:9">
      <c r="A4045" s="1" t="str">
        <f>"411302199311020023"</f>
        <v>411302199311020023</v>
      </c>
      <c r="B4045" s="1" t="str">
        <f t="shared" ref="B4045:B4049" si="2006">"群众"</f>
        <v>群众</v>
      </c>
      <c r="C4045" s="1" t="str">
        <f t="shared" si="2003"/>
        <v>本科</v>
      </c>
      <c r="D4045" s="1" t="str">
        <f>"20180630"</f>
        <v>20180630</v>
      </c>
      <c r="E4045" s="1" t="str">
        <f>"海南大学"</f>
        <v>海南大学</v>
      </c>
      <c r="F4045" s="1" t="str">
        <f>"会计学（涉外会计方向）"</f>
        <v>会计学（涉外会计方向）</v>
      </c>
      <c r="G4045" s="1" t="str">
        <f>"河南省南阳市宛城区工农路东拐街"</f>
        <v>河南省南阳市宛城区工农路东拐街</v>
      </c>
      <c r="H4045" s="1" t="str">
        <f t="shared" si="2005"/>
        <v>无</v>
      </c>
      <c r="I4045" s="1" t="str">
        <f>"201409-201806 海南大学应用科技学院会计学专业就读
201806-202507在南阳待业"</f>
        <v>201409-201806 海南大学应用科技学院会计学专业就读
201806-202507在南阳待业</v>
      </c>
    </row>
    <row r="4046" spans="1:9">
      <c r="A4046" s="1" t="str">
        <f>"411327200004232926"</f>
        <v>411327200004232926</v>
      </c>
      <c r="B4046" s="1" t="str">
        <f t="shared" si="2006"/>
        <v>群众</v>
      </c>
      <c r="C4046" s="1" t="str">
        <f t="shared" si="2003"/>
        <v>本科</v>
      </c>
      <c r="D4046" s="1" t="str">
        <f>"2023-07-01"</f>
        <v>2023-07-01</v>
      </c>
      <c r="E4046" s="1" t="str">
        <f>"信阳学院"</f>
        <v>信阳学院</v>
      </c>
      <c r="F4046" s="1" t="str">
        <f>"广播电视编导"</f>
        <v>广播电视编导</v>
      </c>
      <c r="G4046" s="1" t="str">
        <f>"河南省南阳市内乡县瓦亭镇周家村"</f>
        <v>河南省南阳市内乡县瓦亭镇周家村</v>
      </c>
      <c r="H4046" s="1" t="str">
        <f t="shared" si="2005"/>
        <v>无</v>
      </c>
      <c r="I4046" s="1" t="str">
        <f>"201909——202307 信阳学院 文学院 广播电视编导专业
201609——201907内乡实验高中
"</f>
        <v>201909——202307 信阳学院 文学院 广播电视编导专业
201609——201907内乡实验高中
</v>
      </c>
    </row>
    <row r="4047" spans="1:9">
      <c r="A4047" s="1" t="str">
        <f>"411327200009253742"</f>
        <v>411327200009253742</v>
      </c>
      <c r="B4047" s="1" t="str">
        <f t="shared" si="2004"/>
        <v>共青团员</v>
      </c>
      <c r="C4047" s="1" t="str">
        <f t="shared" si="2003"/>
        <v>本科</v>
      </c>
      <c r="D4047" s="1" t="str">
        <f>"20230701"</f>
        <v>20230701</v>
      </c>
      <c r="E4047" s="1" t="str">
        <f>"河南科技学院"</f>
        <v>河南科技学院</v>
      </c>
      <c r="F4047" s="1" t="str">
        <f>"人力资源管理"</f>
        <v>人力资源管理</v>
      </c>
      <c r="G4047" s="1" t="str">
        <f>"河南省南阳市内乡县海天楼"</f>
        <v>河南省南阳市内乡县海天楼</v>
      </c>
      <c r="H4047" s="1" t="str">
        <f t="shared" si="2005"/>
        <v>无</v>
      </c>
      <c r="I4047" s="1" t="str">
        <f>"201909-202307就读于河南科技学院经济与管理学院人力资源管理专业，全日制本科学历。
202307-202312待业
202312-202507内乡县退役军人事务局公益岗"</f>
        <v>201909-202307就读于河南科技学院经济与管理学院人力资源管理专业，全日制本科学历。
202307-202312待业
202312-202507内乡县退役军人事务局公益岗</v>
      </c>
    </row>
    <row r="4048" spans="1:9">
      <c r="A4048" s="1" t="str">
        <f>"41132520001113204X"</f>
        <v>41132520001113204X</v>
      </c>
      <c r="B4048" s="1" t="str">
        <f t="shared" si="2006"/>
        <v>群众</v>
      </c>
      <c r="C4048" s="1" t="str">
        <f t="shared" si="2003"/>
        <v>本科</v>
      </c>
      <c r="D4048" s="1" t="str">
        <f>"202307"</f>
        <v>202307</v>
      </c>
      <c r="E4048" s="1" t="str">
        <f>"南阳师范学院"</f>
        <v>南阳师范学院</v>
      </c>
      <c r="F4048" s="1" t="str">
        <f>"软件工程"</f>
        <v>软件工程</v>
      </c>
      <c r="G4048" s="1" t="str">
        <f>"河南省南阳市内乡县教育路清华苑"</f>
        <v>河南省南阳市内乡县教育路清华苑</v>
      </c>
      <c r="H4048" s="1" t="str">
        <f t="shared" si="2005"/>
        <v>无</v>
      </c>
      <c r="I4048" s="1" t="str">
        <f>"201809-202106 河南轻工职业学院 软件技术专业就读
202109-202306 南阳师范学院 软件工程专业就读
202310-202405 内乡县少儿编程俱乐部 担任编程老师
202406至今 择业在家"</f>
        <v>201809-202106 河南轻工职业学院 软件技术专业就读
202109-202306 南阳师范学院 软件工程专业就读
202310-202405 内乡县少儿编程俱乐部 担任编程老师
202406至今 择业在家</v>
      </c>
    </row>
    <row r="4049" spans="1:9">
      <c r="A4049" s="1" t="str">
        <f>"420322199902230010"</f>
        <v>420322199902230010</v>
      </c>
      <c r="B4049" s="1" t="str">
        <f t="shared" si="2006"/>
        <v>群众</v>
      </c>
      <c r="C4049" s="1" t="str">
        <f t="shared" si="2003"/>
        <v>本科</v>
      </c>
      <c r="D4049" s="1" t="str">
        <f>"20240608"</f>
        <v>20240608</v>
      </c>
      <c r="E4049" s="1" t="str">
        <f>"湖北经济学院法商学院"</f>
        <v>湖北经济学院法商学院</v>
      </c>
      <c r="F4049" s="1" t="str">
        <f>"市场营销"</f>
        <v>市场营销</v>
      </c>
      <c r="G4049" s="1" t="str">
        <f>"湖北省十堰市郧西县城关镇市场巷8号"</f>
        <v>湖北省十堰市郧西县城关镇市场巷8号</v>
      </c>
      <c r="H4049" s="1" t="str">
        <f t="shared" si="2005"/>
        <v>无</v>
      </c>
      <c r="I4049" s="1" t="str">
        <f>"201909-202206 湖北第二师范学院  就读电子商务专业 全日制专科
202208-202406 湖北经济学院法商学院 就读市场营销专业
全日制本科
202406-至今 待业"</f>
        <v>201909-202206 湖北第二师范学院  就读电子商务专业 全日制专科
202208-202406 湖北经济学院法商学院 就读市场营销专业
全日制本科
202406-至今 待业</v>
      </c>
    </row>
    <row r="4050" spans="1:9">
      <c r="A4050" s="1" t="str">
        <f>"411327199311213519"</f>
        <v>411327199311213519</v>
      </c>
      <c r="B4050" s="1" t="str">
        <f t="shared" ref="B4050:B4055" si="2007">"中共党员"</f>
        <v>中共党员</v>
      </c>
      <c r="C4050" s="1" t="str">
        <f>"专科"</f>
        <v>专科</v>
      </c>
      <c r="D4050" s="1" t="str">
        <f>"20150701"</f>
        <v>20150701</v>
      </c>
      <c r="E4050" s="1" t="str">
        <f>"河南科技大学林业职业学院"</f>
        <v>河南科技大学林业职业学院</v>
      </c>
      <c r="F4050" s="1" t="str">
        <f>"会计电算化"</f>
        <v>会计电算化</v>
      </c>
      <c r="G4050" s="1" t="str">
        <f>"南阳市内乡县湍东镇地质广场附近"</f>
        <v>南阳市内乡县湍东镇地质广场附近</v>
      </c>
      <c r="H4050" s="1" t="str">
        <f t="shared" si="2005"/>
        <v>无</v>
      </c>
      <c r="I4050" s="1" t="str">
        <f>"201209——201507河南科技大学林业职业学院会计电算化专业就读，全日制学历
201509——201902内乡县待业
（202103——202307南阳理工学院财务管理专业，函授）
201902——至今内乡县供销社工作"</f>
        <v>201209——201507河南科技大学林业职业学院会计电算化专业就读，全日制学历
201509——201902内乡县待业
（202103——202307南阳理工学院财务管理专业，函授）
201902——至今内乡县供销社工作</v>
      </c>
    </row>
    <row r="4051" spans="1:9">
      <c r="A4051" s="1" t="str">
        <f>"411324199704080033"</f>
        <v>411324199704080033</v>
      </c>
      <c r="B4051" s="1" t="str">
        <f t="shared" ref="B4051:B4059" si="2008">"群众"</f>
        <v>群众</v>
      </c>
      <c r="C4051" s="1" t="str">
        <f t="shared" ref="C4051:C4056" si="2009">"本科"</f>
        <v>本科</v>
      </c>
      <c r="D4051" s="1" t="str">
        <f>"20200701"</f>
        <v>20200701</v>
      </c>
      <c r="E4051" s="1" t="str">
        <f>"西京学院"</f>
        <v>西京学院</v>
      </c>
      <c r="F4051" s="1" t="str">
        <f>"环境设计"</f>
        <v>环境设计</v>
      </c>
      <c r="G4051" s="1" t="str">
        <f>"河南省南阳市内乡县灌涨镇大转盘东100米"</f>
        <v>河南省南阳市内乡县灌涨镇大转盘东100米</v>
      </c>
      <c r="H4051" s="1" t="str">
        <f t="shared" si="2005"/>
        <v>无</v>
      </c>
      <c r="I4051" s="1" t="str">
        <f>"201609-202007 西京学院 设计艺术学院 环境设计专业就读，全日制本科学历。"</f>
        <v>201609-202007 西京学院 设计艺术学院 环境设计专业就读，全日制本科学历。</v>
      </c>
    </row>
    <row r="4052" spans="1:9">
      <c r="A4052" s="1" t="str">
        <f>"411330199905010039"</f>
        <v>411330199905010039</v>
      </c>
      <c r="B4052" s="1" t="str">
        <f t="shared" si="2008"/>
        <v>群众</v>
      </c>
      <c r="C4052" s="1" t="str">
        <f t="shared" si="2009"/>
        <v>本科</v>
      </c>
      <c r="D4052" s="1" t="str">
        <f>"20220630"</f>
        <v>20220630</v>
      </c>
      <c r="E4052" s="1" t="str">
        <f>"燕山大学"</f>
        <v>燕山大学</v>
      </c>
      <c r="F4052" s="1" t="str">
        <f>"国际经济与贸易"</f>
        <v>国际经济与贸易</v>
      </c>
      <c r="G4052" s="1" t="str">
        <f>"河南省南阳市西峡县丹水镇黄坪村9组248号"</f>
        <v>河南省南阳市西峡县丹水镇黄坪村9组248号</v>
      </c>
      <c r="H4052" s="1" t="str">
        <f t="shared" si="2005"/>
        <v>无</v>
      </c>
      <c r="I4052" s="1" t="str">
        <f>"201809-202206 燕山大学经济管理学院国际经济与贸易专业就读 全日制学历
202206-202305 待业
202305-至今 西峡县人才交流中心 公益岗
"</f>
        <v>201809-202206 燕山大学经济管理学院国际经济与贸易专业就读 全日制学历
202206-202305 待业
202305-至今 西峡县人才交流中心 公益岗
</v>
      </c>
    </row>
    <row r="4053" spans="1:9">
      <c r="A4053" s="1" t="str">
        <f>"410922200102080073"</f>
        <v>410922200102080073</v>
      </c>
      <c r="B4053" s="1" t="str">
        <f t="shared" si="2007"/>
        <v>中共党员</v>
      </c>
      <c r="C4053" s="1" t="str">
        <f t="shared" si="2009"/>
        <v>本科</v>
      </c>
      <c r="D4053" s="1" t="str">
        <f>"20250606"</f>
        <v>20250606</v>
      </c>
      <c r="E4053" s="1" t="str">
        <f>"安阳师范学院"</f>
        <v>安阳师范学院</v>
      </c>
      <c r="F4053" s="1" t="str">
        <f>"物联网工程"</f>
        <v>物联网工程</v>
      </c>
      <c r="G4053" s="1" t="str">
        <f>"河南省濮阳市清丰县盛丰路与政通大道交叉口冶都森林里"</f>
        <v>河南省濮阳市清丰县盛丰路与政通大道交叉口冶都森林里</v>
      </c>
      <c r="H4053" s="1" t="str">
        <f t="shared" si="2005"/>
        <v>无</v>
      </c>
      <c r="I4053" s="1" t="str">
        <f>"202009-202306 郑州信息科技职业学院 就读 全日制
202309-202506 安阳师范学院 就读 全日制"</f>
        <v>202009-202306 郑州信息科技职业学院 就读 全日制
202309-202506 安阳师范学院 就读 全日制</v>
      </c>
    </row>
    <row r="4054" spans="1:9">
      <c r="A4054" s="1" t="str">
        <f>"411330199903181520"</f>
        <v>411330199903181520</v>
      </c>
      <c r="B4054" s="1" t="str">
        <f>"中共预备党员"</f>
        <v>中共预备党员</v>
      </c>
      <c r="C4054" s="1" t="str">
        <f t="shared" si="2009"/>
        <v>本科</v>
      </c>
      <c r="D4054" s="1" t="str">
        <f>"20210701"</f>
        <v>20210701</v>
      </c>
      <c r="E4054" s="1" t="str">
        <f>"信阳农林学院"</f>
        <v>信阳农林学院</v>
      </c>
      <c r="F4054" s="1" t="str">
        <f>"城乡规划"</f>
        <v>城乡规划</v>
      </c>
      <c r="G4054" s="1" t="str">
        <f>"1219924066@qq.com"</f>
        <v>1219924066@qq.com</v>
      </c>
      <c r="H4054" s="1" t="str">
        <f t="shared" si="2005"/>
        <v>无</v>
      </c>
      <c r="I4054" s="1" t="str">
        <f>"201709-202107在信阳农林学院城乡规划专业就读，是全日制学历；
202107-202201在河南宏图地理科技有限公司实习工作；
202202-至今在河南辰田勘测设计有限公司工作。"</f>
        <v>201709-202107在信阳农林学院城乡规划专业就读，是全日制学历；
202107-202201在河南宏图地理科技有限公司实习工作；
202202-至今在河南辰田勘测设计有限公司工作。</v>
      </c>
    </row>
    <row r="4055" spans="1:9">
      <c r="A4055" s="1" t="str">
        <f>"410326200209160017"</f>
        <v>410326200209160017</v>
      </c>
      <c r="B4055" s="1" t="str">
        <f t="shared" si="2007"/>
        <v>中共党员</v>
      </c>
      <c r="C4055" s="1" t="str">
        <f t="shared" si="2009"/>
        <v>本科</v>
      </c>
      <c r="D4055" s="1" t="str">
        <f>"20250607"</f>
        <v>20250607</v>
      </c>
      <c r="E4055" s="1" t="str">
        <f>"洛阳理工学院"</f>
        <v>洛阳理工学院</v>
      </c>
      <c r="F4055" s="1" t="str">
        <f>"酒店管理"</f>
        <v>酒店管理</v>
      </c>
      <c r="G4055" s="1" t="str">
        <f>"河南省洛阳市汝阳县城关镇古严村"</f>
        <v>河南省洛阳市汝阳县城关镇古严村</v>
      </c>
      <c r="H4055" s="1" t="str">
        <f t="shared" si="2005"/>
        <v>无</v>
      </c>
      <c r="I4055" s="1" t="str">
        <f>"202109-202506在洛阳理工学院经济与管理学院酒店管理专业就读，是全日制学历。"</f>
        <v>202109-202506在洛阳理工学院经济与管理学院酒店管理专业就读，是全日制学历。</v>
      </c>
    </row>
    <row r="4056" spans="1:9">
      <c r="A4056" s="1" t="str">
        <f>"410324199607253413"</f>
        <v>410324199607253413</v>
      </c>
      <c r="B4056" s="1" t="str">
        <f t="shared" si="2008"/>
        <v>群众</v>
      </c>
      <c r="C4056" s="1" t="str">
        <f t="shared" si="2009"/>
        <v>本科</v>
      </c>
      <c r="D4056" s="1" t="str">
        <f>"20190701"</f>
        <v>20190701</v>
      </c>
      <c r="E4056" s="1" t="str">
        <f>"黄淮学院"</f>
        <v>黄淮学院</v>
      </c>
      <c r="F4056" s="1" t="str">
        <f>"数学与应用数学"</f>
        <v>数学与应用数学</v>
      </c>
      <c r="G4056" s="1" t="str">
        <f>"河南省洛阳市栾川县城关镇"</f>
        <v>河南省洛阳市栾川县城关镇</v>
      </c>
      <c r="H4056" s="1" t="str">
        <f>"银行从业资格证"</f>
        <v>银行从业资格证</v>
      </c>
      <c r="I4056" s="1" t="str">
        <f>"20150901-20190701黄淮学院 全日制本科
20190702-20200713辅导机构担任辅导老师
20200714-20250228任中国邮政营业员
20250301-至今栾川宏邦矿业安全员
"</f>
        <v>20150901-20190701黄淮学院 全日制本科
20190702-20200713辅导机构担任辅导老师
20200714-20250228任中国邮政营业员
20250301-至今栾川宏邦矿业安全员
</v>
      </c>
    </row>
    <row r="4057" spans="1:9">
      <c r="A4057" s="1" t="str">
        <f>"411381199712124515"</f>
        <v>411381199712124515</v>
      </c>
      <c r="B4057" s="1" t="str">
        <f t="shared" si="2008"/>
        <v>群众</v>
      </c>
      <c r="C4057" s="1" t="str">
        <f t="shared" ref="C4057:C4061" si="2010">"专科"</f>
        <v>专科</v>
      </c>
      <c r="D4057" s="1" t="str">
        <f>"2021-01-20"</f>
        <v>2021-01-20</v>
      </c>
      <c r="E4057" s="1" t="str">
        <f>"国家开放大学"</f>
        <v>国家开放大学</v>
      </c>
      <c r="F4057" s="1" t="str">
        <f>"法学"</f>
        <v>法学</v>
      </c>
      <c r="G4057" s="1" t="str">
        <f>"河南省南阳市邓州市"</f>
        <v>河南省南阳市邓州市</v>
      </c>
      <c r="H4057" s="1" t="str">
        <f t="shared" ref="H4057:H4063" si="2011">"无"</f>
        <v>无</v>
      </c>
      <c r="I4057" s="1" t="str">
        <f>"200307-200907 邓州市张村镇完小小学
200907-201207 邓州市张村镇第一初级中学
201207-201507 邓州市第五高级中学
20170901-20210120 国家开放大学法学(不是全日制学历)"</f>
        <v>200307-200907 邓州市张村镇完小小学
200907-201207 邓州市张村镇第一初级中学
201207-201507 邓州市第五高级中学
20170901-20210120 国家开放大学法学(不是全日制学历)</v>
      </c>
    </row>
    <row r="4058" spans="1:9">
      <c r="A4058" s="1" t="str">
        <f>"412822199410085299"</f>
        <v>412822199410085299</v>
      </c>
      <c r="B4058" s="1" t="str">
        <f t="shared" si="2008"/>
        <v>群众</v>
      </c>
      <c r="C4058" s="1" t="str">
        <f t="shared" si="2010"/>
        <v>专科</v>
      </c>
      <c r="D4058" s="1" t="str">
        <f>"2017年7月1日"</f>
        <v>2017年7月1日</v>
      </c>
      <c r="E4058" s="1" t="str">
        <f>"周口职业技术学院"</f>
        <v>周口职业技术学院</v>
      </c>
      <c r="F4058" s="1" t="str">
        <f>"畜牧兽医"</f>
        <v>畜牧兽医</v>
      </c>
      <c r="G4058" s="1" t="str">
        <f>"河南省驻马店市泌阳县花园街道办事处赵北"</f>
        <v>河南省驻马店市泌阳县花园街道办事处赵北</v>
      </c>
      <c r="H4058" s="1" t="str">
        <f t="shared" si="2011"/>
        <v>无</v>
      </c>
      <c r="I4058" s="1" t="str">
        <f>"2014.9.1——2017.7.1 在周口职业技术学院 动物科学系 畜牧兽医专业就读 全日制专科"</f>
        <v>2014.9.1——2017.7.1 在周口职业技术学院 动物科学系 畜牧兽医专业就读 全日制专科</v>
      </c>
    </row>
    <row r="4059" spans="1:9">
      <c r="A4059" s="1" t="str">
        <f>"411327199810021511"</f>
        <v>411327199810021511</v>
      </c>
      <c r="B4059" s="1" t="str">
        <f t="shared" si="2008"/>
        <v>群众</v>
      </c>
      <c r="C4059" s="1" t="str">
        <f t="shared" ref="C4059:C4062" si="2012">"本科"</f>
        <v>本科</v>
      </c>
      <c r="D4059" s="1" t="str">
        <f>"20230701"</f>
        <v>20230701</v>
      </c>
      <c r="E4059" s="1" t="str">
        <f>"郑州航空工业管理学院"</f>
        <v>郑州航空工业管理学院</v>
      </c>
      <c r="F4059" s="1" t="str">
        <f>"物流管理"</f>
        <v>物流管理</v>
      </c>
      <c r="G4059" s="1" t="str">
        <f>"河南省平顶山市新华区曙光街街道凌云社区"</f>
        <v>河南省平顶山市新华区曙光街街道凌云社区</v>
      </c>
      <c r="H4059" s="1" t="str">
        <f t="shared" si="2011"/>
        <v>无</v>
      </c>
      <c r="I4059" s="1" t="str">
        <f>"201809-202107 开封大学 经济信息管理 全日制
202109-202307 郑州航空工业管理学院 物流管理 全日制"</f>
        <v>201809-202107 开封大学 经济信息管理 全日制
202109-202307 郑州航空工业管理学院 物流管理 全日制</v>
      </c>
    </row>
    <row r="4060" spans="1:9">
      <c r="A4060" s="1" t="str">
        <f>"411327199902204227"</f>
        <v>411327199902204227</v>
      </c>
      <c r="B4060" s="1" t="str">
        <f t="shared" ref="B4060:B4065" si="2013">"共青团员"</f>
        <v>共青团员</v>
      </c>
      <c r="C4060" s="1" t="str">
        <f t="shared" si="2012"/>
        <v>本科</v>
      </c>
      <c r="D4060" s="1" t="str">
        <f>"20200630"</f>
        <v>20200630</v>
      </c>
      <c r="E4060" s="1" t="str">
        <f>"三亚学院"</f>
        <v>三亚学院</v>
      </c>
      <c r="F4060" s="1" t="str">
        <f>"计算机科学与技术"</f>
        <v>计算机科学与技术</v>
      </c>
      <c r="G4060" s="1" t="str">
        <f>"河南省南阳市内乡县余关乡余关村徐营1号"</f>
        <v>河南省南阳市内乡县余关乡余关村徐营1号</v>
      </c>
      <c r="H4060" s="1" t="str">
        <f t="shared" si="2011"/>
        <v>无</v>
      </c>
      <c r="I4060" s="1" t="str">
        <f>"20160901-20200630 三亚学院  信息与智能工程学院 计算机科学与技术专业  就读 全日制
20200701-20201231 河南省南阳市内乡县余关乡余关村徐营一号 待业
20210101-20210531 河南省南阳市内乡县余关镇人民政府   文员工作
202106月至今 河南省南阳市内乡县公安局   辅警工作"</f>
        <v>20160901-20200630 三亚学院  信息与智能工程学院 计算机科学与技术专业  就读 全日制
20200701-20201231 河南省南阳市内乡县余关乡余关村徐营一号 待业
20210101-20210531 河南省南阳市内乡县余关镇人民政府   文员工作
202106月至今 河南省南阳市内乡县公安局   辅警工作</v>
      </c>
    </row>
    <row r="4061" spans="1:9">
      <c r="A4061" s="1" t="str">
        <f>"411381200106170015"</f>
        <v>411381200106170015</v>
      </c>
      <c r="B4061" s="1" t="str">
        <f>"群众"</f>
        <v>群众</v>
      </c>
      <c r="C4061" s="1" t="str">
        <f t="shared" si="2010"/>
        <v>专科</v>
      </c>
      <c r="D4061" s="1" t="str">
        <f>"2023.06"</f>
        <v>2023.06</v>
      </c>
      <c r="E4061" s="1" t="str">
        <f>"湖北轻工职业技术学院"</f>
        <v>湖北轻工职业技术学院</v>
      </c>
      <c r="F4061" s="1" t="str">
        <f>"云计算应用与技术"</f>
        <v>云计算应用与技术</v>
      </c>
      <c r="G4061" s="1" t="str">
        <f>"河南省南阳市邓州市新华中路"</f>
        <v>河南省南阳市邓州市新华中路</v>
      </c>
      <c r="H4061" s="1" t="str">
        <f t="shared" si="2011"/>
        <v>无</v>
      </c>
      <c r="I4061" s="1" t="str">
        <f>"2020.10-2023.06在湖北轻工职业技术学院信息工程学院云计算应用与技术专业就读    全日制   2023.07-至今 待业"</f>
        <v>2020.10-2023.06在湖北轻工职业技术学院信息工程学院云计算应用与技术专业就读    全日制   2023.07-至今 待业</v>
      </c>
    </row>
    <row r="4062" spans="1:9">
      <c r="A4062" s="1" t="str">
        <f>"371329199812191514"</f>
        <v>371329199812191514</v>
      </c>
      <c r="B4062" s="1" t="str">
        <f t="shared" si="2013"/>
        <v>共青团员</v>
      </c>
      <c r="C4062" s="1" t="str">
        <f t="shared" si="2012"/>
        <v>本科</v>
      </c>
      <c r="D4062" s="1" t="str">
        <f>"20220618"</f>
        <v>20220618</v>
      </c>
      <c r="E4062" s="1" t="str">
        <f>"山东财经大学燕山学院"</f>
        <v>山东财经大学燕山学院</v>
      </c>
      <c r="F4062" s="1" t="str">
        <f>"计算机科学级技术"</f>
        <v>计算机科学级技术</v>
      </c>
      <c r="G4062" s="1" t="str">
        <f>"山东省临沂市兰山区"</f>
        <v>山东省临沂市兰山区</v>
      </c>
      <c r="H4062" s="1" t="str">
        <f t="shared" si="2011"/>
        <v>无</v>
      </c>
      <c r="I4062" s="1" t="str">
        <f>"201709-202006 聊城职业技术学院信息学院计算机应用技术
202009-202206：山东财经大学燕山学院数据科学与计算机学院计算机科学与技术
202206-至今 待业
"</f>
        <v>201709-202006 聊城职业技术学院信息学院计算机应用技术
202009-202206：山东财经大学燕山学院数据科学与计算机学院计算机科学与技术
202206-至今 待业
</v>
      </c>
    </row>
    <row r="4063" spans="1:9">
      <c r="A4063" s="1" t="str">
        <f>"411327200211220012"</f>
        <v>411327200211220012</v>
      </c>
      <c r="B4063" s="1" t="str">
        <f>"群众"</f>
        <v>群众</v>
      </c>
      <c r="C4063" s="1" t="str">
        <f>"专科"</f>
        <v>专科</v>
      </c>
      <c r="D4063" s="1" t="str">
        <f>"20250701"</f>
        <v>20250701</v>
      </c>
      <c r="E4063" s="1" t="str">
        <f>"郑州旅游职业学院"</f>
        <v>郑州旅游职业学院</v>
      </c>
      <c r="F4063" s="1" t="str">
        <f>"计算机网络技术"</f>
        <v>计算机网络技术</v>
      </c>
      <c r="G4063" s="1" t="str">
        <f>"河南省南阳市内乡县城关镇书院巷3号"</f>
        <v>河南省南阳市内乡县城关镇书院巷3号</v>
      </c>
      <c r="H4063" s="1" t="str">
        <f t="shared" si="2011"/>
        <v>无</v>
      </c>
      <c r="I4063" s="1" t="str">
        <f>"20220901-20250701在郑州旅游职业学院信息工程学院计算机网络技术专业就读，是全日制学历
20240613-20250531在北京长峰假日酒店前台实习一年"</f>
        <v>20220901-20250701在郑州旅游职业学院信息工程学院计算机网络技术专业就读，是全日制学历
20240613-20250531在北京长峰假日酒店前台实习一年</v>
      </c>
    </row>
    <row r="4064" spans="1:9">
      <c r="A4064" s="1" t="str">
        <f>"411324200102280041"</f>
        <v>411324200102280041</v>
      </c>
      <c r="B4064" s="1" t="str">
        <f>"中共党员"</f>
        <v>中共党员</v>
      </c>
      <c r="C4064" s="1" t="str">
        <f t="shared" ref="C4064:C4070" si="2014">"本科"</f>
        <v>本科</v>
      </c>
      <c r="D4064" s="1" t="str">
        <f>"2024.7"</f>
        <v>2024.7</v>
      </c>
      <c r="E4064" s="1" t="str">
        <f>"郑州商学院"</f>
        <v>郑州商学院</v>
      </c>
      <c r="F4064" s="1" t="str">
        <f>"学前教育"</f>
        <v>学前教育</v>
      </c>
      <c r="G4064" s="1" t="str">
        <f>"南阳市卧龙区工业路春泉中心城"</f>
        <v>南阳市卧龙区工业路春泉中心城</v>
      </c>
      <c r="H4064" s="1" t="str">
        <f>"教师资格证"</f>
        <v>教师资格证</v>
      </c>
      <c r="I4064" s="1" t="str">
        <f>"201909-202207 濮阳职业技术学院人文学院小学教育专业就读 全日制
202209-202407 郑州商学院文化与新闻传播学院学前教育就读 全日制"</f>
        <v>201909-202207 濮阳职业技术学院人文学院小学教育专业就读 全日制
202209-202407 郑州商学院文化与新闻传播学院学前教育就读 全日制</v>
      </c>
    </row>
    <row r="4065" spans="1:9">
      <c r="A4065" s="1" t="str">
        <f>"411330200202151527"</f>
        <v>411330200202151527</v>
      </c>
      <c r="B4065" s="1" t="str">
        <f t="shared" si="2013"/>
        <v>共青团员</v>
      </c>
      <c r="C4065" s="1" t="str">
        <f t="shared" si="2014"/>
        <v>本科</v>
      </c>
      <c r="D4065" s="1" t="str">
        <f>"20250630"</f>
        <v>20250630</v>
      </c>
      <c r="E4065" s="1" t="str">
        <f>"郑州升达经贸管理学院"</f>
        <v>郑州升达经贸管理学院</v>
      </c>
      <c r="F4065" s="1" t="str">
        <f>"工商管理"</f>
        <v>工商管理</v>
      </c>
      <c r="G4065" s="1" t="str">
        <f>"河南省南阳市西峡县北四环"</f>
        <v>河南省南阳市西峡县北四环</v>
      </c>
      <c r="H4065" s="1" t="str">
        <f t="shared" ref="H4065:H4070" si="2015">"无"</f>
        <v>无</v>
      </c>
      <c r="I4065" s="1" t="str">
        <f>"202109-202506 在郑州升达经贸管理学院管理学院就读工商管理专业， 是全日制学历。
202506-至今待业"</f>
        <v>202109-202506 在郑州升达经贸管理学院管理学院就读工商管理专业， 是全日制学历。
202506-至今待业</v>
      </c>
    </row>
    <row r="4066" spans="1:9">
      <c r="A4066" s="1" t="str">
        <f>"411327200204021533"</f>
        <v>411327200204021533</v>
      </c>
      <c r="B4066" s="1" t="str">
        <f>"中共党员"</f>
        <v>中共党员</v>
      </c>
      <c r="C4066" s="1" t="str">
        <f>"专科"</f>
        <v>专科</v>
      </c>
      <c r="D4066" s="1" t="str">
        <f>"2023-07-01"</f>
        <v>2023-07-01</v>
      </c>
      <c r="E4066" s="1" t="str">
        <f>"信阳职业技术学院"</f>
        <v>信阳职业技术学院</v>
      </c>
      <c r="F4066" s="1" t="str">
        <f>"酒店管理"</f>
        <v>酒店管理</v>
      </c>
      <c r="G4066" s="1" t="str">
        <f>"河南省南阳市内乡县湍东镇东符营村"</f>
        <v>河南省南阳市内乡县湍东镇东符营村</v>
      </c>
      <c r="H4066" s="1" t="str">
        <f t="shared" si="2015"/>
        <v>无</v>
      </c>
      <c r="I4066" s="1" t="str">
        <f>"202009-202307 信阳职业技术学院 就读
202307-202507  待业"</f>
        <v>202009-202307 信阳职业技术学院 就读
202307-202507  待业</v>
      </c>
    </row>
    <row r="4067" spans="1:9">
      <c r="A4067" s="1" t="str">
        <f>"411302200206220176"</f>
        <v>411302200206220176</v>
      </c>
      <c r="B4067" s="1" t="str">
        <f t="shared" ref="B4067:B4071" si="2016">"共青团员"</f>
        <v>共青团员</v>
      </c>
      <c r="C4067" s="1" t="str">
        <f t="shared" si="2014"/>
        <v>本科</v>
      </c>
      <c r="D4067" s="1" t="str">
        <f>"2024-06-30"</f>
        <v>2024-06-30</v>
      </c>
      <c r="E4067" s="1" t="str">
        <f>"南阳理工学院"</f>
        <v>南阳理工学院</v>
      </c>
      <c r="F4067" s="1" t="str">
        <f>"软件工程"</f>
        <v>软件工程</v>
      </c>
      <c r="G4067" s="1" t="str">
        <f>"河南省南阳市工业路中州村54号"</f>
        <v>河南省南阳市工业路中州村54号</v>
      </c>
      <c r="H4067" s="1" t="str">
        <f t="shared" si="2015"/>
        <v>无</v>
      </c>
      <c r="I4067" s="1" t="str">
        <f>"20201001-20240630 南阳理工学院 计算机与软件学院 软件工程 全日制本科学历
"</f>
        <v>20201001-20240630 南阳理工学院 计算机与软件学院 软件工程 全日制本科学历
</v>
      </c>
    </row>
    <row r="4068" spans="1:9">
      <c r="A4068" s="1" t="str">
        <f>"411102200201300037"</f>
        <v>411102200201300037</v>
      </c>
      <c r="B4068" s="1" t="str">
        <f t="shared" si="2016"/>
        <v>共青团员</v>
      </c>
      <c r="C4068" s="1" t="str">
        <f t="shared" si="2014"/>
        <v>本科</v>
      </c>
      <c r="D4068" s="1" t="str">
        <f>"20200620"</f>
        <v>20200620</v>
      </c>
      <c r="E4068" s="1" t="str">
        <f>"河北工程技术学院"</f>
        <v>河北工程技术学院</v>
      </c>
      <c r="F4068" s="1" t="str">
        <f>"工程造价"</f>
        <v>工程造价</v>
      </c>
      <c r="G4068" s="1" t="str">
        <f>"郾城区嘉业城市花园3期"</f>
        <v>郾城区嘉业城市花园3期</v>
      </c>
      <c r="H4068" s="1" t="str">
        <f t="shared" si="2015"/>
        <v>无</v>
      </c>
      <c r="I4068" s="1" t="str">
        <f>"本人于2017-2020年在漯河市第五高级中学就读，经高考后于2020-2024年在河北工程技术学院建筑与土木学院就读。现有过三次实习经历，分别在北京中瑞岳华工程管理咨询有限公司（上海）、上海港汇建设管理有限公司和上海建工五建集团有限公司工作，有一定的实践经验。"</f>
        <v>本人于2017-2020年在漯河市第五高级中学就读，经高考后于2020-2024年在河北工程技术学院建筑与土木学院就读。现有过三次实习经历，分别在北京中瑞岳华工程管理咨询有限公司（上海）、上海港汇建设管理有限公司和上海建工五建集团有限公司工作，有一定的实践经验。</v>
      </c>
    </row>
    <row r="4069" spans="1:9">
      <c r="A4069" s="1" t="str">
        <f>"41132719960614002X"</f>
        <v>41132719960614002X</v>
      </c>
      <c r="B4069" s="1" t="str">
        <f>"群众"</f>
        <v>群众</v>
      </c>
      <c r="C4069" s="1" t="str">
        <f t="shared" si="2014"/>
        <v>本科</v>
      </c>
      <c r="D4069" s="1" t="str">
        <f>"2018-06-22"</f>
        <v>2018-06-22</v>
      </c>
      <c r="E4069" s="1" t="str">
        <f>"北京电影学院现代创意媒体学院"</f>
        <v>北京电影学院现代创意媒体学院</v>
      </c>
      <c r="F4069" s="1" t="str">
        <f>"戏剧影视文学"</f>
        <v>戏剧影视文学</v>
      </c>
      <c r="G4069" s="1" t="str">
        <f>"河南省南阳市内乡县城关镇北园村白云小区"</f>
        <v>河南省南阳市内乡县城关镇北园村白云小区</v>
      </c>
      <c r="H4069" s="1" t="str">
        <f t="shared" si="2015"/>
        <v>无</v>
      </c>
      <c r="I4069" s="1" t="str">
        <f>"201409---201806就读于北京电影学院现代创意媒体学院
201811---至今于内乡县融媒体中心工作"</f>
        <v>201409---201806就读于北京电影学院现代创意媒体学院
201811---至今于内乡县融媒体中心工作</v>
      </c>
    </row>
    <row r="4070" spans="1:9">
      <c r="A4070" s="1" t="str">
        <f>"411081199912057269"</f>
        <v>411081199912057269</v>
      </c>
      <c r="B4070" s="1" t="str">
        <f t="shared" si="2016"/>
        <v>共青团员</v>
      </c>
      <c r="C4070" s="1" t="str">
        <f t="shared" si="2014"/>
        <v>本科</v>
      </c>
      <c r="D4070" s="1" t="str">
        <f>"20220701"</f>
        <v>20220701</v>
      </c>
      <c r="E4070" s="1" t="str">
        <f>"安阳学院"</f>
        <v>安阳学院</v>
      </c>
      <c r="F4070" s="1" t="str">
        <f>"数学与应用数学"</f>
        <v>数学与应用数学</v>
      </c>
      <c r="G4070" s="1" t="str">
        <f>"河南省禹州市"</f>
        <v>河南省禹州市</v>
      </c>
      <c r="H4070" s="1" t="str">
        <f t="shared" si="2015"/>
        <v>无</v>
      </c>
      <c r="I4070" s="1" t="str">
        <f>"201809-202207安阳学院数理学院数学与应用数学专业就读全日制学历"</f>
        <v>201809-202207安阳学院数理学院数学与应用数学专业就读全日制学历</v>
      </c>
    </row>
    <row r="4071" spans="1:9">
      <c r="A4071" s="1" t="str">
        <f>"420621199510080041"</f>
        <v>420621199510080041</v>
      </c>
      <c r="B4071" s="1" t="str">
        <f t="shared" si="2016"/>
        <v>共青团员</v>
      </c>
      <c r="C4071" s="1" t="str">
        <f>"专科"</f>
        <v>专科</v>
      </c>
      <c r="D4071" s="1" t="str">
        <f>"20190630"</f>
        <v>20190630</v>
      </c>
      <c r="E4071" s="1" t="str">
        <f>"咸宁职业技术学院"</f>
        <v>咸宁职业技术学院</v>
      </c>
      <c r="F4071" s="1" t="str">
        <f>"英语教育（师范类）"</f>
        <v>英语教育（师范类）</v>
      </c>
      <c r="G4071" s="1" t="str">
        <f>"湖北省襄阳市襄州区古驿镇镇府路3号"</f>
        <v>湖北省襄阳市襄州区古驿镇镇府路3号</v>
      </c>
      <c r="H4071" s="1" t="str">
        <f>"小学英语教师资格证"</f>
        <v>小学英语教师资格证</v>
      </c>
      <c r="I4071" s="1" t="str">
        <f>"201309-201606咸宁职业技术学院就读"</f>
        <v>201309-201606咸宁职业技术学院就读</v>
      </c>
    </row>
    <row r="4072" spans="1:9">
      <c r="A4072" s="1" t="str">
        <f>"411330200203021564"</f>
        <v>411330200203021564</v>
      </c>
      <c r="B4072" s="1" t="str">
        <f>"中共党员"</f>
        <v>中共党员</v>
      </c>
      <c r="C4072" s="1" t="str">
        <f t="shared" ref="C4072:C4074" si="2017">"本科"</f>
        <v>本科</v>
      </c>
      <c r="D4072" s="1" t="str">
        <f>"2024年6月15"</f>
        <v>2024年6月15</v>
      </c>
      <c r="E4072" s="1" t="str">
        <f>"黄淮学院"</f>
        <v>黄淮学院</v>
      </c>
      <c r="F4072" s="1" t="str">
        <f>"软件工程"</f>
        <v>软件工程</v>
      </c>
      <c r="G4072" s="1" t="str">
        <f>"南阳市西峡县茶苑小区11号"</f>
        <v>南阳市西峡县茶苑小区11号</v>
      </c>
      <c r="H4072" s="1" t="str">
        <f>"计算机程序设计员等级证书"</f>
        <v>计算机程序设计员等级证书</v>
      </c>
      <c r="I4072" s="1" t="str">
        <f>"2020.9-2024.6 黄淮学院国际教育学院软件工程专业就读 是全日制学历"</f>
        <v>2020.9-2024.6 黄淮学院国际教育学院软件工程专业就读 是全日制学历</v>
      </c>
    </row>
    <row r="4073" spans="1:9">
      <c r="A4073" s="1" t="str">
        <f>"411327200103060023"</f>
        <v>411327200103060023</v>
      </c>
      <c r="B4073" s="1" t="str">
        <f t="shared" ref="B4073:B4077" si="2018">"群众"</f>
        <v>群众</v>
      </c>
      <c r="C4073" s="1" t="str">
        <f t="shared" si="2017"/>
        <v>本科</v>
      </c>
      <c r="D4073" s="1" t="str">
        <f>"20241230"</f>
        <v>20241230</v>
      </c>
      <c r="E4073" s="1" t="str">
        <f>"湖北理工学院"</f>
        <v>湖北理工学院</v>
      </c>
      <c r="F4073" s="1" t="str">
        <f>"工程管理"</f>
        <v>工程管理</v>
      </c>
      <c r="G4073" s="1" t="str">
        <f>"河南省内乡县城关镇南园村"</f>
        <v>河南省内乡县城关镇南园村</v>
      </c>
      <c r="H4073" s="1" t="str">
        <f t="shared" ref="H4073:H4076" si="2019">"无"</f>
        <v>无</v>
      </c>
      <c r="I4073" s="1" t="str">
        <f>"201809-202107 专科就读郑州商学院会计专业 是全日制学历
202109-202312 本科就读于湖北理工学院工程管理专业 非全日制学历
202401-202507 在河南省内乡县待业
"</f>
        <v>201809-202107 专科就读郑州商学院会计专业 是全日制学历
202109-202312 本科就读于湖北理工学院工程管理专业 非全日制学历
202401-202507 在河南省内乡县待业
</v>
      </c>
    </row>
    <row r="4074" spans="1:9">
      <c r="A4074" s="1" t="str">
        <f>"412728199805181819"</f>
        <v>412728199805181819</v>
      </c>
      <c r="B4074" s="1" t="str">
        <f>"中共预备党员"</f>
        <v>中共预备党员</v>
      </c>
      <c r="C4074" s="1" t="str">
        <f t="shared" si="2017"/>
        <v>本科</v>
      </c>
      <c r="D4074" s="1" t="str">
        <f>"20210701"</f>
        <v>20210701</v>
      </c>
      <c r="E4074" s="1" t="str">
        <f>"新乡医学院三全学院"</f>
        <v>新乡医学院三全学院</v>
      </c>
      <c r="F4074" s="1" t="str">
        <f>"市场营销"</f>
        <v>市场营销</v>
      </c>
      <c r="G4074" s="1" t="str">
        <f>"河南省周口市沈丘县洪山乡臧庄行政村李庄"</f>
        <v>河南省周口市沈丘县洪山乡臧庄行政村李庄</v>
      </c>
      <c r="H4074" s="1" t="str">
        <f t="shared" si="2019"/>
        <v>无</v>
      </c>
      <c r="I4074" s="1" t="str">
        <f>"201609-201907 黄河交通学院 经济管理学院 市场营销专业 专科全日制学历
201909-202107 新乡医学院三全学院 健康管理学院 市场营销专业 本科全日制学历"</f>
        <v>201609-201907 黄河交通学院 经济管理学院 市场营销专业 专科全日制学历
201909-202107 新乡医学院三全学院 健康管理学院 市场营销专业 本科全日制学历</v>
      </c>
    </row>
    <row r="4075" spans="1:9">
      <c r="A4075" s="1" t="str">
        <f>"140524199408082047"</f>
        <v>140524199408082047</v>
      </c>
      <c r="B4075" s="1" t="str">
        <f t="shared" si="2018"/>
        <v>群众</v>
      </c>
      <c r="C4075" s="1" t="str">
        <f t="shared" ref="C4075:C4079" si="2020">"专科"</f>
        <v>专科</v>
      </c>
      <c r="D4075" s="1" t="str">
        <f>"20170701"</f>
        <v>20170701</v>
      </c>
      <c r="E4075" s="1" t="str">
        <f>"山西师范大学"</f>
        <v>山西师范大学</v>
      </c>
      <c r="F4075" s="1" t="str">
        <f>"语文教育"</f>
        <v>语文教育</v>
      </c>
      <c r="G4075" s="1" t="str">
        <f>"洛阳市涧西区三山村"</f>
        <v>洛阳市涧西区三山村</v>
      </c>
      <c r="H4075" s="1" t="str">
        <f t="shared" si="2019"/>
        <v>无</v>
      </c>
      <c r="I4075" s="1" t="str">
        <f>"201409-201701 山西师范大学  语文教育专业  全日制
201701-至今，待就业"</f>
        <v>201409-201701 山西师范大学  语文教育专业  全日制
201701-至今，待就业</v>
      </c>
    </row>
    <row r="4076" spans="1:9">
      <c r="A4076" s="1" t="str">
        <f>"370681200201160029"</f>
        <v>370681200201160029</v>
      </c>
      <c r="B4076" s="1" t="str">
        <f t="shared" si="2018"/>
        <v>群众</v>
      </c>
      <c r="C4076" s="1" t="str">
        <f t="shared" ref="C4076:C4087" si="2021">"本科"</f>
        <v>本科</v>
      </c>
      <c r="D4076" s="1" t="str">
        <f>"20250730"</f>
        <v>20250730</v>
      </c>
      <c r="E4076" s="1" t="str">
        <f>"山东女子学院"</f>
        <v>山东女子学院</v>
      </c>
      <c r="F4076" s="1" t="str">
        <f>"国际经济与贸易"</f>
        <v>国际经济与贸易</v>
      </c>
      <c r="G4076" s="1" t="str">
        <f>"山东省烟台市龙口市东莱街道财源小区八号楼二单元一楼西户"</f>
        <v>山东省烟台市龙口市东莱街道财源小区八号楼二单元一楼西户</v>
      </c>
      <c r="H4076" s="1" t="str">
        <f t="shared" si="2019"/>
        <v>无</v>
      </c>
      <c r="I4076" s="1" t="str">
        <f>"20180901—20210630 烟台经济学院 就读国际商务专业全日制
20210901—20230630 烟台职业学院 就读国际商务专业全日制
20230901—20250731 山东女子学院 就读国际经济与贸易专业全日制"</f>
        <v>20180901—20210630 烟台经济学院 就读国际商务专业全日制
20210901—20230630 烟台职业学院 就读国际商务专业全日制
20230901—20250731 山东女子学院 就读国际经济与贸易专业全日制</v>
      </c>
    </row>
    <row r="4077" spans="1:9">
      <c r="A4077" s="1" t="str">
        <f>"370982199811120419"</f>
        <v>370982199811120419</v>
      </c>
      <c r="B4077" s="1" t="str">
        <f t="shared" si="2018"/>
        <v>群众</v>
      </c>
      <c r="C4077" s="1" t="str">
        <f t="shared" si="2020"/>
        <v>专科</v>
      </c>
      <c r="D4077" s="1" t="str">
        <f>"20230720"</f>
        <v>20230720</v>
      </c>
      <c r="E4077" s="1" t="str">
        <f>"国家开放大学"</f>
        <v>国家开放大学</v>
      </c>
      <c r="F4077" s="1" t="str">
        <f>"会计"</f>
        <v>会计</v>
      </c>
      <c r="G4077" s="1" t="str">
        <f>"山东省新泰市园林路89号市政工程处宿舍3号楼3单元301"</f>
        <v>山东省新泰市园林路89号市政工程处宿舍3号楼3单元301</v>
      </c>
      <c r="H4077" s="1" t="str">
        <f>"会计专业技术资格（初级）"</f>
        <v>会计专业技术资格（初级）</v>
      </c>
      <c r="I4077" s="1" t="str">
        <f>"2021-03~2023-07 国家开放大学 会计 非全日制
2023-05~2023-06 新泰市聚成会计服务有限公司 实习会计 
2023-06~2023-09 山东益民装饰工程有限公司 会计 
2023-09~2025-02 待业 
2025-02~今 新泰市公共交通有限公司 驾驶员
"</f>
        <v>2021-03~2023-07 国家开放大学 会计 非全日制
2023-05~2023-06 新泰市聚成会计服务有限公司 实习会计 
2023-06~2023-09 山东益民装饰工程有限公司 会计 
2023-09~2025-02 待业 
2025-02~今 新泰市公共交通有限公司 驾驶员
</v>
      </c>
    </row>
    <row r="4078" spans="1:9">
      <c r="A4078" s="1" t="str">
        <f>"411330199002160810"</f>
        <v>411330199002160810</v>
      </c>
      <c r="B4078" s="1" t="str">
        <f>"中共党员"</f>
        <v>中共党员</v>
      </c>
      <c r="C4078" s="1" t="str">
        <f t="shared" si="2021"/>
        <v>本科</v>
      </c>
      <c r="D4078" s="1" t="str">
        <f>"2018年6月30日"</f>
        <v>2018年6月30日</v>
      </c>
      <c r="E4078" s="1" t="str">
        <f>"河南大学"</f>
        <v>河南大学</v>
      </c>
      <c r="F4078" s="1" t="str">
        <f>"旅游管理"</f>
        <v>旅游管理</v>
      </c>
      <c r="G4078" s="1" t="str">
        <f>"河南省西峡县阳城乡阳城村南营组87号"</f>
        <v>河南省西峡县阳城乡阳城村南营组87号</v>
      </c>
      <c r="H4078" s="1" t="str">
        <f t="shared" ref="H4078:H4080" si="2022">"无"</f>
        <v>无</v>
      </c>
      <c r="I4078" s="1" t="str">
        <f>"1.2010年9月1日~2013年7月1日就读于信阳农林学院旅游管理专业(全日制专科)
2.2013年9月16日~2016年6月20日中国传媒大学播音主持专业(进修)
3.2016年~2018年河南大学旅游管理专业(自考本科)
4.2023年4月10日~2023年12月15日中国传媒大学播音主持专业(进修)"</f>
        <v>1.2010年9月1日~2013年7月1日就读于信阳农林学院旅游管理专业(全日制专科)
2.2013年9月16日~2016年6月20日中国传媒大学播音主持专业(进修)
3.2016年~2018年河南大学旅游管理专业(自考本科)
4.2023年4月10日~2023年12月15日中国传媒大学播音主持专业(进修)</v>
      </c>
    </row>
    <row r="4079" spans="1:9">
      <c r="A4079" s="1" t="str">
        <f>"41132520000916005X"</f>
        <v>41132520000916005X</v>
      </c>
      <c r="B4079" s="1" t="str">
        <f t="shared" ref="B4079:B4083" si="2023">"群众"</f>
        <v>群众</v>
      </c>
      <c r="C4079" s="1" t="str">
        <f t="shared" si="2020"/>
        <v>专科</v>
      </c>
      <c r="D4079" s="1" t="str">
        <f>"20210730"</f>
        <v>20210730</v>
      </c>
      <c r="E4079" s="1" t="str">
        <f>"平顶山工业职业技术学院"</f>
        <v>平顶山工业职业技术学院</v>
      </c>
      <c r="F4079" s="1" t="str">
        <f>"道路桥梁工程技术"</f>
        <v>道路桥梁工程技术</v>
      </c>
      <c r="G4079" s="1" t="str">
        <f>"大成相府"</f>
        <v>大成相府</v>
      </c>
      <c r="H4079" s="1" t="str">
        <f t="shared" si="2022"/>
        <v>无</v>
      </c>
      <c r="I4079" s="1" t="str">
        <f>"201809-20210730就读于平顶山工业职业技术学院
20210730-20230730函授在西安工业大学至今待业"</f>
        <v>201809-20210730就读于平顶山工业职业技术学院
20210730-20230730函授在西安工业大学至今待业</v>
      </c>
    </row>
    <row r="4080" spans="1:9">
      <c r="A4080" s="1" t="str">
        <f>"411324200110025518"</f>
        <v>411324200110025518</v>
      </c>
      <c r="B4080" s="1" t="str">
        <f t="shared" ref="B4080:B4085" si="2024">"中共党员"</f>
        <v>中共党员</v>
      </c>
      <c r="C4080" s="1" t="str">
        <f t="shared" si="2021"/>
        <v>本科</v>
      </c>
      <c r="D4080" s="1" t="str">
        <f>"2022.06"</f>
        <v>2022.06</v>
      </c>
      <c r="E4080" s="1" t="str">
        <f>"郑州大学"</f>
        <v>郑州大学</v>
      </c>
      <c r="F4080" s="1" t="str">
        <f>"运动训练"</f>
        <v>运动训练</v>
      </c>
      <c r="G4080" s="1" t="str">
        <f>"河南省南阳市镇平县电力广场商住中心东楼4单元402"</f>
        <v>河南省南阳市镇平县电力广场商住中心东楼4单元402</v>
      </c>
      <c r="H4080" s="1" t="str">
        <f t="shared" si="2022"/>
        <v>无</v>
      </c>
      <c r="I4080" s="1" t="str">
        <f>"201809-202206郑州大学体育学院运动训练专业就读是全日制
202206-202507在家待业"</f>
        <v>201809-202206郑州大学体育学院运动训练专业就读是全日制
202206-202507在家待业</v>
      </c>
    </row>
    <row r="4081" spans="1:9">
      <c r="A4081" s="1" t="str">
        <f>"411327199711253122"</f>
        <v>411327199711253122</v>
      </c>
      <c r="B4081" s="1" t="str">
        <f t="shared" si="2023"/>
        <v>群众</v>
      </c>
      <c r="C4081" s="1" t="str">
        <f t="shared" si="2021"/>
        <v>本科</v>
      </c>
      <c r="D4081" s="1" t="str">
        <f>"20190701"</f>
        <v>20190701</v>
      </c>
      <c r="E4081" s="1" t="str">
        <f>"平顶山学院"</f>
        <v>平顶山学院</v>
      </c>
      <c r="F4081" s="1" t="str">
        <f>"旅游管理"</f>
        <v>旅游管理</v>
      </c>
      <c r="G4081" s="1" t="str">
        <f>"河南省南阳市内乡县夏馆镇"</f>
        <v>河南省南阳市内乡县夏馆镇</v>
      </c>
      <c r="H4081" s="1" t="str">
        <f>"初级导游证"</f>
        <v>初级导游证</v>
      </c>
      <c r="I4081" s="1" t="str">
        <f>"20150913-20190701 平顶山学院旅游与规划学院旅游管理专业  就读
20190702-20210719 北京辉腾国际旅行社有限公司  计调
20210720-20220622 河南省南阳市内乡县夏馆镇  待业
20220623至今 内乡郦都学校 教师"</f>
        <v>20150913-20190701 平顶山学院旅游与规划学院旅游管理专业  就读
20190702-20210719 北京辉腾国际旅行社有限公司  计调
20210720-20220622 河南省南阳市内乡县夏馆镇  待业
20220623至今 内乡郦都学校 教师</v>
      </c>
    </row>
    <row r="4082" spans="1:9">
      <c r="A4082" s="1" t="str">
        <f>"410603200204091018"</f>
        <v>410603200204091018</v>
      </c>
      <c r="B4082" s="1" t="str">
        <f t="shared" si="2023"/>
        <v>群众</v>
      </c>
      <c r="C4082" s="1" t="str">
        <f t="shared" si="2021"/>
        <v>本科</v>
      </c>
      <c r="D4082" s="1" t="str">
        <f>"20240630"</f>
        <v>20240630</v>
      </c>
      <c r="E4082" s="1" t="str">
        <f>"长安大学"</f>
        <v>长安大学</v>
      </c>
      <c r="F4082" s="1" t="str">
        <f>"数学与应用数学"</f>
        <v>数学与应用数学</v>
      </c>
      <c r="G4082" s="1" t="str">
        <f>"河南省安阳林州市采桑镇宋老于村"</f>
        <v>河南省安阳林州市采桑镇宋老于村</v>
      </c>
      <c r="H4082" s="1" t="str">
        <f t="shared" ref="H4082:H4085" si="2025">"无"</f>
        <v>无</v>
      </c>
      <c r="I4082" s="1" t="str">
        <f>"202009-202406 长安大学就读 数学与应用数学 全日制
202407-至今      河南安阳待业"</f>
        <v>202009-202406 长安大学就读 数学与应用数学 全日制
202407-至今      河南安阳待业</v>
      </c>
    </row>
    <row r="4083" spans="1:9">
      <c r="A4083" s="1" t="str">
        <f>"410482200110228233"</f>
        <v>410482200110228233</v>
      </c>
      <c r="B4083" s="1" t="str">
        <f t="shared" si="2023"/>
        <v>群众</v>
      </c>
      <c r="C4083" s="1" t="str">
        <f t="shared" si="2021"/>
        <v>本科</v>
      </c>
      <c r="D4083" s="1" t="str">
        <f>"20240625"</f>
        <v>20240625</v>
      </c>
      <c r="E4083" s="1" t="str">
        <f>"河南财政金融学院"</f>
        <v>河南财政金融学院</v>
      </c>
      <c r="F4083" s="1" t="str">
        <f>"智能科学与技术"</f>
        <v>智能科学与技术</v>
      </c>
      <c r="G4083" s="1" t="str">
        <f>"河南省平顶山汝州市中洋汽修西一街二排六号"</f>
        <v>河南省平顶山汝州市中洋汽修西一街二排六号</v>
      </c>
      <c r="H4083" s="1" t="str">
        <f t="shared" si="2025"/>
        <v>无</v>
      </c>
      <c r="I4083" s="1" t="str">
        <f>"202009-202406 河南财政金融学院 计算机与人工智能学院 智能科学与技术专业就读 全日制学历。
202406至今处于待业状态。"</f>
        <v>202009-202406 河南财政金融学院 计算机与人工智能学院 智能科学与技术专业就读 全日制学历。
202406至今处于待业状态。</v>
      </c>
    </row>
    <row r="4084" spans="1:9">
      <c r="A4084" s="1" t="str">
        <f>"411302200003213769"</f>
        <v>411302200003213769</v>
      </c>
      <c r="B4084" s="1" t="str">
        <f t="shared" si="2024"/>
        <v>中共党员</v>
      </c>
      <c r="C4084" s="1" t="str">
        <f t="shared" si="2021"/>
        <v>本科</v>
      </c>
      <c r="D4084" s="1" t="str">
        <f>"20220701"</f>
        <v>20220701</v>
      </c>
      <c r="E4084" s="1" t="str">
        <f>"南阳理工学院"</f>
        <v>南阳理工学院</v>
      </c>
      <c r="F4084" s="1" t="str">
        <f>"广播电视编导"</f>
        <v>广播电视编导</v>
      </c>
      <c r="G4084" s="1" t="str">
        <f>"河南省南阳市卧龙区亚龙盛世嘉园"</f>
        <v>河南省南阳市卧龙区亚龙盛世嘉园</v>
      </c>
      <c r="H4084" s="1" t="str">
        <f t="shared" si="2025"/>
        <v>无</v>
      </c>
      <c r="I4084" s="1" t="str">
        <f>"201809-202207 南阳理工学院传媒学院广播电视编导专业就读 
202208至今待业"</f>
        <v>201809-202207 南阳理工学院传媒学院广播电视编导专业就读 
202208至今待业</v>
      </c>
    </row>
    <row r="4085" spans="1:9">
      <c r="A4085" s="1" t="str">
        <f>"411327199607280016"</f>
        <v>411327199607280016</v>
      </c>
      <c r="B4085" s="1" t="str">
        <f t="shared" si="2024"/>
        <v>中共党员</v>
      </c>
      <c r="C4085" s="1" t="str">
        <f t="shared" si="2021"/>
        <v>本科</v>
      </c>
      <c r="D4085" s="1" t="str">
        <f>"20180701"</f>
        <v>20180701</v>
      </c>
      <c r="E4085" s="1" t="str">
        <f>"东北石油大学"</f>
        <v>东北石油大学</v>
      </c>
      <c r="F4085" s="1" t="str">
        <f>"电子科学与技术"</f>
        <v>电子科学与技术</v>
      </c>
      <c r="G4085" s="1" t="str">
        <f>"河南省南阳市内乡县城关镇大成西路十八巷11排2号"</f>
        <v>河南省南阳市内乡县城关镇大成西路十八巷11排2号</v>
      </c>
      <c r="H4085" s="1" t="str">
        <f t="shared" si="2025"/>
        <v>无</v>
      </c>
      <c r="I4085" s="1" t="str">
        <f>"201409-201807 东北石油大学 就读。
201807-202104 待业。
202104-至今 内乡县融媒体中心 工作。"</f>
        <v>201409-201807 东北石油大学 就读。
201807-202104 待业。
202104-至今 内乡县融媒体中心 工作。</v>
      </c>
    </row>
    <row r="4086" spans="1:9">
      <c r="A4086" s="1" t="str">
        <f>"411526200403164849"</f>
        <v>411526200403164849</v>
      </c>
      <c r="B4086" s="1" t="str">
        <f t="shared" ref="B4086:B4090" si="2026">"群众"</f>
        <v>群众</v>
      </c>
      <c r="C4086" s="1" t="str">
        <f t="shared" si="2021"/>
        <v>本科</v>
      </c>
      <c r="D4086" s="1" t="str">
        <f>"20250701"</f>
        <v>20250701</v>
      </c>
      <c r="E4086" s="1" t="str">
        <f>"郑州升达经贸管理学院"</f>
        <v>郑州升达经贸管理学院</v>
      </c>
      <c r="F4086" s="1" t="str">
        <f>"会计学"</f>
        <v>会计学</v>
      </c>
      <c r="G4086" s="1" t="str">
        <f>"河南省信阳市潢川县"</f>
        <v>河南省信阳市潢川县</v>
      </c>
      <c r="H4086" s="1" t="str">
        <f>"初级会计职称资格证书"</f>
        <v>初级会计职称资格证书</v>
      </c>
      <c r="I4086" s="1" t="str">
        <f>"202109-202507 郑州升达经贸管理学院会计学院会计学专业 就读  全日制"</f>
        <v>202109-202507 郑州升达经贸管理学院会计学院会计学专业 就读  全日制</v>
      </c>
    </row>
    <row r="4087" spans="1:9">
      <c r="A4087" s="1" t="str">
        <f>"411330200203020529"</f>
        <v>411330200203020529</v>
      </c>
      <c r="B4087" s="1" t="str">
        <f>"共青团员"</f>
        <v>共青团员</v>
      </c>
      <c r="C4087" s="1" t="str">
        <f t="shared" si="2021"/>
        <v>本科</v>
      </c>
      <c r="D4087" s="1" t="str">
        <f>"2024-07-10"</f>
        <v>2024-07-10</v>
      </c>
      <c r="E4087" s="1" t="str">
        <f>"河南师范大学"</f>
        <v>河南师范大学</v>
      </c>
      <c r="F4087" s="1" t="str">
        <f>"会计学"</f>
        <v>会计学</v>
      </c>
      <c r="G4087" s="1" t="str">
        <f>"河南省南阳市西峡县"</f>
        <v>河南省南阳市西峡县</v>
      </c>
      <c r="H4087" s="1" t="str">
        <f>"初级会计证书"</f>
        <v>初级会计证书</v>
      </c>
      <c r="I4087" s="1" t="str">
        <f>"202009-202407  河南师范大学会计学专业在读  全日制"</f>
        <v>202009-202407  河南师范大学会计学专业在读  全日制</v>
      </c>
    </row>
    <row r="4088" spans="1:9">
      <c r="A4088" s="1" t="str">
        <f>"411327200303044933"</f>
        <v>411327200303044933</v>
      </c>
      <c r="B4088" s="1" t="str">
        <f t="shared" si="2026"/>
        <v>群众</v>
      </c>
      <c r="C4088" s="1" t="str">
        <f>"专科"</f>
        <v>专科</v>
      </c>
      <c r="D4088" s="1" t="str">
        <f>"2024-07-01"</f>
        <v>2024-07-01</v>
      </c>
      <c r="E4088" s="1" t="str">
        <f>"河南工业职业技术学院"</f>
        <v>河南工业职业技术学院</v>
      </c>
      <c r="F4088" s="1" t="str">
        <f>"电气自动化技术"</f>
        <v>电气自动化技术</v>
      </c>
      <c r="G4088" s="1" t="str">
        <f>"河南省南阳市内乡县书院路东风村"</f>
        <v>河南省南阳市内乡县书院路东风村</v>
      </c>
      <c r="H4088" s="1" t="str">
        <f t="shared" ref="H4088:H4093" si="2027">"无"</f>
        <v>无</v>
      </c>
      <c r="I4088" s="1" t="str">
        <f>"2021.9.1-2024.7.1 河南工业职业技术学院就读 自动化工程学院电气自动化技术专业就读 全日制大专"</f>
        <v>2021.9.1-2024.7.1 河南工业职业技术学院就读 自动化工程学院电气自动化技术专业就读 全日制大专</v>
      </c>
    </row>
    <row r="4089" spans="1:9">
      <c r="A4089" s="1" t="str">
        <f>"411327200101200037"</f>
        <v>411327200101200037</v>
      </c>
      <c r="B4089" s="1" t="str">
        <f>"共青团员"</f>
        <v>共青团员</v>
      </c>
      <c r="C4089" s="1" t="str">
        <f>"专科"</f>
        <v>专科</v>
      </c>
      <c r="D4089" s="1" t="str">
        <f t="shared" ref="D4089:D4094" si="2028">"20220701"</f>
        <v>20220701</v>
      </c>
      <c r="E4089" s="1" t="str">
        <f>"新乡医学院三全学院"</f>
        <v>新乡医学院三全学院</v>
      </c>
      <c r="F4089" s="1" t="str">
        <f>"眼视光技术"</f>
        <v>眼视光技术</v>
      </c>
      <c r="G4089" s="1" t="str">
        <f>"河南省南阳市内乡县城关镇宏达南路"</f>
        <v>河南省南阳市内乡县城关镇宏达南路</v>
      </c>
      <c r="H4089" s="1" t="str">
        <f>"眼镜定配工，眼镜验光员"</f>
        <v>眼镜定配工，眼镜验光员</v>
      </c>
      <c r="I4089" s="1" t="str">
        <f>"201909-202207，新乡医学院三全学院就读"</f>
        <v>201909-202207，新乡医学院三全学院就读</v>
      </c>
    </row>
    <row r="4090" spans="1:9">
      <c r="A4090" s="1" t="str">
        <f>"411327199601052573"</f>
        <v>411327199601052573</v>
      </c>
      <c r="B4090" s="1" t="str">
        <f t="shared" si="2026"/>
        <v>群众</v>
      </c>
      <c r="C4090" s="1" t="str">
        <f t="shared" ref="C4090:C4094" si="2029">"本科"</f>
        <v>本科</v>
      </c>
      <c r="D4090" s="1" t="str">
        <f>"20180628"</f>
        <v>20180628</v>
      </c>
      <c r="E4090" s="1" t="str">
        <f>"山东科技大学"</f>
        <v>山东科技大学</v>
      </c>
      <c r="F4090" s="1" t="str">
        <f>"交通工程"</f>
        <v>交通工程</v>
      </c>
      <c r="G4090" s="1" t="str">
        <f>"河南省南阳市内乡县王店镇"</f>
        <v>河南省南阳市内乡县王店镇</v>
      </c>
      <c r="H4090" s="1" t="str">
        <f t="shared" si="2027"/>
        <v>无</v>
      </c>
      <c r="I4090" s="1" t="str">
        <f>"201409-201806山东科技大学交通学院交通工程就读，是全日制学历；201807-202302中铁建工集团西南分公司就业；202302-202507在内乡县待业。"</f>
        <v>201409-201806山东科技大学交通学院交通工程就读，是全日制学历；201807-202302中铁建工集团西南分公司就业；202302-202507在内乡县待业。</v>
      </c>
    </row>
    <row r="4091" spans="1:9">
      <c r="A4091" s="1" t="str">
        <f>"411522199905060918"</f>
        <v>411522199905060918</v>
      </c>
      <c r="B4091" s="1" t="str">
        <f t="shared" ref="B4091:B4095" si="2030">"中共党员"</f>
        <v>中共党员</v>
      </c>
      <c r="C4091" s="1" t="str">
        <f t="shared" si="2029"/>
        <v>本科</v>
      </c>
      <c r="D4091" s="1" t="str">
        <f t="shared" si="2028"/>
        <v>20220701</v>
      </c>
      <c r="E4091" s="1" t="str">
        <f>"河南科技学院"</f>
        <v>河南科技学院</v>
      </c>
      <c r="F4091" s="1" t="str">
        <f>"市场营销"</f>
        <v>市场营销</v>
      </c>
      <c r="G4091" s="1" t="str">
        <f>"河南省信阳市光山县寨河镇东林超市"</f>
        <v>河南省信阳市光山县寨河镇东林超市</v>
      </c>
      <c r="H4091" s="1" t="str">
        <f t="shared" si="2027"/>
        <v>无</v>
      </c>
      <c r="I4091" s="1" t="str">
        <f>"201809-202206 河南科技学院  经济与管理学院市场营销专业就读 全日制。202207-202306 信阳市光山县 待业考研。202307-2023-12  杭州至绘图文广告有限公司  职员。202401-至今 信阳市光山县 待业考公考编。"</f>
        <v>201809-202206 河南科技学院  经济与管理学院市场营销专业就读 全日制。202207-202306 信阳市光山县 待业考研。202307-2023-12  杭州至绘图文广告有限公司  职员。202401-至今 信阳市光山县 待业考公考编。</v>
      </c>
    </row>
    <row r="4092" spans="1:9">
      <c r="A4092" s="1" t="str">
        <f>"411327199805020012"</f>
        <v>411327199805020012</v>
      </c>
      <c r="B4092" s="1" t="str">
        <f t="shared" si="2030"/>
        <v>中共党员</v>
      </c>
      <c r="C4092" s="1" t="str">
        <f t="shared" si="2029"/>
        <v>本科</v>
      </c>
      <c r="D4092" s="1" t="str">
        <f>"20210701"</f>
        <v>20210701</v>
      </c>
      <c r="E4092" s="1" t="str">
        <f>"中原工学院"</f>
        <v>中原工学院</v>
      </c>
      <c r="F4092" s="1" t="str">
        <f>"软件工程"</f>
        <v>软件工程</v>
      </c>
      <c r="G4092" s="1" t="str">
        <f>"河南省南阳市内乡县城关镇北园村一组"</f>
        <v>河南省南阳市内乡县城关镇北园村一组</v>
      </c>
      <c r="H4092" s="1" t="str">
        <f t="shared" si="2027"/>
        <v>无</v>
      </c>
      <c r="I4092" s="1" t="str">
        <f>"2004.09-2010.06内乡县第三小学
2010.09-2013.06内乡县初级中学
2013.09-2016.06内乡县高级中学
2016.09-2021.06中原工学院（软件工程）（全日制）"</f>
        <v>2004.09-2010.06内乡县第三小学
2010.09-2013.06内乡县初级中学
2013.09-2016.06内乡县高级中学
2016.09-2021.06中原工学院（软件工程）（全日制）</v>
      </c>
    </row>
    <row r="4093" spans="1:9">
      <c r="A4093" s="1" t="str">
        <f>"411303199706266809"</f>
        <v>411303199706266809</v>
      </c>
      <c r="B4093" s="1" t="str">
        <f t="shared" si="2030"/>
        <v>中共党员</v>
      </c>
      <c r="C4093" s="1" t="str">
        <f t="shared" si="2029"/>
        <v>本科</v>
      </c>
      <c r="D4093" s="1" t="str">
        <f>"20210630"</f>
        <v>20210630</v>
      </c>
      <c r="E4093" s="1" t="str">
        <f>"武汉工程大学继续教育学院"</f>
        <v>武汉工程大学继续教育学院</v>
      </c>
      <c r="F4093" s="1" t="str">
        <f>"会计学"</f>
        <v>会计学</v>
      </c>
      <c r="G4093" s="1" t="str">
        <f>"河南省南阳市卧龙区石桥镇龙窝夏庄村"</f>
        <v>河南省南阳市卧龙区石桥镇龙窝夏庄村</v>
      </c>
      <c r="H4093" s="1" t="str">
        <f t="shared" si="2027"/>
        <v>无</v>
      </c>
      <c r="I4093" s="1" t="str">
        <f>"201609-202106武汉工程大学继续教育学院会计学专业非全"</f>
        <v>201609-202106武汉工程大学继续教育学院会计学专业非全</v>
      </c>
    </row>
    <row r="4094" spans="1:9">
      <c r="A4094" s="1" t="str">
        <f>"411330199903104066"</f>
        <v>411330199903104066</v>
      </c>
      <c r="B4094" s="1" t="str">
        <f t="shared" si="2030"/>
        <v>中共党员</v>
      </c>
      <c r="C4094" s="1" t="str">
        <f t="shared" si="2029"/>
        <v>本科</v>
      </c>
      <c r="D4094" s="1" t="str">
        <f t="shared" si="2028"/>
        <v>20220701</v>
      </c>
      <c r="E4094" s="1" t="str">
        <f>"河南财经政法大学"</f>
        <v>河南财经政法大学</v>
      </c>
      <c r="F4094" s="1" t="str">
        <f>"法学"</f>
        <v>法学</v>
      </c>
      <c r="G4094" s="1" t="str">
        <f>"河南省南阳市西峡县桑坪镇张庄村"</f>
        <v>河南省南阳市西峡县桑坪镇张庄村</v>
      </c>
      <c r="H4094" s="1" t="str">
        <f>"法律职业资格证A证"</f>
        <v>法律职业资格证A证</v>
      </c>
      <c r="I4094" s="1" t="str">
        <f>"201809-202207 河南财经政法大学 就读"</f>
        <v>201809-202207 河南财经政法大学 就读</v>
      </c>
    </row>
    <row r="4095" spans="1:9">
      <c r="A4095" s="1" t="str">
        <f>"411302200110300016"</f>
        <v>411302200110300016</v>
      </c>
      <c r="B4095" s="1" t="str">
        <f t="shared" si="2030"/>
        <v>中共党员</v>
      </c>
      <c r="C4095" s="1" t="str">
        <f>"专科"</f>
        <v>专科</v>
      </c>
      <c r="D4095" s="1" t="str">
        <f>"2023.06"</f>
        <v>2023.06</v>
      </c>
      <c r="E4095" s="1" t="str">
        <f>"河南科技职业大学"</f>
        <v>河南科技职业大学</v>
      </c>
      <c r="F4095" s="1" t="str">
        <f>"医学检验技术"</f>
        <v>医学检验技术</v>
      </c>
      <c r="G4095" s="1" t="str">
        <f>"河南省南阳市宛城区新店乡新店村新店4组781号"</f>
        <v>河南省南阳市宛城区新店乡新店村新店4组781号</v>
      </c>
      <c r="H4095" s="1" t="str">
        <f t="shared" ref="H4095:H4116" si="2031">"无"</f>
        <v>无</v>
      </c>
      <c r="I4095" s="1" t="str">
        <f>"2020.09-2023.06  毕业于河南科技职业大学全日制大专  专业医学检验技术
2023.06-至今待业"</f>
        <v>2020.09-2023.06  毕业于河南科技职业大学全日制大专  专业医学检验技术
2023.06-至今待业</v>
      </c>
    </row>
    <row r="4096" spans="1:9">
      <c r="A4096" s="1" t="str">
        <f>"320382199712105238"</f>
        <v>320382199712105238</v>
      </c>
      <c r="B4096" s="1" t="str">
        <f>"共青团员"</f>
        <v>共青团员</v>
      </c>
      <c r="C4096" s="1" t="str">
        <f t="shared" ref="C4096:C4100" si="2032">"本科"</f>
        <v>本科</v>
      </c>
      <c r="D4096" s="1" t="str">
        <f>"20210610"</f>
        <v>20210610</v>
      </c>
      <c r="E4096" s="1" t="str">
        <f>"南京航空航天大学金城学院"</f>
        <v>南京航空航天大学金城学院</v>
      </c>
      <c r="F4096" s="1" t="str">
        <f>"工商管理"</f>
        <v>工商管理</v>
      </c>
      <c r="G4096" s="1" t="str">
        <f>"江苏省邳州市车辐山镇山南村山前组165号"</f>
        <v>江苏省邳州市车辐山镇山南村山前组165号</v>
      </c>
      <c r="H4096" s="1" t="str">
        <f t="shared" si="2031"/>
        <v>无</v>
      </c>
      <c r="I4096" s="1" t="str">
        <f>"201709-202106 南京航空航天大学金城学院工商管理专业就读，取得全日制本科学历；
202106毕业至今未落实工作单位。"</f>
        <v>201709-202106 南京航空航天大学金城学院工商管理专业就读，取得全日制本科学历；
202106毕业至今未落实工作单位。</v>
      </c>
    </row>
    <row r="4097" spans="1:9">
      <c r="A4097" s="1" t="str">
        <f>"411381200109063514"</f>
        <v>411381200109063514</v>
      </c>
      <c r="B4097" s="1" t="str">
        <f>"共青团员"</f>
        <v>共青团员</v>
      </c>
      <c r="C4097" s="1" t="str">
        <f t="shared" si="2032"/>
        <v>本科</v>
      </c>
      <c r="D4097" s="1" t="str">
        <f>"20250701"</f>
        <v>20250701</v>
      </c>
      <c r="E4097" s="1" t="str">
        <f>"黄河交通学院"</f>
        <v>黄河交通学院</v>
      </c>
      <c r="F4097" s="1" t="str">
        <f>"数字媒体艺术"</f>
        <v>数字媒体艺术</v>
      </c>
      <c r="G4097" s="1" t="str">
        <f>"河南省邓州市花洲街道办事处教育路南段"</f>
        <v>河南省邓州市花洲街道办事处教育路南段</v>
      </c>
      <c r="H4097" s="1" t="str">
        <f t="shared" si="2031"/>
        <v>无</v>
      </c>
      <c r="I4097" s="1" t="str">
        <f>"202009-202307  河南轻工职业学院 艺术设计系 展示艺术设计专业 就读 是全日制学历
202309-202507  黄河交通学院 艺术设计学院 数字媒体艺术专业 就读 是全日制学历"</f>
        <v>202009-202307  河南轻工职业学院 艺术设计系 展示艺术设计专业 就读 是全日制学历
202309-202507  黄河交通学院 艺术设计学院 数字媒体艺术专业 就读 是全日制学历</v>
      </c>
    </row>
    <row r="4098" spans="1:9">
      <c r="A4098" s="1" t="str">
        <f>"46000619991126781X"</f>
        <v>46000619991126781X</v>
      </c>
      <c r="B4098" s="1" t="str">
        <f t="shared" ref="B4098:B4105" si="2033">"群众"</f>
        <v>群众</v>
      </c>
      <c r="C4098" s="1" t="str">
        <f t="shared" si="2032"/>
        <v>本科</v>
      </c>
      <c r="D4098" s="1" t="str">
        <f>"20210630"</f>
        <v>20210630</v>
      </c>
      <c r="E4098" s="1" t="str">
        <f>"三亚学院"</f>
        <v>三亚学院</v>
      </c>
      <c r="F4098" s="1" t="str">
        <f>"会计学"</f>
        <v>会计学</v>
      </c>
      <c r="G4098" s="1" t="str">
        <f>"河南省南阳市内乡县城管镇东风村7队"</f>
        <v>河南省南阳市内乡县城管镇东风村7队</v>
      </c>
      <c r="H4098" s="1" t="str">
        <f t="shared" si="2031"/>
        <v>无</v>
      </c>
      <c r="I4098" s="1" t="str">
        <f>"2017年9月-2021年6月 三亚学院 财经学院 会计学 全日制学历 学生
2022年3月-2024年3月 31628部队 义务兵
2024年3月-至今 待业  "</f>
        <v>2017年9月-2021年6月 三亚学院 财经学院 会计学 全日制学历 学生
2022年3月-2024年3月 31628部队 义务兵
2024年3月-至今 待业  </v>
      </c>
    </row>
    <row r="4099" spans="1:9">
      <c r="A4099" s="1" t="str">
        <f>"412821200104225352"</f>
        <v>412821200104225352</v>
      </c>
      <c r="B4099" s="1" t="str">
        <f t="shared" si="2033"/>
        <v>群众</v>
      </c>
      <c r="C4099" s="1" t="str">
        <f t="shared" si="2032"/>
        <v>本科</v>
      </c>
      <c r="D4099" s="1" t="str">
        <f>"20240605"</f>
        <v>20240605</v>
      </c>
      <c r="E4099" s="1" t="str">
        <f>"中原科技学院"</f>
        <v>中原科技学院</v>
      </c>
      <c r="F4099" s="1" t="str">
        <f>"工程造价"</f>
        <v>工程造价</v>
      </c>
      <c r="G4099" s="1" t="str">
        <f>"河南省驻马店市确山县新安店镇"</f>
        <v>河南省驻马店市确山县新安店镇</v>
      </c>
      <c r="H4099" s="1" t="str">
        <f t="shared" si="2031"/>
        <v>无</v>
      </c>
      <c r="I4099" s="1" t="str">
        <f>"201909-202206 河南工程学院 国际教育学院 工程造价
202209-202406 中原科技学院 土木建筑学院 工程造价"</f>
        <v>201909-202206 河南工程学院 国际教育学院 工程造价
202209-202406 中原科技学院 土木建筑学院 工程造价</v>
      </c>
    </row>
    <row r="4100" spans="1:9">
      <c r="A4100" s="1" t="str">
        <f>"411324200009100042"</f>
        <v>411324200009100042</v>
      </c>
      <c r="B4100" s="1" t="str">
        <f t="shared" si="2033"/>
        <v>群众</v>
      </c>
      <c r="C4100" s="1" t="str">
        <f t="shared" si="2032"/>
        <v>本科</v>
      </c>
      <c r="D4100" s="1" t="str">
        <f>"20240701"</f>
        <v>20240701</v>
      </c>
      <c r="E4100" s="1" t="str">
        <f>"河南师范大学"</f>
        <v>河南师范大学</v>
      </c>
      <c r="F4100" s="1" t="str">
        <f>"汉语言文学"</f>
        <v>汉语言文学</v>
      </c>
      <c r="G4100" s="1" t="str">
        <f>"河南省镇平县银都兰庭小区"</f>
        <v>河南省镇平县银都兰庭小区</v>
      </c>
      <c r="H4100" s="1" t="str">
        <f t="shared" si="2031"/>
        <v>无</v>
      </c>
      <c r="I4100" s="1" t="str">
        <f>"201809-202106 郑州科技学院会计专业就读，是全日制学历；
202106-202203在家待业；
202203-202407 河南师范大学汉语言文学专业就读，不是全日制学历；
202407-至今在南阳市就业"</f>
        <v>201809-202106 郑州科技学院会计专业就读，是全日制学历；
202106-202203在家待业；
202203-202407 河南师范大学汉语言文学专业就读，不是全日制学历；
202407-至今在南阳市就业</v>
      </c>
    </row>
    <row r="4101" spans="1:9">
      <c r="A4101" s="1" t="str">
        <f>"411327199801050046"</f>
        <v>411327199801050046</v>
      </c>
      <c r="B4101" s="1" t="str">
        <f t="shared" si="2033"/>
        <v>群众</v>
      </c>
      <c r="C4101" s="1" t="str">
        <f>"专科"</f>
        <v>专科</v>
      </c>
      <c r="D4101" s="1" t="str">
        <f>"20180701"</f>
        <v>20180701</v>
      </c>
      <c r="E4101" s="1" t="str">
        <f>"郑州升达经贸管理学院"</f>
        <v>郑州升达经贸管理学院</v>
      </c>
      <c r="F4101" s="1" t="str">
        <f>"会计电算化"</f>
        <v>会计电算化</v>
      </c>
      <c r="G4101" s="1" t="str">
        <f>"内乡县实验高中向东100米"</f>
        <v>内乡县实验高中向东100米</v>
      </c>
      <c r="H4101" s="1" t="str">
        <f t="shared" si="2031"/>
        <v>无</v>
      </c>
      <c r="I4101" s="1" t="str">
        <f>"201509-201807郑州升达经贸管理学院 就读
201809-201903河南万和居房地产公司职员
201904-202207《中华志愿者》杂志社职员
202208-202210待业
202211-至今医疗数字传媒科技（北京）有限公司职员"</f>
        <v>201509-201807郑州升达经贸管理学院 就读
201809-201903河南万和居房地产公司职员
201904-202207《中华志愿者》杂志社职员
202208-202210待业
202211-至今医疗数字传媒科技（北京）有限公司职员</v>
      </c>
    </row>
    <row r="4102" spans="1:9">
      <c r="A4102" s="1" t="str">
        <f>"411327199904160010"</f>
        <v>411327199904160010</v>
      </c>
      <c r="B4102" s="1" t="str">
        <f t="shared" si="2033"/>
        <v>群众</v>
      </c>
      <c r="C4102" s="1" t="str">
        <f t="shared" ref="C4102:C4109" si="2034">"本科"</f>
        <v>本科</v>
      </c>
      <c r="D4102" s="1" t="str">
        <f>"2021-07-01"</f>
        <v>2021-07-01</v>
      </c>
      <c r="E4102" s="1" t="str">
        <f>"华北水利水电大学"</f>
        <v>华北水利水电大学</v>
      </c>
      <c r="F4102" s="1" t="str">
        <f>"交通工程"</f>
        <v>交通工程</v>
      </c>
      <c r="G4102" s="1" t="str">
        <f>"河南省南阳市内乡县红学村"</f>
        <v>河南省南阳市内乡县红学村</v>
      </c>
      <c r="H4102" s="1" t="str">
        <f t="shared" si="2031"/>
        <v>无</v>
      </c>
      <c r="I4102" s="1" t="str">
        <f>"201707-202107 华北水利水电大学，土木与交通学院交通工程就读，全日制学历。
202107-202406 从事于中建七局交通公司中原分公司。
202407-至今      在河南省南阳市内乡县待业。"</f>
        <v>201707-202107 华北水利水电大学，土木与交通学院交通工程就读，全日制学历。
202107-202406 从事于中建七局交通公司中原分公司。
202407-至今      在河南省南阳市内乡县待业。</v>
      </c>
    </row>
    <row r="4103" spans="1:9">
      <c r="A4103" s="1" t="str">
        <f>"411330199308010532"</f>
        <v>411330199308010532</v>
      </c>
      <c r="B4103" s="1" t="str">
        <f t="shared" si="2033"/>
        <v>群众</v>
      </c>
      <c r="C4103" s="1" t="str">
        <f t="shared" si="2034"/>
        <v>本科</v>
      </c>
      <c r="D4103" s="1" t="str">
        <f>"20170607"</f>
        <v>20170607</v>
      </c>
      <c r="E4103" s="1" t="str">
        <f>"南阳理工学院"</f>
        <v>南阳理工学院</v>
      </c>
      <c r="F4103" s="1" t="str">
        <f>"工商管理"</f>
        <v>工商管理</v>
      </c>
      <c r="G4103" s="1" t="str">
        <f>"河南省南阳市西峡县田关镇"</f>
        <v>河南省南阳市西峡县田关镇</v>
      </c>
      <c r="H4103" s="1" t="str">
        <f t="shared" si="2031"/>
        <v>无</v>
      </c>
      <c r="I4103" s="1" t="str">
        <f>"201309-201709南阳理工学院经济与管理学院工商管理专业就读，是全日制学历；201702-201801深圳链家工作；201803-201910郑州弈学园工作；201911-202205郑州58同城工作；202206-202302郑州自由职业；202303-202305西峡飞龙特种铸造工作；202306-至今陕西特变工作"</f>
        <v>201309-201709南阳理工学院经济与管理学院工商管理专业就读，是全日制学历；201702-201801深圳链家工作；201803-201910郑州弈学园工作；201911-202205郑州58同城工作；202206-202302郑州自由职业；202303-202305西峡飞龙特种铸造工作；202306-至今陕西特变工作</v>
      </c>
    </row>
    <row r="4104" spans="1:9">
      <c r="A4104" s="1" t="str">
        <f>"411327200105230030"</f>
        <v>411327200105230030</v>
      </c>
      <c r="B4104" s="1" t="str">
        <f t="shared" si="2033"/>
        <v>群众</v>
      </c>
      <c r="C4104" s="1" t="str">
        <f t="shared" si="2034"/>
        <v>本科</v>
      </c>
      <c r="D4104" s="1" t="str">
        <f>"20250620"</f>
        <v>20250620</v>
      </c>
      <c r="E4104" s="1" t="str">
        <f>"洛阳理工学院"</f>
        <v>洛阳理工学院</v>
      </c>
      <c r="F4104" s="1" t="str">
        <f>"电子商务"</f>
        <v>电子商务</v>
      </c>
      <c r="G4104" s="1" t="str">
        <f>"河南省南阳市内乡县城关镇渚阳大街340号"</f>
        <v>河南省南阳市内乡县城关镇渚阳大街340号</v>
      </c>
      <c r="H4104" s="1" t="str">
        <f t="shared" si="2031"/>
        <v>无</v>
      </c>
      <c r="I4104" s="1" t="str">
        <f>"201809-202107  南阳农业职业学院经济管理学院电子商务专业 就读
202009-202209 参军
202209-202309 洛阳理工学院经济管理学院电子商务专业 就读
202506-              待业"</f>
        <v>201809-202107  南阳农业职业学院经济管理学院电子商务专业 就读
202009-202209 参军
202209-202309 洛阳理工学院经济管理学院电子商务专业 就读
202506-              待业</v>
      </c>
    </row>
    <row r="4105" spans="1:9">
      <c r="A4105" s="1" t="str">
        <f>"411327199611150011"</f>
        <v>411327199611150011</v>
      </c>
      <c r="B4105" s="1" t="str">
        <f t="shared" si="2033"/>
        <v>群众</v>
      </c>
      <c r="C4105" s="1" t="str">
        <f t="shared" si="2034"/>
        <v>本科</v>
      </c>
      <c r="D4105" s="1" t="str">
        <f>"20190701"</f>
        <v>20190701</v>
      </c>
      <c r="E4105" s="1" t="str">
        <f>"信阳师范学院"</f>
        <v>信阳师范学院</v>
      </c>
      <c r="F4105" s="1" t="str">
        <f>"管理科学"</f>
        <v>管理科学</v>
      </c>
      <c r="G4105" s="1" t="str">
        <f>"内乡县城关镇郦都大道112号"</f>
        <v>内乡县城关镇郦都大道112号</v>
      </c>
      <c r="H4105" s="1" t="str">
        <f t="shared" si="2031"/>
        <v>无</v>
      </c>
      <c r="I4105" s="1" t="str">
        <f>"201509-201906 信阳师范学院 就读
201909-202507 内乡县郦都学校 就职"</f>
        <v>201509-201906 信阳师范学院 就读
201909-202507 内乡县郦都学校 就职</v>
      </c>
    </row>
    <row r="4106" spans="1:9">
      <c r="A4106" s="1" t="str">
        <f>"411327200001210027"</f>
        <v>411327200001210027</v>
      </c>
      <c r="B4106" s="1" t="str">
        <f t="shared" ref="B4106:B4110" si="2035">"共青团员"</f>
        <v>共青团员</v>
      </c>
      <c r="C4106" s="1" t="str">
        <f t="shared" si="2034"/>
        <v>本科</v>
      </c>
      <c r="D4106" s="1" t="str">
        <f>"20230630"</f>
        <v>20230630</v>
      </c>
      <c r="E4106" s="1" t="str">
        <f>"江西农业大学南昌商学院"</f>
        <v>江西农业大学南昌商学院</v>
      </c>
      <c r="F4106" s="1" t="str">
        <f>"会计学"</f>
        <v>会计学</v>
      </c>
      <c r="G4106" s="1" t="str">
        <f>"河南省南阳市内乡县城关镇鼎荣华府"</f>
        <v>河南省南阳市内乡县城关镇鼎荣华府</v>
      </c>
      <c r="H4106" s="1" t="str">
        <f t="shared" si="2031"/>
        <v>无</v>
      </c>
      <c r="I4106" s="1" t="str">
        <f>"201809-202106 江西服装学院 商学院  会计  全日制
202109-202306 江西农业大学南昌商学院 财会系 会计学 全日制"</f>
        <v>201809-202106 江西服装学院 商学院  会计  全日制
202109-202306 江西农业大学南昌商学院 财会系 会计学 全日制</v>
      </c>
    </row>
    <row r="4107" spans="1:9">
      <c r="A4107" s="1" t="str">
        <f>"411326199910300415"</f>
        <v>411326199910300415</v>
      </c>
      <c r="B4107" s="1" t="str">
        <f t="shared" si="2035"/>
        <v>共青团员</v>
      </c>
      <c r="C4107" s="1" t="str">
        <f t="shared" si="2034"/>
        <v>本科</v>
      </c>
      <c r="D4107" s="1" t="str">
        <f>"20220701"</f>
        <v>20220701</v>
      </c>
      <c r="E4107" s="1" t="str">
        <f>"洛阳理工学院"</f>
        <v>洛阳理工学院</v>
      </c>
      <c r="F4107" s="1" t="str">
        <f>"材料成型及控制工程"</f>
        <v>材料成型及控制工程</v>
      </c>
      <c r="G4107" s="1" t="str">
        <f>"河南省南召县西北社区康乐意小区"</f>
        <v>河南省南召县西北社区康乐意小区</v>
      </c>
      <c r="H4107" s="1" t="str">
        <f t="shared" si="2031"/>
        <v>无</v>
      </c>
      <c r="I4107" s="1" t="str">
        <f>" 201809-202207  洛阳理工学院 材料学院 材料成型及控制工程专业 全日制本科  202207-202210在家待业  202210-202310宁波震裕科技股份有限公司  产品工程师  202310-202406在家待业  202406-202505 武汉中软国际科技股份有限公司  硬件工程师   202505-至今 在家待业"</f>
        <v> 201809-202207  洛阳理工学院 材料学院 材料成型及控制工程专业 全日制本科  202207-202210在家待业  202210-202310宁波震裕科技股份有限公司  产品工程师  202310-202406在家待业  202406-202505 武汉中软国际科技股份有限公司  硬件工程师   202505-至今 在家待业</v>
      </c>
    </row>
    <row r="4108" spans="1:9">
      <c r="A4108" s="1" t="str">
        <f>"411327200012020632"</f>
        <v>411327200012020632</v>
      </c>
      <c r="B4108" s="1" t="str">
        <f t="shared" ref="B4108:B4113" si="2036">"群众"</f>
        <v>群众</v>
      </c>
      <c r="C4108" s="1" t="str">
        <f t="shared" si="2034"/>
        <v>本科</v>
      </c>
      <c r="D4108" s="1" t="str">
        <f>"20230621"</f>
        <v>20230621</v>
      </c>
      <c r="E4108" s="1" t="str">
        <f>"泰山学院"</f>
        <v>泰山学院</v>
      </c>
      <c r="F4108" s="1" t="str">
        <f>"化学工程与工艺"</f>
        <v>化学工程与工艺</v>
      </c>
      <c r="G4108" s="1" t="str">
        <f>"河南省南阳市内乡县马山口镇"</f>
        <v>河南省南阳市内乡县马山口镇</v>
      </c>
      <c r="H4108" s="1" t="str">
        <f t="shared" si="2031"/>
        <v>无</v>
      </c>
      <c r="I4108" s="1" t="str">
        <f>"201909-202306 泰山学院就读化工学院化学工程与工艺专业，全日制本科"</f>
        <v>201909-202306 泰山学院就读化工学院化学工程与工艺专业，全日制本科</v>
      </c>
    </row>
    <row r="4109" spans="1:9">
      <c r="A4109" s="1" t="str">
        <f>"411326200007135818"</f>
        <v>411326200007135818</v>
      </c>
      <c r="B4109" s="1" t="str">
        <f t="shared" si="2036"/>
        <v>群众</v>
      </c>
      <c r="C4109" s="1" t="str">
        <f t="shared" si="2034"/>
        <v>本科</v>
      </c>
      <c r="D4109" s="1" t="str">
        <f>"20210601"</f>
        <v>20210601</v>
      </c>
      <c r="E4109" s="1" t="str">
        <f>"郑州财经学院"</f>
        <v>郑州财经学院</v>
      </c>
      <c r="F4109" s="1" t="str">
        <f>"土木工程"</f>
        <v>土木工程</v>
      </c>
      <c r="G4109" s="1" t="str">
        <f>"河南省南阳市南召县乔端镇东桥村"</f>
        <v>河南省南阳市南召县乔端镇东桥村</v>
      </c>
      <c r="H4109" s="1" t="str">
        <f t="shared" si="2031"/>
        <v>无</v>
      </c>
      <c r="I4109" s="1" t="str">
        <f>"201709-202106 郑州财经学院土木工程专业就读 大学本科 全日制
202106-202404 待业
202404-202502 河南明信建设工程质量有限公司工作
202502-至今 待业
"</f>
        <v>201709-202106 郑州财经学院土木工程专业就读 大学本科 全日制
202106-202404 待业
202404-202502 河南明信建设工程质量有限公司工作
202502-至今 待业
</v>
      </c>
    </row>
    <row r="4110" spans="1:9">
      <c r="A4110" s="1" t="str">
        <f>"411627199801091119"</f>
        <v>411627199801091119</v>
      </c>
      <c r="B4110" s="1" t="str">
        <f t="shared" si="2035"/>
        <v>共青团员</v>
      </c>
      <c r="C4110" s="1" t="str">
        <f>"硕士研究生"</f>
        <v>硕士研究生</v>
      </c>
      <c r="D4110" s="1" t="str">
        <f>"20250617"</f>
        <v>20250617</v>
      </c>
      <c r="E4110" s="1" t="str">
        <f>"湖南大学"</f>
        <v>湖南大学</v>
      </c>
      <c r="F4110" s="1" t="str">
        <f>"中国史"</f>
        <v>中国史</v>
      </c>
      <c r="G4110" s="1" t="str">
        <f>"河南省周口市太康县王集乡王西行政村"</f>
        <v>河南省周口市太康县王集乡王西行政村</v>
      </c>
      <c r="H4110" s="1" t="str">
        <f t="shared" si="2031"/>
        <v>无</v>
      </c>
      <c r="I4110" s="1" t="str">
        <f>"201709-202106 信阳师范学院历史文化学院历史学 就读，全日制；
202106-202208 河南省太康县，复习备考；
202208-202506 湖南大学岳麓书院中国史 就读，全日制。"</f>
        <v>201709-202106 信阳师范学院历史文化学院历史学 就读，全日制；
202106-202208 河南省太康县，复习备考；
202208-202506 湖南大学岳麓书院中国史 就读，全日制。</v>
      </c>
    </row>
    <row r="4111" spans="1:9">
      <c r="A4111" s="1" t="str">
        <f>"411327200406090342"</f>
        <v>411327200406090342</v>
      </c>
      <c r="B4111" s="1" t="str">
        <f t="shared" si="2036"/>
        <v>群众</v>
      </c>
      <c r="C4111" s="1" t="str">
        <f t="shared" ref="C4111:C4113" si="2037">"专科"</f>
        <v>专科</v>
      </c>
      <c r="D4111" s="1" t="str">
        <f>"2025年6月15日"</f>
        <v>2025年6月15日</v>
      </c>
      <c r="E4111" s="1" t="str">
        <f>"南阳农业职业学院"</f>
        <v>南阳农业职业学院</v>
      </c>
      <c r="F4111" s="1" t="str">
        <f>"学前教育专业"</f>
        <v>学前教育专业</v>
      </c>
      <c r="G4111" s="1" t="str">
        <f>"河南省南阳市内乡县大桥乡谢营村徐坡二组南"</f>
        <v>河南省南阳市内乡县大桥乡谢营村徐坡二组南</v>
      </c>
      <c r="H4111" s="1" t="str">
        <f t="shared" si="2031"/>
        <v>无</v>
      </c>
      <c r="I4111" s="1" t="str">
        <f>"202209-202506在南阳农业职业学院学前教育学院就读，是全日制学历"</f>
        <v>202209-202506在南阳农业职业学院学前教育学院就读，是全日制学历</v>
      </c>
    </row>
    <row r="4112" spans="1:9">
      <c r="A4112" s="1" t="str">
        <f>"411324200307300018"</f>
        <v>411324200307300018</v>
      </c>
      <c r="B4112" s="1" t="str">
        <f t="shared" si="2036"/>
        <v>群众</v>
      </c>
      <c r="C4112" s="1" t="str">
        <f t="shared" si="2037"/>
        <v>专科</v>
      </c>
      <c r="D4112" s="1" t="str">
        <f>"2025-07-01"</f>
        <v>2025-07-01</v>
      </c>
      <c r="E4112" s="1" t="str">
        <f>"河南工业贸易职业学院"</f>
        <v>河南工业贸易职业学院</v>
      </c>
      <c r="F4112" s="1" t="str">
        <f>"大数据与财务管理"</f>
        <v>大数据与财务管理</v>
      </c>
      <c r="G4112" s="1" t="str">
        <f>"河南省南阳市镇平县城隍庙下街"</f>
        <v>河南省南阳市镇平县城隍庙下街</v>
      </c>
      <c r="H4112" s="1" t="str">
        <f t="shared" si="2031"/>
        <v>无</v>
      </c>
      <c r="I4112" s="1" t="str">
        <f>"202209-202506 河南工业贸易职业学院学校财务会计学院大数据与财务管理专业就读，是全日制学历。"</f>
        <v>202209-202506 河南工业贸易职业学院学校财务会计学院大数据与财务管理专业就读，是全日制学历。</v>
      </c>
    </row>
    <row r="4113" spans="1:9">
      <c r="A4113" s="1" t="str">
        <f>"411325199804024529"</f>
        <v>411325199804024529</v>
      </c>
      <c r="B4113" s="1" t="str">
        <f t="shared" si="2036"/>
        <v>群众</v>
      </c>
      <c r="C4113" s="1" t="str">
        <f t="shared" si="2037"/>
        <v>专科</v>
      </c>
      <c r="D4113" s="1" t="str">
        <f>"20210701"</f>
        <v>20210701</v>
      </c>
      <c r="E4113" s="1" t="str">
        <f>"南阳师范学院"</f>
        <v>南阳师范学院</v>
      </c>
      <c r="F4113" s="1" t="str">
        <f>"计算机网络技术"</f>
        <v>计算机网络技术</v>
      </c>
      <c r="G4113" s="1" t="str">
        <f>"河南省南阳市内乡县菊城豪庭"</f>
        <v>河南省南阳市内乡县菊城豪庭</v>
      </c>
      <c r="H4113" s="1" t="str">
        <f t="shared" si="2031"/>
        <v>无</v>
      </c>
      <c r="I4113" s="1" t="str">
        <f>"201309—201506  经济管理学校
201506—201902  内乡菊潭学校上班
201903—202107  南阳师范学院就读专科（非全日制）"</f>
        <v>201309—201506  经济管理学校
201506—201902  内乡菊潭学校上班
201903—202107  南阳师范学院就读专科（非全日制）</v>
      </c>
    </row>
    <row r="4114" spans="1:9">
      <c r="A4114" s="1" t="str">
        <f>"411303200010180041"</f>
        <v>411303200010180041</v>
      </c>
      <c r="B4114" s="1" t="str">
        <f t="shared" ref="B4114:B4118" si="2038">"共青团员"</f>
        <v>共青团员</v>
      </c>
      <c r="C4114" s="1" t="str">
        <f>"硕士研究生"</f>
        <v>硕士研究生</v>
      </c>
      <c r="D4114" s="1" t="str">
        <f>"20250701"</f>
        <v>20250701</v>
      </c>
      <c r="E4114" s="1" t="str">
        <f>"中国农业科学院"</f>
        <v>中国农业科学院</v>
      </c>
      <c r="F4114" s="1" t="str">
        <f>"资源利用与植物保护"</f>
        <v>资源利用与植物保护</v>
      </c>
      <c r="G4114" s="1" t="str">
        <f>"河南省南阳市卧龙区港岛玫瑰园二期"</f>
        <v>河南省南阳市卧龙区港岛玫瑰园二期</v>
      </c>
      <c r="H4114" s="1" t="str">
        <f t="shared" si="2031"/>
        <v>无</v>
      </c>
      <c r="I4114" s="1" t="str">
        <f>"201809-202207在河南科技大学、农学院、资源环境科学专业就读，是全日制学士学历；
202209-202507在中国农业科学院、农业资源与农业区划研究所、资源利用与植物保护专业就读，是全日制硕士研究生学历。"</f>
        <v>201809-202207在河南科技大学、农学院、资源环境科学专业就读，是全日制学士学历；
202209-202507在中国农业科学院、农业资源与农业区划研究所、资源利用与植物保护专业就读，是全日制硕士研究生学历。</v>
      </c>
    </row>
    <row r="4115" spans="1:9">
      <c r="A4115" s="1" t="str">
        <f>"411327199810090015"</f>
        <v>411327199810090015</v>
      </c>
      <c r="B4115" s="1" t="str">
        <f>"群众"</f>
        <v>群众</v>
      </c>
      <c r="C4115" s="1" t="str">
        <f>"专科"</f>
        <v>专科</v>
      </c>
      <c r="D4115" s="1" t="str">
        <f>"20180701"</f>
        <v>20180701</v>
      </c>
      <c r="E4115" s="1" t="str">
        <f>"南阳农业职业学院"</f>
        <v>南阳农业职业学院</v>
      </c>
      <c r="F4115" s="1" t="str">
        <f>"机电一体化技术"</f>
        <v>机电一体化技术</v>
      </c>
      <c r="G4115" s="1" t="str">
        <f>"河南省南阳市内乡县民政局往西清华苑小区"</f>
        <v>河南省南阳市内乡县民政局往西清华苑小区</v>
      </c>
      <c r="H4115" s="1" t="str">
        <f t="shared" si="2031"/>
        <v>无</v>
      </c>
      <c r="I4115" s="1" t="str">
        <f>"201609-201807在南阳农业职业学院机电一体技术专业就读 全日制
201807-201808 待业
201809-202004在内乡县公安局巡特警大队进行警务辅助工作
202005-202011 自主择业
202012-至今 在内乡县湍东镇人民政府环保办进行工作（政府购岗）"</f>
        <v>201609-201807在南阳农业职业学院机电一体技术专业就读 全日制
201807-201808 待业
201809-202004在内乡县公安局巡特警大队进行警务辅助工作
202005-202011 自主择业
202012-至今 在内乡县湍东镇人民政府环保办进行工作（政府购岗）</v>
      </c>
    </row>
    <row r="4116" spans="1:9">
      <c r="A4116" s="1" t="str">
        <f>"412828200111201249"</f>
        <v>412828200111201249</v>
      </c>
      <c r="B4116" s="1" t="str">
        <f>"中共党员"</f>
        <v>中共党员</v>
      </c>
      <c r="C4116" s="1" t="str">
        <f t="shared" ref="C4116:C4118" si="2039">"本科"</f>
        <v>本科</v>
      </c>
      <c r="D4116" s="1" t="str">
        <f>"20250607"</f>
        <v>20250607</v>
      </c>
      <c r="E4116" s="1" t="str">
        <f>"信阳学院"</f>
        <v>信阳学院</v>
      </c>
      <c r="F4116" s="1" t="str">
        <f>"广播电视编导"</f>
        <v>广播电视编导</v>
      </c>
      <c r="G4116" s="1" t="str">
        <f>"河南省驻马店市新蔡县"</f>
        <v>河南省驻马店市新蔡县</v>
      </c>
      <c r="H4116" s="1" t="str">
        <f t="shared" si="2031"/>
        <v>无</v>
      </c>
      <c r="I4116" s="1" t="str">
        <f>"202109-202506信阳学院文学院广播电视编导专业就读全日制学历
201809-202106新蔡县第一高级中学就读"</f>
        <v>202109-202506信阳学院文学院广播电视编导专业就读全日制学历
201809-202106新蔡县第一高级中学就读</v>
      </c>
    </row>
    <row r="4117" spans="1:9">
      <c r="A4117" s="1" t="str">
        <f>"411526200210154521"</f>
        <v>411526200210154521</v>
      </c>
      <c r="B4117" s="1" t="str">
        <f t="shared" si="2038"/>
        <v>共青团员</v>
      </c>
      <c r="C4117" s="1" t="str">
        <f t="shared" si="2039"/>
        <v>本科</v>
      </c>
      <c r="D4117" s="1" t="str">
        <f>"20250606"</f>
        <v>20250606</v>
      </c>
      <c r="E4117" s="1" t="str">
        <f>"河南开封科技传媒学院"</f>
        <v>河南开封科技传媒学院</v>
      </c>
      <c r="F4117" s="1" t="str">
        <f>"学前教育（师范）"</f>
        <v>学前教育（师范）</v>
      </c>
      <c r="G4117" s="1" t="str">
        <f>"河南省信阳市潢川县东方时代美好城"</f>
        <v>河南省信阳市潢川县东方时代美好城</v>
      </c>
      <c r="H4117" s="1" t="str">
        <f>"中级育婴证"</f>
        <v>中级育婴证</v>
      </c>
      <c r="I4117" s="1" t="str">
        <f>"202009-202307郑州科技学院音乐舞蹈学院学前教育专业全日制就读
202309-202506河南开封科技传媒学院人文学院学前教育专业全日制就读"</f>
        <v>202009-202307郑州科技学院音乐舞蹈学院学前教育专业全日制就读
202309-202506河南开封科技传媒学院人文学院学前教育专业全日制就读</v>
      </c>
    </row>
    <row r="4118" spans="1:9">
      <c r="A4118" s="1" t="str">
        <f>"411328200110180038"</f>
        <v>411328200110180038</v>
      </c>
      <c r="B4118" s="1" t="str">
        <f t="shared" si="2038"/>
        <v>共青团员</v>
      </c>
      <c r="C4118" s="1" t="str">
        <f t="shared" si="2039"/>
        <v>本科</v>
      </c>
      <c r="D4118" s="1" t="str">
        <f>"20250701"</f>
        <v>20250701</v>
      </c>
      <c r="E4118" s="1" t="str">
        <f>"商丘师范学院"</f>
        <v>商丘师范学院</v>
      </c>
      <c r="F4118" s="1" t="str">
        <f>"建筑电气与智能化"</f>
        <v>建筑电气与智能化</v>
      </c>
      <c r="G4118" s="1" t="str">
        <f>"河南省南阳市新野县卫校东"</f>
        <v>河南省南阳市新野县卫校东</v>
      </c>
      <c r="H4118" s="1" t="str">
        <f t="shared" ref="H4118:H4123" si="2040">"无"</f>
        <v>无</v>
      </c>
      <c r="I4118" s="1" t="str">
        <f>"202109-202507商丘师范学院，建筑工程学院，建筑电气与智能化专业，全日制本科"</f>
        <v>202109-202507商丘师范学院，建筑工程学院，建筑电气与智能化专业，全日制本科</v>
      </c>
    </row>
    <row r="4119" spans="1:9">
      <c r="A4119" s="1" t="str">
        <f>"411327199901020012"</f>
        <v>411327199901020012</v>
      </c>
      <c r="B4119" s="1" t="str">
        <f t="shared" ref="B4119:B4122" si="2041">"群众"</f>
        <v>群众</v>
      </c>
      <c r="C4119" s="1" t="str">
        <f>"专科"</f>
        <v>专科</v>
      </c>
      <c r="D4119" s="1" t="str">
        <f>"20210701"</f>
        <v>20210701</v>
      </c>
      <c r="E4119" s="1" t="str">
        <f>"河南工业职业技术学院"</f>
        <v>河南工业职业技术学院</v>
      </c>
      <c r="F4119" s="1" t="str">
        <f>"电子商务"</f>
        <v>电子商务</v>
      </c>
      <c r="G4119" s="1" t="str">
        <f>"河南省内乡县建业森林半岛6号楼"</f>
        <v>河南省内乡县建业森林半岛6号楼</v>
      </c>
      <c r="H4119" s="1" t="str">
        <f t="shared" si="2040"/>
        <v>无</v>
      </c>
      <c r="I4119" s="1" t="str">
        <f>"201809-202107河南工业职业技术学院电子商务专业就读，全日制。
2021.8-2022.5阿里巴巴内乡客服站点就职维权客服。
2022.5-2023.4自主创业。
2023.4-2025.7内乡县赤眉镇污水处理厂办公室就职。"</f>
        <v>201809-202107河南工业职业技术学院电子商务专业就读，全日制。
2021.8-2022.5阿里巴巴内乡客服站点就职维权客服。
2022.5-2023.4自主创业。
2023.4-2025.7内乡县赤眉镇污水处理厂办公室就职。</v>
      </c>
    </row>
    <row r="4120" spans="1:9">
      <c r="A4120" s="1" t="str">
        <f>"411327200009140027"</f>
        <v>411327200009140027</v>
      </c>
      <c r="B4120" s="1" t="str">
        <f>"共青团员"</f>
        <v>共青团员</v>
      </c>
      <c r="C4120" s="1" t="str">
        <f>"硕士研究生"</f>
        <v>硕士研究生</v>
      </c>
      <c r="D4120" s="1" t="str">
        <f>"2025-06-30"</f>
        <v>2025-06-30</v>
      </c>
      <c r="E4120" s="1" t="str">
        <f>"武汉理工大学"</f>
        <v>武汉理工大学</v>
      </c>
      <c r="F4120" s="1" t="str">
        <f>"公共管理学"</f>
        <v>公共管理学</v>
      </c>
      <c r="G4120" s="1" t="str">
        <f>"河南省南阳市内乡县"</f>
        <v>河南省南阳市内乡县</v>
      </c>
      <c r="H4120" s="1" t="str">
        <f t="shared" si="2040"/>
        <v>无</v>
      </c>
      <c r="I4120" s="1" t="str">
        <f>"201809-202206  中北大学 全日制市场营销专业就读
202209-202506  武汉理工大学 全日制公共管理学专业就读"</f>
        <v>201809-202206  中北大学 全日制市场营销专业就读
202209-202506  武汉理工大学 全日制公共管理学专业就读</v>
      </c>
    </row>
    <row r="4121" spans="1:9">
      <c r="A4121" s="1" t="str">
        <f>"411381199904023516"</f>
        <v>411381199904023516</v>
      </c>
      <c r="B4121" s="1" t="str">
        <f t="shared" si="2041"/>
        <v>群众</v>
      </c>
      <c r="C4121" s="1" t="str">
        <f>"专科"</f>
        <v>专科</v>
      </c>
      <c r="D4121" s="1" t="str">
        <f>"20190701"</f>
        <v>20190701</v>
      </c>
      <c r="E4121" s="1" t="str">
        <f>"河南司法警官职业学院"</f>
        <v>河南司法警官职业学院</v>
      </c>
      <c r="F4121" s="1" t="str">
        <f>"警察管理"</f>
        <v>警察管理</v>
      </c>
      <c r="G4121" s="1" t="str">
        <f>"河南省郑州市中原区中原万达小区1号楼1单元"</f>
        <v>河南省郑州市中原区中原万达小区1号楼1单元</v>
      </c>
      <c r="H4121" s="1" t="str">
        <f t="shared" si="2040"/>
        <v>无</v>
      </c>
      <c r="I4121" s="1" t="str">
        <f>"2014年9月1号-2019年7月1号河南司法警官职业学院警察管理专业就读2019年7月-2021年7月在郑州市公安局须水分局实习2024年3月-至今在紫荆山宾馆任职总监助理"</f>
        <v>2014年9月1号-2019年7月1号河南司法警官职业学院警察管理专业就读2019年7月-2021年7月在郑州市公安局须水分局实习2024年3月-至今在紫荆山宾馆任职总监助理</v>
      </c>
    </row>
    <row r="4122" spans="1:9">
      <c r="A4122" s="1" t="str">
        <f>"430181200209143329"</f>
        <v>430181200209143329</v>
      </c>
      <c r="B4122" s="1" t="str">
        <f t="shared" si="2041"/>
        <v>群众</v>
      </c>
      <c r="C4122" s="1" t="str">
        <f t="shared" ref="C4122:C4129" si="2042">"本科"</f>
        <v>本科</v>
      </c>
      <c r="D4122" s="1" t="str">
        <f>"20250613"</f>
        <v>20250613</v>
      </c>
      <c r="E4122" s="1" t="str">
        <f>"湖南交通工程学院"</f>
        <v>湖南交通工程学院</v>
      </c>
      <c r="F4122" s="1" t="str">
        <f>"音乐学"</f>
        <v>音乐学</v>
      </c>
      <c r="G4122" s="1" t="str">
        <f>"湖南省长沙市浏阳市太平桥"</f>
        <v>湖南省长沙市浏阳市太平桥</v>
      </c>
      <c r="H4122" s="1" t="str">
        <f t="shared" si="2040"/>
        <v>无</v>
      </c>
      <c r="I4122" s="1" t="str">
        <f>"202109-202506 湖南交通工程学院 音乐学专业 就读 是全日制
"</f>
        <v>202109-202506 湖南交通工程学院 音乐学专业 就读 是全日制
</v>
      </c>
    </row>
    <row r="4123" spans="1:9">
      <c r="A4123" s="1" t="str">
        <f>"411282199906066027"</f>
        <v>411282199906066027</v>
      </c>
      <c r="B4123" s="1" t="str">
        <f>"中共党员"</f>
        <v>中共党员</v>
      </c>
      <c r="C4123" s="1" t="str">
        <f t="shared" si="2042"/>
        <v>本科</v>
      </c>
      <c r="D4123" s="1" t="str">
        <f>"20220701"</f>
        <v>20220701</v>
      </c>
      <c r="E4123" s="1" t="str">
        <f>"安阳师范学院"</f>
        <v>安阳师范学院</v>
      </c>
      <c r="F4123" s="1" t="str">
        <f>"工程管理"</f>
        <v>工程管理</v>
      </c>
      <c r="G4123" s="1" t="str">
        <f>"河南省南阳市内乡县农牧装备产业园"</f>
        <v>河南省南阳市内乡县农牧装备产业园</v>
      </c>
      <c r="H4123" s="1" t="str">
        <f t="shared" si="2040"/>
        <v>无</v>
      </c>
      <c r="I4123" s="1" t="str">
        <f>"201809-202207 安阳师范学院就读工程管理专业是全日制学历"</f>
        <v>201809-202207 安阳师范学院就读工程管理专业是全日制学历</v>
      </c>
    </row>
    <row r="4124" spans="1:9">
      <c r="A4124" s="1" t="str">
        <f>"411327199805110026"</f>
        <v>411327199805110026</v>
      </c>
      <c r="B4124" s="1" t="str">
        <f t="shared" ref="B4124:B4128" si="2043">"群众"</f>
        <v>群众</v>
      </c>
      <c r="C4124" s="1" t="str">
        <f t="shared" si="2042"/>
        <v>本科</v>
      </c>
      <c r="D4124" s="1" t="str">
        <f>"20200701"</f>
        <v>20200701</v>
      </c>
      <c r="E4124" s="1" t="str">
        <f>"周口师范学院"</f>
        <v>周口师范学院</v>
      </c>
      <c r="F4124" s="1" t="str">
        <f>"美术学"</f>
        <v>美术学</v>
      </c>
      <c r="G4124" s="1" t="str">
        <f>"河南省南阳市内乡县城关镇"</f>
        <v>河南省南阳市内乡县城关镇</v>
      </c>
      <c r="H4124" s="1" t="str">
        <f>"中小学二级教师"</f>
        <v>中小学二级教师</v>
      </c>
      <c r="I4124" s="1" t="str">
        <f>"201609-202007 周口师范学院美术学院美术学专业就读，是全日制学历；202008-至今 内乡县灌涨高级中学美术教师。"</f>
        <v>201609-202007 周口师范学院美术学院美术学专业就读，是全日制学历；202008-至今 内乡县灌涨高级中学美术教师。</v>
      </c>
    </row>
    <row r="4125" spans="1:9">
      <c r="A4125" s="1" t="str">
        <f>"622727200209133835"</f>
        <v>622727200209133835</v>
      </c>
      <c r="B4125" s="1" t="str">
        <f t="shared" ref="B4125:B4130" si="2044">"共青团员"</f>
        <v>共青团员</v>
      </c>
      <c r="C4125" s="1" t="str">
        <f t="shared" si="2042"/>
        <v>本科</v>
      </c>
      <c r="D4125" s="1" t="str">
        <f>"20250625"</f>
        <v>20250625</v>
      </c>
      <c r="E4125" s="1" t="str">
        <f>"天水师范大学"</f>
        <v>天水师范大学</v>
      </c>
      <c r="F4125" s="1" t="str">
        <f>"数字媒体艺术"</f>
        <v>数字媒体艺术</v>
      </c>
      <c r="G4125" s="1" t="str">
        <f>"3251557632@qq.com"</f>
        <v>3251557632@qq.com</v>
      </c>
      <c r="H4125" s="1" t="str">
        <f t="shared" ref="H4125:H4127" si="2045">"无"</f>
        <v>无</v>
      </c>
      <c r="I4125" s="1" t="str">
        <f>"202109-202506 天水师范大学文学与文化传播学院数字媒体艺术专业就读，是全日制学历；"</f>
        <v>202109-202506 天水师范大学文学与文化传播学院数字媒体艺术专业就读，是全日制学历；</v>
      </c>
    </row>
    <row r="4126" spans="1:9">
      <c r="A4126" s="1" t="str">
        <f>"36028120030118143X"</f>
        <v>36028120030118143X</v>
      </c>
      <c r="B4126" s="1" t="str">
        <f t="shared" si="2043"/>
        <v>群众</v>
      </c>
      <c r="C4126" s="1" t="str">
        <f t="shared" si="2042"/>
        <v>本科</v>
      </c>
      <c r="D4126" s="1" t="str">
        <f>"20230608"</f>
        <v>20230608</v>
      </c>
      <c r="E4126" s="1" t="str">
        <f>"南昌工程学院"</f>
        <v>南昌工程学院</v>
      </c>
      <c r="F4126" s="1" t="str">
        <f>"电气工程及其自动化"</f>
        <v>电气工程及其自动化</v>
      </c>
      <c r="G4126" s="1" t="str">
        <f>"江西省乐平市镇桥镇西街48号"</f>
        <v>江西省乐平市镇桥镇西街48号</v>
      </c>
      <c r="H4126" s="1" t="str">
        <f t="shared" si="2045"/>
        <v>无</v>
      </c>
      <c r="I4126" s="1" t="str">
        <f>"201909-202306于南昌工程学院的国际教育学院电气工程及其自动化专业就读，为全日制本科，202306至今处待业"</f>
        <v>201909-202306于南昌工程学院的国际教育学院电气工程及其自动化专业就读，为全日制本科，202306至今处待业</v>
      </c>
    </row>
    <row r="4127" spans="1:9">
      <c r="A4127" s="1" t="str">
        <f>"142733200001101845"</f>
        <v>142733200001101845</v>
      </c>
      <c r="B4127" s="1" t="str">
        <f>"中共党员"</f>
        <v>中共党员</v>
      </c>
      <c r="C4127" s="1" t="str">
        <f t="shared" si="2042"/>
        <v>本科</v>
      </c>
      <c r="D4127" s="1" t="str">
        <f>"2023-07-01"</f>
        <v>2023-07-01</v>
      </c>
      <c r="E4127" s="1" t="str">
        <f>"山西大同大学"</f>
        <v>山西大同大学</v>
      </c>
      <c r="F4127" s="1" t="str">
        <f>"小学教育"</f>
        <v>小学教育</v>
      </c>
      <c r="G4127" s="1" t="str">
        <f>"山西省运城市垣曲县城西花园15号楼一单元201"</f>
        <v>山西省运城市垣曲县城西花园15号楼一单元201</v>
      </c>
      <c r="H4127" s="1" t="str">
        <f t="shared" si="2045"/>
        <v>无</v>
      </c>
      <c r="I4127" s="1" t="str">
        <f>"201909-202307山西大同大学教育科学与技术学院小学教育专业就读，全日制本科教育学历；
202307-202409在山西省运城市垣曲县古城镇店头村待业；
202409至今在垣曲县农业农村局上班（公益性岗位）。"</f>
        <v>201909-202307山西大同大学教育科学与技术学院小学教育专业就读，全日制本科教育学历；
202307-202409在山西省运城市垣曲县古城镇店头村待业；
202409至今在垣曲县农业农村局上班（公益性岗位）。</v>
      </c>
    </row>
    <row r="4128" spans="1:9">
      <c r="A4128" s="1" t="str">
        <f>"411327199002202576"</f>
        <v>411327199002202576</v>
      </c>
      <c r="B4128" s="1" t="str">
        <f t="shared" si="2043"/>
        <v>群众</v>
      </c>
      <c r="C4128" s="1" t="str">
        <f t="shared" si="2042"/>
        <v>本科</v>
      </c>
      <c r="D4128" s="1" t="str">
        <f>"202207"</f>
        <v>202207</v>
      </c>
      <c r="E4128" s="1" t="str">
        <f>"南阳理工学院"</f>
        <v>南阳理工学院</v>
      </c>
      <c r="F4128" s="1" t="str">
        <f>"小学教育"</f>
        <v>小学教育</v>
      </c>
      <c r="G4128" s="1" t="str">
        <f>"南阳市内乡县北关二工局小区"</f>
        <v>南阳市内乡县北关二工局小区</v>
      </c>
      <c r="H4128" s="1" t="str">
        <f>"教师资格证 健身教练五级 保育员五级 "</f>
        <v>教师资格证 健身教练五级 保育员五级 </v>
      </c>
      <c r="I4128" s="1" t="str">
        <f>"201009-201307 焦作师范高等专科学校 社会体育就读 全日制；201308-201708 上海沈坚强游泳健身俱乐部 教练；201709-202007 马山口镇第一初级中学 体育老师；（202003-202207南阳理工学院 小学教育 专升本）;202007-至今内乡待业"</f>
        <v>201009-201307 焦作师范高等专科学校 社会体育就读 全日制；201308-201708 上海沈坚强游泳健身俱乐部 教练；201709-202007 马山口镇第一初级中学 体育老师；（202003-202207南阳理工学院 小学教育 专升本）;202007-至今内乡待业</v>
      </c>
    </row>
    <row r="4129" spans="1:9">
      <c r="A4129" s="1" t="str">
        <f>"411327200112220025"</f>
        <v>411327200112220025</v>
      </c>
      <c r="B4129" s="1" t="str">
        <f t="shared" si="2044"/>
        <v>共青团员</v>
      </c>
      <c r="C4129" s="1" t="str">
        <f t="shared" si="2042"/>
        <v>本科</v>
      </c>
      <c r="D4129" s="1" t="str">
        <f>"20230701"</f>
        <v>20230701</v>
      </c>
      <c r="E4129" s="1" t="str">
        <f>"许昌学院"</f>
        <v>许昌学院</v>
      </c>
      <c r="F4129" s="1" t="str">
        <f>"学前教育"</f>
        <v>学前教育</v>
      </c>
      <c r="G4129" s="1" t="str">
        <f>"河南省南阳市内乡县城关镇北城社区郦都大道西五巷十号"</f>
        <v>河南省南阳市内乡县城关镇北城社区郦都大道西五巷十号</v>
      </c>
      <c r="H4129" s="1" t="str">
        <f t="shared" ref="H4129:H4132" si="2046">"无"</f>
        <v>无</v>
      </c>
      <c r="I4129" s="1" t="str">
        <f>"201909-202307 许昌学院 教育学院 学前教育专业就读 全日制本科
202307-202507 在家待业
202507-至今 为湍东镇屈庄村乡村振兴村级协理员"</f>
        <v>201909-202307 许昌学院 教育学院 学前教育专业就读 全日制本科
202307-202507 在家待业
202507-至今 为湍东镇屈庄村乡村振兴村级协理员</v>
      </c>
    </row>
    <row r="4130" spans="1:9">
      <c r="A4130" s="1" t="str">
        <f>"411327199903023516"</f>
        <v>411327199903023516</v>
      </c>
      <c r="B4130" s="1" t="str">
        <f t="shared" si="2044"/>
        <v>共青团员</v>
      </c>
      <c r="C4130" s="1" t="str">
        <f t="shared" ref="C4130:C4134" si="2047">"专科"</f>
        <v>专科</v>
      </c>
      <c r="D4130" s="1" t="str">
        <f>"20190701"</f>
        <v>20190701</v>
      </c>
      <c r="E4130" s="1" t="str">
        <f>"河南工程学院"</f>
        <v>河南工程学院</v>
      </c>
      <c r="F4130" s="1" t="str">
        <f>"计算机网络技术"</f>
        <v>计算机网络技术</v>
      </c>
      <c r="G4130" s="1" t="str">
        <f>"南阳市内乡县菊潭毓秀园"</f>
        <v>南阳市内乡县菊潭毓秀园</v>
      </c>
      <c r="H4130" s="1" t="str">
        <f t="shared" si="2046"/>
        <v>无</v>
      </c>
      <c r="I4130" s="1" t="str">
        <f>"201709-201907 河南工程学院 计算机院系 计算机网络技术就读全日制
201910-202103待业
202104-202403内乡县国防动员中心上班
202404-202501全宇制药上班
202502-至今待业
"</f>
        <v>201709-201907 河南工程学院 计算机院系 计算机网络技术就读全日制
201910-202103待业
202104-202403内乡县国防动员中心上班
202404-202501全宇制药上班
202502-至今待业
</v>
      </c>
    </row>
    <row r="4131" spans="1:9">
      <c r="A4131" s="1" t="str">
        <f>"411324200609160946"</f>
        <v>411324200609160946</v>
      </c>
      <c r="B4131" s="1" t="str">
        <f>"群众"</f>
        <v>群众</v>
      </c>
      <c r="C4131" s="1" t="str">
        <f t="shared" si="2047"/>
        <v>专科</v>
      </c>
      <c r="D4131" s="1" t="str">
        <f>"20250607"</f>
        <v>20250607</v>
      </c>
      <c r="E4131" s="1" t="str">
        <f>"河南应用技术职业学院"</f>
        <v>河南应用技术职业学院</v>
      </c>
      <c r="F4131" s="1" t="str">
        <f>"计算机网络技术"</f>
        <v>计算机网络技术</v>
      </c>
      <c r="G4131" s="1" t="str">
        <f>"河南省南阳市卧龙区三杰盛世城二期"</f>
        <v>河南省南阳市卧龙区三杰盛世城二期</v>
      </c>
      <c r="H4131" s="1" t="str">
        <f>"1+X云计算平台运维与开发中级证书"</f>
        <v>1+X云计算平台运维与开发中级证书</v>
      </c>
      <c r="I4131" s="1" t="str">
        <f>"20220901-20250607 河南应用技术职业学院信息工程学院计算机网络技术专业就读，全日制学历。
20250608-至今在南阳伯贤科技有限公司工作。"</f>
        <v>20220901-20250607 河南应用技术职业学院信息工程学院计算机网络技术专业就读，全日制学历。
20250608-至今在南阳伯贤科技有限公司工作。</v>
      </c>
    </row>
    <row r="4132" spans="1:9">
      <c r="A4132" s="1" t="str">
        <f>"411327200304084232"</f>
        <v>411327200304084232</v>
      </c>
      <c r="B4132" s="1" t="str">
        <f>"群众"</f>
        <v>群众</v>
      </c>
      <c r="C4132" s="1" t="str">
        <f t="shared" ref="C4132:C4137" si="2048">"本科"</f>
        <v>本科</v>
      </c>
      <c r="D4132" s="1" t="str">
        <f>"20250715"</f>
        <v>20250715</v>
      </c>
      <c r="E4132" s="1" t="str">
        <f>"辽宁科技学院"</f>
        <v>辽宁科技学院</v>
      </c>
      <c r="F4132" s="1" t="str">
        <f>"机械设计制造及其自动化"</f>
        <v>机械设计制造及其自动化</v>
      </c>
      <c r="G4132" s="1" t="str">
        <f>"内乡县余关镇岳沟村西坡组"</f>
        <v>内乡县余关镇岳沟村西坡组</v>
      </c>
      <c r="H4132" s="1" t="str">
        <f t="shared" si="2046"/>
        <v>无</v>
      </c>
      <c r="I4132" s="1" t="str">
        <f>"202109-202507 辽宁科技学院机械设计制造及其自动化专业就读，全日制本科
201809-202106 内乡实验高中"</f>
        <v>202109-202507 辽宁科技学院机械设计制造及其自动化专业就读，全日制本科
201809-202106 内乡实验高中</v>
      </c>
    </row>
    <row r="4133" spans="1:9">
      <c r="A4133" s="1" t="str">
        <f>"411324200212162847"</f>
        <v>411324200212162847</v>
      </c>
      <c r="B4133" s="1" t="str">
        <f t="shared" ref="B4133:B4136" si="2049">"共青团员"</f>
        <v>共青团员</v>
      </c>
      <c r="C4133" s="1" t="str">
        <f t="shared" si="2047"/>
        <v>专科</v>
      </c>
      <c r="D4133" s="1" t="str">
        <f>"20240701"</f>
        <v>20240701</v>
      </c>
      <c r="E4133" s="1" t="str">
        <f>"南阳医学高等专科学校"</f>
        <v>南阳医学高等专科学校</v>
      </c>
      <c r="F4133" s="1" t="str">
        <f>"护理"</f>
        <v>护理</v>
      </c>
      <c r="G4133" s="1" t="str">
        <f>"河南省南阳市镇平县银都兰庭小区十六栋六楼中户"</f>
        <v>河南省南阳市镇平县银都兰庭小区十六栋六楼中户</v>
      </c>
      <c r="H4133" s="1" t="str">
        <f>"护士资格证书"</f>
        <v>护士资格证书</v>
      </c>
      <c r="I4133" s="1" t="str">
        <f>"202109—202407  在南阳医学高等专科学校就读 读护理专业是全日制大专，曾在南阳医学高等专科学校第一附属医院实习获优秀实习生将项。"</f>
        <v>202109—202407  在南阳医学高等专科学校就读 读护理专业是全日制大专，曾在南阳医学高等专科学校第一附属医院实习获优秀实习生将项。</v>
      </c>
    </row>
    <row r="4134" ht="67.5" spans="1:9">
      <c r="A4134" s="1" t="str">
        <f>"411302200108175746"</f>
        <v>411302200108175746</v>
      </c>
      <c r="B4134" s="1" t="str">
        <f t="shared" si="2049"/>
        <v>共青团员</v>
      </c>
      <c r="C4134" s="1" t="str">
        <f t="shared" si="2047"/>
        <v>专科</v>
      </c>
      <c r="D4134" s="1" t="str">
        <f>"20220701"</f>
        <v>20220701</v>
      </c>
      <c r="E4134" s="1" t="str">
        <f>"信阳职业技术学院"</f>
        <v>信阳职业技术学院</v>
      </c>
      <c r="F4134" s="1" t="str">
        <f>"医学影像技术"</f>
        <v>医学影像技术</v>
      </c>
      <c r="G4134" s="1" t="str">
        <f>"河南省南阳市宛城区668号"</f>
        <v>河南省南阳市宛城区668号</v>
      </c>
      <c r="H4134" s="1" t="str">
        <f>"放射初级技士证"</f>
        <v>放射初级技士证</v>
      </c>
      <c r="I4134" s="3" t="s">
        <v>272</v>
      </c>
    </row>
    <row r="4135" spans="1:9">
      <c r="A4135" s="1" t="str">
        <f>"411327200210032618"</f>
        <v>411327200210032618</v>
      </c>
      <c r="B4135" s="1" t="str">
        <f t="shared" si="2049"/>
        <v>共青团员</v>
      </c>
      <c r="C4135" s="1" t="str">
        <f t="shared" si="2048"/>
        <v>本科</v>
      </c>
      <c r="D4135" s="1" t="str">
        <f>"20230630"</f>
        <v>20230630</v>
      </c>
      <c r="E4135" s="1" t="str">
        <f>"郑州轻工业大学"</f>
        <v>郑州轻工业大学</v>
      </c>
      <c r="F4135" s="1" t="str">
        <f>"食品科学与工程"</f>
        <v>食品科学与工程</v>
      </c>
      <c r="G4135" s="1" t="str">
        <f>"河南省内乡县湍东镇"</f>
        <v>河南省内乡县湍东镇</v>
      </c>
      <c r="H4135" s="1" t="str">
        <f t="shared" ref="H4135:H4139" si="2050">"无"</f>
        <v>无</v>
      </c>
      <c r="I4135" s="1" t="str">
        <f>"201909-202306 郑州轻工业大学食品与生物工程学院食品科学与工程专业 就读全日制本科
202307-至今 内乡县待业"</f>
        <v>201909-202306 郑州轻工业大学食品与生物工程学院食品科学与工程专业 就读全日制本科
202307-至今 内乡县待业</v>
      </c>
    </row>
    <row r="4136" spans="1:9">
      <c r="A4136" s="1" t="str">
        <f>"411324200210191927"</f>
        <v>411324200210191927</v>
      </c>
      <c r="B4136" s="1" t="str">
        <f t="shared" si="2049"/>
        <v>共青团员</v>
      </c>
      <c r="C4136" s="1" t="str">
        <f t="shared" si="2048"/>
        <v>本科</v>
      </c>
      <c r="D4136" s="1" t="str">
        <f>"20250606"</f>
        <v>20250606</v>
      </c>
      <c r="E4136" s="1" t="str">
        <f>"南阳师范学院"</f>
        <v>南阳师范学院</v>
      </c>
      <c r="F4136" s="1" t="str">
        <f>"化学"</f>
        <v>化学</v>
      </c>
      <c r="G4136" s="1" t="str">
        <f>"河南省南阳市镇平县晁陂镇"</f>
        <v>河南省南阳市镇平县晁陂镇</v>
      </c>
      <c r="H4136" s="1" t="str">
        <f t="shared" si="2050"/>
        <v>无</v>
      </c>
      <c r="I4136" s="1" t="str">
        <f>"202109-202506南阳师范学院化学与制药工程学院化学专业就读 全日制学历
202506-至今河南省南阳市镇平县待业"</f>
        <v>202109-202506南阳师范学院化学与制药工程学院化学专业就读 全日制学历
202506-至今河南省南阳市镇平县待业</v>
      </c>
    </row>
    <row r="4137" spans="1:9">
      <c r="A4137" s="1" t="str">
        <f>"411327199908202919"</f>
        <v>411327199908202919</v>
      </c>
      <c r="B4137" s="1" t="str">
        <f t="shared" ref="B4137:B4141" si="2051">"群众"</f>
        <v>群众</v>
      </c>
      <c r="C4137" s="1" t="str">
        <f t="shared" si="2048"/>
        <v>本科</v>
      </c>
      <c r="D4137" s="1" t="str">
        <f>"20210608"</f>
        <v>20210608</v>
      </c>
      <c r="E4137" s="1" t="str">
        <f>"河南科技学院"</f>
        <v>河南科技学院</v>
      </c>
      <c r="F4137" s="1" t="str">
        <f>"动物医学"</f>
        <v>动物医学</v>
      </c>
      <c r="G4137" s="1" t="str">
        <f>"河南省南阳市内乡县安泰荣盛公馆"</f>
        <v>河南省南阳市内乡县安泰荣盛公馆</v>
      </c>
      <c r="H4137" s="1" t="str">
        <f t="shared" si="2050"/>
        <v>无</v>
      </c>
      <c r="I4137" s="1" t="str">
        <f>"201709-202106在河南科技学院动物科技学院动物医学系就读，全日制本科"</f>
        <v>201709-202106在河南科技学院动物科技学院动物医学系就读，全日制本科</v>
      </c>
    </row>
    <row r="4138" spans="1:9">
      <c r="A4138" s="1" t="str">
        <f>"411326199409045131"</f>
        <v>411326199409045131</v>
      </c>
      <c r="B4138" s="1" t="str">
        <f>"中共党员"</f>
        <v>中共党员</v>
      </c>
      <c r="C4138" s="1" t="str">
        <f t="shared" ref="C4138:C4143" si="2052">"专科"</f>
        <v>专科</v>
      </c>
      <c r="D4138" s="1" t="str">
        <f>"20160701"</f>
        <v>20160701</v>
      </c>
      <c r="E4138" s="1" t="str">
        <f>"郑州信息科技职业学院"</f>
        <v>郑州信息科技职业学院</v>
      </c>
      <c r="F4138" s="1" t="str">
        <f>"装潢艺术设计"</f>
        <v>装潢艺术设计</v>
      </c>
      <c r="G4138" s="1" t="str">
        <f>"南召县"</f>
        <v>南召县</v>
      </c>
      <c r="H4138" s="1" t="str">
        <f t="shared" si="2050"/>
        <v>无</v>
      </c>
      <c r="I4138" s="1" t="str">
        <f>"201309-201607 郑州信息科技职业学院 装潢艺术设计就读
201607-201912 新疆鑫鸿福物流有限责任公司
201912-202008 在家待业
202008至今 南召县人民法院 书记员"</f>
        <v>201309-201607 郑州信息科技职业学院 装潢艺术设计就读
201607-201912 新疆鑫鸿福物流有限责任公司
201912-202008 在家待业
202008至今 南召县人民法院 书记员</v>
      </c>
    </row>
    <row r="4139" spans="1:9">
      <c r="A4139" s="1" t="str">
        <f>"411327200304063933"</f>
        <v>411327200304063933</v>
      </c>
      <c r="B4139" s="1" t="str">
        <f>"共青团员"</f>
        <v>共青团员</v>
      </c>
      <c r="C4139" s="1" t="str">
        <f t="shared" ref="C4139:C4141" si="2053">"本科"</f>
        <v>本科</v>
      </c>
      <c r="D4139" s="1" t="str">
        <f>"20250701"</f>
        <v>20250701</v>
      </c>
      <c r="E4139" s="1" t="str">
        <f>"郑州财经学院"</f>
        <v>郑州财经学院</v>
      </c>
      <c r="F4139" s="1" t="str">
        <f>"网络工程"</f>
        <v>网络工程</v>
      </c>
      <c r="G4139" s="1" t="str">
        <f>"河南省内乡县乍曲乡上庄村老庄54号"</f>
        <v>河南省内乡县乍曲乡上庄村老庄54号</v>
      </c>
      <c r="H4139" s="1" t="str">
        <f t="shared" si="2050"/>
        <v>无</v>
      </c>
      <c r="I4139" s="1" t="str">
        <f>"202109-202507 郑州财经学院信息工程学院网络工程专业就读，全日制学历"</f>
        <v>202109-202507 郑州财经学院信息工程学院网络工程专业就读，全日制学历</v>
      </c>
    </row>
    <row r="4140" spans="1:9">
      <c r="A4140" s="1" t="str">
        <f>"411327200206262525"</f>
        <v>411327200206262525</v>
      </c>
      <c r="B4140" s="1" t="str">
        <f t="shared" si="2051"/>
        <v>群众</v>
      </c>
      <c r="C4140" s="1" t="str">
        <f t="shared" si="2053"/>
        <v>本科</v>
      </c>
      <c r="D4140" s="1" t="str">
        <f>"20240625"</f>
        <v>20240625</v>
      </c>
      <c r="E4140" s="1" t="str">
        <f>"宿州学院"</f>
        <v>宿州学院</v>
      </c>
      <c r="F4140" s="1" t="str">
        <f>"应用化学"</f>
        <v>应用化学</v>
      </c>
      <c r="G4140" s="1" t="str">
        <f>"河南省南阳市内乡县"</f>
        <v>河南省南阳市内乡县</v>
      </c>
      <c r="H4140" s="1" t="str">
        <f>"化学检验员职业技能等级证书，三级"</f>
        <v>化学检验员职业技能等级证书，三级</v>
      </c>
      <c r="I4140" s="1" t="str">
        <f>"202009-202406宿州学院化学与化工学院应用化学专业就读。"</f>
        <v>202009-202406宿州学院化学与化工学院应用化学专业就读。</v>
      </c>
    </row>
    <row r="4141" spans="1:9">
      <c r="A4141" s="1" t="str">
        <f>"411327199509074534"</f>
        <v>411327199509074534</v>
      </c>
      <c r="B4141" s="1" t="str">
        <f t="shared" si="2051"/>
        <v>群众</v>
      </c>
      <c r="C4141" s="1" t="str">
        <f t="shared" si="2053"/>
        <v>本科</v>
      </c>
      <c r="D4141" s="1" t="str">
        <f>"20250701"</f>
        <v>20250701</v>
      </c>
      <c r="E4141" s="1" t="str">
        <f>"郑州财金学院"</f>
        <v>郑州财金学院</v>
      </c>
      <c r="F4141" s="1" t="str">
        <f>"会计学"</f>
        <v>会计学</v>
      </c>
      <c r="G4141" s="1" t="str">
        <f>"河南省内乡县县衙路101号"</f>
        <v>河南省内乡县县衙路101号</v>
      </c>
      <c r="H4141" s="1" t="str">
        <f t="shared" ref="H4141:H4154" si="2054">"无"</f>
        <v>无</v>
      </c>
      <c r="I4141" s="1" t="str">
        <f>"201709-202003中国地质大学 会计学 非全日制
202003-202010河南省内乡县赵店乡红堰村待业
202010-202301内乡武装押运大队 押运员
202302-202405中誉国信  员工
202303-2022507郑州财经学院  会计学 非全日制"</f>
        <v>201709-202003中国地质大学 会计学 非全日制
202003-202010河南省内乡县赵店乡红堰村待业
202010-202301内乡武装押运大队 押运员
202302-202405中誉国信  员工
202303-2022507郑州财经学院  会计学 非全日制</v>
      </c>
    </row>
    <row r="4142" spans="1:9">
      <c r="A4142" s="1" t="str">
        <f>"411381199007310371"</f>
        <v>411381199007310371</v>
      </c>
      <c r="B4142" s="1" t="str">
        <f t="shared" ref="B4142:B4146" si="2055">"共青团员"</f>
        <v>共青团员</v>
      </c>
      <c r="C4142" s="1" t="str">
        <f t="shared" si="2052"/>
        <v>专科</v>
      </c>
      <c r="D4142" s="1" t="str">
        <f>"20130701"</f>
        <v>20130701</v>
      </c>
      <c r="E4142" s="1" t="str">
        <f>"湖北第二师范学院"</f>
        <v>湖北第二师范学院</v>
      </c>
      <c r="F4142" s="1" t="str">
        <f>"机电一体化技术"</f>
        <v>机电一体化技术</v>
      </c>
      <c r="G4142" s="1" t="str">
        <f>"河南省邓州市交通运输局东侧美宜佳"</f>
        <v>河南省邓州市交通运输局东侧美宜佳</v>
      </c>
      <c r="H4142" s="1" t="str">
        <f t="shared" si="2054"/>
        <v>无</v>
      </c>
      <c r="I4142" s="1" t="str">
        <f>"20110301-20130701在湖北第二师范学院就读机电一体化技术，非全日制。在家待业。"</f>
        <v>20110301-20130701在湖北第二师范学院就读机电一体化技术，非全日制。在家待业。</v>
      </c>
    </row>
    <row r="4143" spans="1:9">
      <c r="A4143" s="1" t="str">
        <f>"411330199801105746"</f>
        <v>411330199801105746</v>
      </c>
      <c r="B4143" s="1" t="str">
        <f t="shared" ref="B4143:B4152" si="2056">"群众"</f>
        <v>群众</v>
      </c>
      <c r="C4143" s="1" t="str">
        <f t="shared" si="2052"/>
        <v>专科</v>
      </c>
      <c r="D4143" s="1" t="str">
        <f>"20170701"</f>
        <v>20170701</v>
      </c>
      <c r="E4143" s="1" t="str">
        <f>"河南质量工程职业学院"</f>
        <v>河南质量工程职业学院</v>
      </c>
      <c r="F4143" s="1" t="str">
        <f>"物流管理"</f>
        <v>物流管理</v>
      </c>
      <c r="G4143" s="1" t="str">
        <f>"河南省南阳市西峡县五里桥镇"</f>
        <v>河南省南阳市西峡县五里桥镇</v>
      </c>
      <c r="H4143" s="1" t="str">
        <f t="shared" si="2054"/>
        <v>无</v>
      </c>
      <c r="I4143" s="1" t="str">
        <f>"201409-201707就读于河南质量工程职业学院经济管理系物流管理专业，全日制
201707-201803于驾校前台实习
201803-202307就读于东北师范大学汉语言文学专业，网络教育
202109-202208于郑州安得智联科技有限公司实习
202203-202501就读于平顶山学院汉语言文学专业，函授
202501-202507在家待业"</f>
        <v>201409-201707就读于河南质量工程职业学院经济管理系物流管理专业，全日制
201707-201803于驾校前台实习
201803-202307就读于东北师范大学汉语言文学专业，网络教育
202109-202208于郑州安得智联科技有限公司实习
202203-202501就读于平顶山学院汉语言文学专业，函授
202501-202507在家待业</v>
      </c>
    </row>
    <row r="4144" spans="1:9">
      <c r="A4144" s="1" t="str">
        <f>"411381200010177933"</f>
        <v>411381200010177933</v>
      </c>
      <c r="B4144" s="1" t="str">
        <f>"中共党员"</f>
        <v>中共党员</v>
      </c>
      <c r="C4144" s="1" t="str">
        <f t="shared" ref="C4144:C4147" si="2057">"本科"</f>
        <v>本科</v>
      </c>
      <c r="D4144" s="1" t="str">
        <f>"20230701"</f>
        <v>20230701</v>
      </c>
      <c r="E4144" s="1" t="str">
        <f>"安阳学院"</f>
        <v>安阳学院</v>
      </c>
      <c r="F4144" s="1" t="str">
        <f>"行政管理"</f>
        <v>行政管理</v>
      </c>
      <c r="G4144" s="1" t="str">
        <f>"河南省邓州市湍河街道盛世苑二期6号楼1单元1104"</f>
        <v>河南省邓州市湍河街道盛世苑二期6号楼1单元1104</v>
      </c>
      <c r="H4144" s="1" t="str">
        <f t="shared" si="2054"/>
        <v>无</v>
      </c>
      <c r="I4144" s="1" t="str">
        <f>"201909-202307安阳学院经济与管理学院行政管理专业就读，全日制"</f>
        <v>201909-202307安阳学院经济与管理学院行政管理专业就读，全日制</v>
      </c>
    </row>
    <row r="4145" spans="1:9">
      <c r="A4145" s="1" t="str">
        <f>"420621200102054317"</f>
        <v>420621200102054317</v>
      </c>
      <c r="B4145" s="1" t="str">
        <f t="shared" si="2055"/>
        <v>共青团员</v>
      </c>
      <c r="C4145" s="1" t="str">
        <f t="shared" si="2057"/>
        <v>本科</v>
      </c>
      <c r="D4145" s="1" t="str">
        <f>"20230630"</f>
        <v>20230630</v>
      </c>
      <c r="E4145" s="1" t="str">
        <f>"湖北工程学院"</f>
        <v>湖北工程学院</v>
      </c>
      <c r="F4145" s="1" t="str">
        <f>"市场营销"</f>
        <v>市场营销</v>
      </c>
      <c r="G4145" s="1" t="str">
        <f>"湖北省襄阳市樊城区大庆西路襄阳花园"</f>
        <v>湖北省襄阳市樊城区大庆西路襄阳花园</v>
      </c>
      <c r="H4145" s="1" t="str">
        <f t="shared" si="2054"/>
        <v>无</v>
      </c>
      <c r="I4145" s="1" t="str">
        <f>"2019.09-2023.06 湖北工程学院 就读  全日制本科 专业：市场营销"</f>
        <v>2019.09-2023.06 湖北工程学院 就读  全日制本科 专业：市场营销</v>
      </c>
    </row>
    <row r="4146" spans="1:9">
      <c r="A4146" s="1" t="str">
        <f>"411325200304180010"</f>
        <v>411325200304180010</v>
      </c>
      <c r="B4146" s="1" t="str">
        <f t="shared" si="2055"/>
        <v>共青团员</v>
      </c>
      <c r="C4146" s="1" t="str">
        <f t="shared" si="2057"/>
        <v>本科</v>
      </c>
      <c r="D4146" s="1" t="str">
        <f>"20250616"</f>
        <v>20250616</v>
      </c>
      <c r="E4146" s="1" t="str">
        <f>"新疆政法学院"</f>
        <v>新疆政法学院</v>
      </c>
      <c r="F4146" s="1" t="str">
        <f>"计算机科学与技术"</f>
        <v>计算机科学与技术</v>
      </c>
      <c r="G4146" s="1" t="str">
        <f>"河南省内乡县城关镇范蠡大街350号"</f>
        <v>河南省内乡县城关镇范蠡大街350号</v>
      </c>
      <c r="H4146" s="1" t="str">
        <f t="shared" si="2054"/>
        <v>无</v>
      </c>
      <c r="I4146" s="1" t="str">
        <f>"202109-202506在新疆政法学院 信息网络安全学院 计算机科学与技术专业就读，是全日制学历。"</f>
        <v>202109-202506在新疆政法学院 信息网络安全学院 计算机科学与技术专业就读，是全日制学历。</v>
      </c>
    </row>
    <row r="4147" spans="1:9">
      <c r="A4147" s="1" t="str">
        <f>"411327199806212024"</f>
        <v>411327199806212024</v>
      </c>
      <c r="B4147" s="1" t="str">
        <f t="shared" si="2056"/>
        <v>群众</v>
      </c>
      <c r="C4147" s="1" t="str">
        <f t="shared" si="2057"/>
        <v>本科</v>
      </c>
      <c r="D4147" s="1" t="str">
        <f>"20240701"</f>
        <v>20240701</v>
      </c>
      <c r="E4147" s="1" t="str">
        <f>"南阳师范学院"</f>
        <v>南阳师范学院</v>
      </c>
      <c r="F4147" s="1" t="str">
        <f>"教育学"</f>
        <v>教育学</v>
      </c>
      <c r="G4147" s="1" t="str">
        <f>"内乡县湍东镇六棵松三期二区11幢1001"</f>
        <v>内乡县湍东镇六棵松三期二区11幢1001</v>
      </c>
      <c r="H4147" s="1" t="str">
        <f t="shared" si="2054"/>
        <v>无</v>
      </c>
      <c r="I4147" s="1" t="str">
        <f>"201709-201807南阳师范学院小学教育（全科教师）专业就读
201809-201907休学
201909-202107南阳师范学院小学教育（全科教师）专业就读
202109至今在灵山雷锋学校任教，期间202203-202407南阳师范学院教育学专业就读"</f>
        <v>201709-201807南阳师范学院小学教育（全科教师）专业就读
201809-201907休学
201909-202107南阳师范学院小学教育（全科教师）专业就读
202109至今在灵山雷锋学校任教，期间202203-202407南阳师范学院教育学专业就读</v>
      </c>
    </row>
    <row r="4148" spans="1:9">
      <c r="A4148" s="1" t="str">
        <f>"411325199607180055"</f>
        <v>411325199607180055</v>
      </c>
      <c r="B4148" s="1" t="str">
        <f t="shared" si="2056"/>
        <v>群众</v>
      </c>
      <c r="C4148" s="1" t="str">
        <f t="shared" ref="C4148:C4152" si="2058">"专科"</f>
        <v>专科</v>
      </c>
      <c r="D4148" s="1" t="str">
        <f>"20180701"</f>
        <v>20180701</v>
      </c>
      <c r="E4148" s="1" t="str">
        <f>"华北水利水电大学"</f>
        <v>华北水利水电大学</v>
      </c>
      <c r="F4148" s="1" t="str">
        <f>"建筑工程技术"</f>
        <v>建筑工程技术</v>
      </c>
      <c r="G4148" s="1" t="str">
        <f>"河南省南阳市内乡县菊潭大街669号"</f>
        <v>河南省南阳市内乡县菊潭大街669号</v>
      </c>
      <c r="H4148" s="1" t="str">
        <f t="shared" si="2054"/>
        <v>无</v>
      </c>
      <c r="I4148" s="1" t="str">
        <f>"201509-201807 华北水利水电大学建筑工程技术专业就读，是全日制学历
201807-201907 在内乡县待业
201907-至今科达试验检测有限公司 就业
"</f>
        <v>201509-201807 华北水利水电大学建筑工程技术专业就读，是全日制学历
201807-201907 在内乡县待业
201907-至今科达试验检测有限公司 就业
</v>
      </c>
    </row>
    <row r="4149" spans="1:9">
      <c r="A4149" s="1" t="str">
        <f>"411327200104262946"</f>
        <v>411327200104262946</v>
      </c>
      <c r="B4149" s="1" t="str">
        <f t="shared" si="2056"/>
        <v>群众</v>
      </c>
      <c r="C4149" s="1" t="str">
        <f t="shared" ref="C4149:C4157" si="2059">"本科"</f>
        <v>本科</v>
      </c>
      <c r="D4149" s="1" t="str">
        <f>"20240620"</f>
        <v>20240620</v>
      </c>
      <c r="E4149" s="1" t="str">
        <f>"郑州科技学院"</f>
        <v>郑州科技学院</v>
      </c>
      <c r="F4149" s="1" t="str">
        <f>"经济学"</f>
        <v>经济学</v>
      </c>
      <c r="G4149" s="1" t="str">
        <f>"河南省南阳市内乡县瓦亭镇"</f>
        <v>河南省南阳市内乡县瓦亭镇</v>
      </c>
      <c r="H4149" s="1" t="str">
        <f t="shared" si="2054"/>
        <v>无</v>
      </c>
      <c r="I4149" s="1" t="str">
        <f>"202009-202406在郑州科技学院就读于财经学院经济学专业是全日制本科
202407-至今在内乡县公安局看护大队工作"</f>
        <v>202009-202406在郑州科技学院就读于财经学院经济学专业是全日制本科
202407-至今在内乡县公安局看护大队工作</v>
      </c>
    </row>
    <row r="4150" spans="1:9">
      <c r="A4150" s="1" t="str">
        <f>"410581200106069048"</f>
        <v>410581200106069048</v>
      </c>
      <c r="B4150" s="1" t="str">
        <f t="shared" si="2056"/>
        <v>群众</v>
      </c>
      <c r="C4150" s="1" t="str">
        <f t="shared" si="2058"/>
        <v>专科</v>
      </c>
      <c r="D4150" s="1" t="str">
        <f>"20240701"</f>
        <v>20240701</v>
      </c>
      <c r="E4150" s="1" t="str">
        <f>"安阳职业技术学院"</f>
        <v>安阳职业技术学院</v>
      </c>
      <c r="F4150" s="1" t="str">
        <f>"电子信息工程技术"</f>
        <v>电子信息工程技术</v>
      </c>
      <c r="G4150" s="1" t="str">
        <f>"安阳市林州市明珠小区"</f>
        <v>安阳市林州市明珠小区</v>
      </c>
      <c r="H4150" s="1" t="str">
        <f t="shared" si="2054"/>
        <v>无</v>
      </c>
      <c r="I4150" s="1" t="str">
        <f>"20210901-20240701 就读于安阳职业技术学院机电工程系电子信息工程技术专业，全日制学历"</f>
        <v>20210901-20240701 就读于安阳职业技术学院机电工程系电子信息工程技术专业，全日制学历</v>
      </c>
    </row>
    <row r="4151" spans="1:9">
      <c r="A4151" s="1" t="str">
        <f>"610502199802246630"</f>
        <v>610502199802246630</v>
      </c>
      <c r="B4151" s="1" t="str">
        <f t="shared" si="2056"/>
        <v>群众</v>
      </c>
      <c r="C4151" s="1" t="str">
        <f t="shared" si="2059"/>
        <v>本科</v>
      </c>
      <c r="D4151" s="1" t="str">
        <f>"20220620"</f>
        <v>20220620</v>
      </c>
      <c r="E4151" s="1" t="str">
        <f>"长江师范学院"</f>
        <v>长江师范学院</v>
      </c>
      <c r="F4151" s="1" t="str">
        <f>"环境科学"</f>
        <v>环境科学</v>
      </c>
      <c r="G4151" s="1" t="str">
        <f>"陕西省渭南市临渭区东风大街贸易广场金岛A-01#"</f>
        <v>陕西省渭南市临渭区东风大街贸易广场金岛A-01#</v>
      </c>
      <c r="H4151" s="1" t="str">
        <f t="shared" si="2054"/>
        <v>无</v>
      </c>
      <c r="I4151" s="1" t="str">
        <f>"201809-202206，在长江师范学院就读，院系：绿色智慧环境学院；专业：环境科学，学历：全日制本科学历；
202206-至今，待业"</f>
        <v>201809-202206，在长江师范学院就读，院系：绿色智慧环境学院；专业：环境科学，学历：全日制本科学历；
202206-至今，待业</v>
      </c>
    </row>
    <row r="4152" spans="1:9">
      <c r="A4152" s="1" t="str">
        <f>"411623199107102927"</f>
        <v>411623199107102927</v>
      </c>
      <c r="B4152" s="1" t="str">
        <f t="shared" si="2056"/>
        <v>群众</v>
      </c>
      <c r="C4152" s="1" t="str">
        <f t="shared" si="2058"/>
        <v>专科</v>
      </c>
      <c r="D4152" s="1" t="str">
        <f>"20150701"</f>
        <v>20150701</v>
      </c>
      <c r="E4152" s="1" t="str">
        <f>"河南工程学院"</f>
        <v>河南工程学院</v>
      </c>
      <c r="F4152" s="1" t="str">
        <f>"审计实务"</f>
        <v>审计实务</v>
      </c>
      <c r="G4152" s="1" t="str">
        <f>"河南省商水县谭庄镇"</f>
        <v>河南省商水县谭庄镇</v>
      </c>
      <c r="H4152" s="1" t="str">
        <f t="shared" si="2054"/>
        <v>无</v>
      </c>
      <c r="I4152" s="1" t="str">
        <f>"201209-201507河南工程学院审计实务专业就读。全日制学历。
201507-202507待业。"</f>
        <v>201209-201507河南工程学院审计实务专业就读。全日制学历。
201507-202507待业。</v>
      </c>
    </row>
    <row r="4153" spans="1:9">
      <c r="A4153" s="1" t="str">
        <f>"41132120020317322X"</f>
        <v>41132120020317322X</v>
      </c>
      <c r="B4153" s="1" t="str">
        <f>"中共党员"</f>
        <v>中共党员</v>
      </c>
      <c r="C4153" s="1" t="str">
        <f t="shared" si="2059"/>
        <v>本科</v>
      </c>
      <c r="D4153" s="1" t="str">
        <f>"2024-07-01"</f>
        <v>2024-07-01</v>
      </c>
      <c r="E4153" s="1" t="str">
        <f>"河南财经政法大学"</f>
        <v>河南财经政法大学</v>
      </c>
      <c r="F4153" s="1" t="str">
        <f>"音乐学"</f>
        <v>音乐学</v>
      </c>
      <c r="G4153" s="1" t="str">
        <f>"河南省南阳市桐柏县玫瑰鑫城"</f>
        <v>河南省南阳市桐柏县玫瑰鑫城</v>
      </c>
      <c r="H4153" s="1" t="str">
        <f t="shared" si="2054"/>
        <v>无</v>
      </c>
      <c r="I4153" s="1" t="str">
        <f>"202009-202406就读于河南财经政法大学"</f>
        <v>202009-202406就读于河南财经政法大学</v>
      </c>
    </row>
    <row r="4154" spans="1:9">
      <c r="A4154" s="1" t="str">
        <f>"41092620020114244X"</f>
        <v>41092620020114244X</v>
      </c>
      <c r="B4154" s="1" t="str">
        <f>"共青团员"</f>
        <v>共青团员</v>
      </c>
      <c r="C4154" s="1" t="str">
        <f t="shared" si="2059"/>
        <v>本科</v>
      </c>
      <c r="D4154" s="1" t="str">
        <f>"20240701"</f>
        <v>20240701</v>
      </c>
      <c r="E4154" s="1" t="str">
        <f>"河南师范大学"</f>
        <v>河南师范大学</v>
      </c>
      <c r="F4154" s="1" t="str">
        <f>"电气工程及其自动化"</f>
        <v>电气工程及其自动化</v>
      </c>
      <c r="G4154" s="1" t="str">
        <f>"河南省濮阳市范县新区崇明源"</f>
        <v>河南省濮阳市范县新区崇明源</v>
      </c>
      <c r="H4154" s="1" t="str">
        <f t="shared" si="2054"/>
        <v>无</v>
      </c>
      <c r="I4154" s="1" t="str">
        <f>"202009-202407河南师范大学国际教育学院电气工程及其自动化专业就读，为全日制学历。"</f>
        <v>202009-202407河南师范大学国际教育学院电气工程及其自动化专业就读，为全日制学历。</v>
      </c>
    </row>
    <row r="4155" spans="1:9">
      <c r="A4155" s="1" t="str">
        <f>"41132720010620351X"</f>
        <v>41132720010620351X</v>
      </c>
      <c r="B4155" s="1" t="str">
        <f t="shared" ref="B4155:B4158" si="2060">"群众"</f>
        <v>群众</v>
      </c>
      <c r="C4155" s="1" t="str">
        <f t="shared" si="2059"/>
        <v>本科</v>
      </c>
      <c r="D4155" s="1" t="str">
        <f>"2023-07-01"</f>
        <v>2023-07-01</v>
      </c>
      <c r="E4155" s="1" t="str">
        <f>"新疆理工学院"</f>
        <v>新疆理工学院</v>
      </c>
      <c r="F4155" s="1" t="str">
        <f>"旅游管理"</f>
        <v>旅游管理</v>
      </c>
      <c r="G4155" s="1" t="str">
        <f>"河南省南阳市内乡县板厂乡长兴村"</f>
        <v>河南省南阳市内乡县板厂乡长兴村</v>
      </c>
      <c r="H4155" s="1" t="str">
        <f>"教师资格证 普通话二甲"</f>
        <v>教师资格证 普通话二甲</v>
      </c>
      <c r="I4155" s="1" t="str">
        <f>"201909-202307在新疆理工学院，经济与贸易管理学院，旅游管理专业就读"</f>
        <v>201909-202307在新疆理工学院，经济与贸易管理学院，旅游管理专业就读</v>
      </c>
    </row>
    <row r="4156" spans="1:9">
      <c r="A4156" s="1" t="str">
        <f>"411381199110154610"</f>
        <v>411381199110154610</v>
      </c>
      <c r="B4156" s="1" t="str">
        <f>"中共党员"</f>
        <v>中共党员</v>
      </c>
      <c r="C4156" s="1" t="str">
        <f t="shared" si="2059"/>
        <v>本科</v>
      </c>
      <c r="D4156" s="1" t="str">
        <f>"20240701"</f>
        <v>20240701</v>
      </c>
      <c r="E4156" s="1" t="str">
        <f>"河南师范大学"</f>
        <v>河南师范大学</v>
      </c>
      <c r="F4156" s="1" t="str">
        <f>"法学"</f>
        <v>法学</v>
      </c>
      <c r="G4156" s="1" t="str">
        <f>"河南省南阳市邓州张村镇"</f>
        <v>河南省南阳市邓州张村镇</v>
      </c>
      <c r="H4156" s="1" t="str">
        <f t="shared" ref="H4156:H4163" si="2061">"无"</f>
        <v>无</v>
      </c>
      <c r="I4156" s="1" t="str">
        <f>"20180301-20200701 南阳师范学院就读。函数
20220301-20240701 河南师范大学就读。函数
学习期间直至在邓州市公安局当辅警。"</f>
        <v>20180301-20200701 南阳师范学院就读。函数
20220301-20240701 河南师范大学就读。函数
学习期间直至在邓州市公安局当辅警。</v>
      </c>
    </row>
    <row r="4157" spans="1:9">
      <c r="A4157" s="1" t="str">
        <f>"410422200111089136"</f>
        <v>410422200111089136</v>
      </c>
      <c r="B4157" s="1" t="str">
        <f t="shared" si="2060"/>
        <v>群众</v>
      </c>
      <c r="C4157" s="1" t="str">
        <f t="shared" si="2059"/>
        <v>本科</v>
      </c>
      <c r="D4157" s="1" t="str">
        <f>"20240618"</f>
        <v>20240618</v>
      </c>
      <c r="E4157" s="1" t="str">
        <f>"中国矿业大学"</f>
        <v>中国矿业大学</v>
      </c>
      <c r="F4157" s="1" t="str">
        <f>"环境设计"</f>
        <v>环境设计</v>
      </c>
      <c r="G4157" s="1" t="str">
        <f>"河南省平顶山市叶县"</f>
        <v>河南省平顶山市叶县</v>
      </c>
      <c r="H4157" s="1" t="str">
        <f t="shared" si="2061"/>
        <v>无</v>
      </c>
      <c r="I4157" s="1" t="str">
        <f>"202009-202406中国矿业大学环境设计专业就读，全日制学历。"</f>
        <v>202009-202406中国矿业大学环境设计专业就读，全日制学历。</v>
      </c>
    </row>
    <row r="4158" spans="1:9">
      <c r="A4158" s="1" t="str">
        <f>"411327199702284234"</f>
        <v>411327199702284234</v>
      </c>
      <c r="B4158" s="1" t="str">
        <f t="shared" si="2060"/>
        <v>群众</v>
      </c>
      <c r="C4158" s="1" t="str">
        <f>"专科"</f>
        <v>专科</v>
      </c>
      <c r="D4158" s="1" t="str">
        <f>"20180701"</f>
        <v>20180701</v>
      </c>
      <c r="E4158" s="1" t="str">
        <f>"三门峡职业技术学院"</f>
        <v>三门峡职业技术学院</v>
      </c>
      <c r="F4158" s="1" t="str">
        <f>"财务管理"</f>
        <v>财务管理</v>
      </c>
      <c r="G4158" s="1" t="str">
        <f>"河南省内乡县林业局家属院1单元101"</f>
        <v>河南省内乡县林业局家属院1单元101</v>
      </c>
      <c r="H4158" s="1" t="str">
        <f t="shared" si="2061"/>
        <v>无</v>
      </c>
      <c r="I4158" s="1" t="str">
        <f>"201509-201807  三门峡职业技术学院经济管理系就读财务管理专业，为全日制。
201807-202008  在内乡县待业；
202008-202507  在南阳村镇银行股份有限公司就职，任职客户经理。"</f>
        <v>201509-201807  三门峡职业技术学院经济管理系就读财务管理专业，为全日制。
201807-202008  在内乡县待业；
202008-202507  在南阳村镇银行股份有限公司就职，任职客户经理。</v>
      </c>
    </row>
    <row r="4159" spans="1:9">
      <c r="A4159" s="1" t="str">
        <f>"411327200003011136"</f>
        <v>411327200003011136</v>
      </c>
      <c r="B4159" s="1" t="str">
        <f t="shared" ref="B4159:B4164" si="2062">"共青团员"</f>
        <v>共青团员</v>
      </c>
      <c r="C4159" s="1" t="str">
        <f t="shared" ref="C4159:C4162" si="2063">"本科"</f>
        <v>本科</v>
      </c>
      <c r="D4159" s="1" t="str">
        <f>"20230630"</f>
        <v>20230630</v>
      </c>
      <c r="E4159" s="1" t="str">
        <f>"郑州科技学院"</f>
        <v>郑州科技学院</v>
      </c>
      <c r="F4159" s="1" t="str">
        <f>"软件工程"</f>
        <v>软件工程</v>
      </c>
      <c r="G4159" s="1" t="str">
        <f>"河南省南阳市内乡县湍东镇南湖湾小区1号楼3单元902"</f>
        <v>河南省南阳市内乡县湍东镇南湖湾小区1号楼3单元902</v>
      </c>
      <c r="H4159" s="1" t="str">
        <f t="shared" si="2061"/>
        <v>无</v>
      </c>
      <c r="I4159" s="1" t="str">
        <f>"201809-202106 在河南信息统计职业学院 信息工程系计算机应用技术专业就读，是全日制
202109-202306在郑州科技学院信息工程学院软件工程专业就读，是全日制
202306-202507在南阳市寅兴实业有限公司上班"</f>
        <v>201809-202106 在河南信息统计职业学院 信息工程系计算机应用技术专业就读，是全日制
202109-202306在郑州科技学院信息工程学院软件工程专业就读，是全日制
202306-202507在南阳市寅兴实业有限公司上班</v>
      </c>
    </row>
    <row r="4160" spans="1:9">
      <c r="A4160" s="1" t="str">
        <f>"411521200105093016"</f>
        <v>411521200105093016</v>
      </c>
      <c r="B4160" s="1" t="str">
        <f t="shared" si="2062"/>
        <v>共青团员</v>
      </c>
      <c r="C4160" s="1" t="str">
        <f t="shared" si="2063"/>
        <v>本科</v>
      </c>
      <c r="D4160" s="1" t="str">
        <f>"20250701"</f>
        <v>20250701</v>
      </c>
      <c r="E4160" s="1" t="str">
        <f>"郑州升达经贸管理学院"</f>
        <v>郑州升达经贸管理学院</v>
      </c>
      <c r="F4160" s="1" t="str">
        <f>"会计学"</f>
        <v>会计学</v>
      </c>
      <c r="G4160" s="1" t="str">
        <f>"河南省信阳市罗山县高店乡"</f>
        <v>河南省信阳市罗山县高店乡</v>
      </c>
      <c r="H4160" s="1" t="str">
        <f t="shared" si="2061"/>
        <v>无</v>
      </c>
      <c r="I4160" s="1" t="str">
        <f>"202009-202307郑州职业技术学院现代管理系互联网金融全日制
202309-202507郑州升达经贸1管理学院会计学院会计学全日制
"</f>
        <v>202009-202307郑州职业技术学院现代管理系互联网金融全日制
202309-202507郑州升达经贸1管理学院会计学院会计学全日制
</v>
      </c>
    </row>
    <row r="4161" spans="1:9">
      <c r="A4161" s="1" t="str">
        <f>"411327200106210621"</f>
        <v>411327200106210621</v>
      </c>
      <c r="B4161" s="1" t="str">
        <f>"群众"</f>
        <v>群众</v>
      </c>
      <c r="C4161" s="1" t="str">
        <f t="shared" si="2063"/>
        <v>本科</v>
      </c>
      <c r="D4161" s="1" t="str">
        <f>"2025.06.22"</f>
        <v>2025.06.22</v>
      </c>
      <c r="E4161" s="1" t="str">
        <f>"南阳理工学院"</f>
        <v>南阳理工学院</v>
      </c>
      <c r="F4161" s="1" t="str">
        <f>"广播电视编导专业"</f>
        <v>广播电视编导专业</v>
      </c>
      <c r="G4161" s="1" t="str">
        <f>"河南省南阳市内乡县马山口镇花北村五组"</f>
        <v>河南省南阳市内乡县马山口镇花北村五组</v>
      </c>
      <c r="H4161" s="1" t="str">
        <f t="shared" si="2061"/>
        <v>无</v>
      </c>
      <c r="I4161" s="1" t="str">
        <f>"202109-202506  南阳理工学院  传媒学院 广播电视编导专业 全日制本科就读
"</f>
        <v>202109-202506  南阳理工学院  传媒学院 广播电视编导专业 全日制本科就读
</v>
      </c>
    </row>
    <row r="4162" ht="94.5" spans="1:9">
      <c r="A4162" s="1" t="str">
        <f>"410711199208261539"</f>
        <v>410711199208261539</v>
      </c>
      <c r="B4162" s="1" t="str">
        <f>"中共党员"</f>
        <v>中共党员</v>
      </c>
      <c r="C4162" s="1" t="str">
        <f t="shared" si="2063"/>
        <v>本科</v>
      </c>
      <c r="D4162" s="1" t="str">
        <f>"20160630"</f>
        <v>20160630</v>
      </c>
      <c r="E4162" s="1" t="str">
        <f>"华中科技大学"</f>
        <v>华中科技大学</v>
      </c>
      <c r="F4162" s="1" t="str">
        <f>"电子信息工程"</f>
        <v>电子信息工程</v>
      </c>
      <c r="G4162" s="1" t="str">
        <f>"河南省新乡市卫滨区怡园小区11号楼3单元101"</f>
        <v>河南省新乡市卫滨区怡园小区11号楼3单元101</v>
      </c>
      <c r="H4162" s="1" t="str">
        <f t="shared" si="2061"/>
        <v>无</v>
      </c>
      <c r="I4162" s="3" t="s">
        <v>273</v>
      </c>
    </row>
    <row r="4163" spans="1:9">
      <c r="A4163" s="1" t="str">
        <f>"411323200405290048"</f>
        <v>411323200405290048</v>
      </c>
      <c r="B4163" s="1" t="str">
        <f>"中共预备党员"</f>
        <v>中共预备党员</v>
      </c>
      <c r="C4163" s="1" t="str">
        <f>"专科"</f>
        <v>专科</v>
      </c>
      <c r="D4163" s="1" t="str">
        <f>"20250701"</f>
        <v>20250701</v>
      </c>
      <c r="E4163" s="1" t="str">
        <f>"湖北健康职业学院"</f>
        <v>湖北健康职业学院</v>
      </c>
      <c r="F4163" s="1" t="str">
        <f>"医学检验技术"</f>
        <v>医学检验技术</v>
      </c>
      <c r="G4163" s="1" t="str">
        <f>"河南省南阳市淅川县南阳路范蠡社区"</f>
        <v>河南省南阳市淅川县南阳路范蠡社区</v>
      </c>
      <c r="H4163" s="1" t="str">
        <f t="shared" si="2061"/>
        <v>无</v>
      </c>
      <c r="I4163" s="1" t="str">
        <f>"202209-202507 湖北健康职业学院医学技术系医学检验技术专业学就读，是全日制学历"</f>
        <v>202209-202507 湖北健康职业学院医学技术系医学检验技术专业学就读，是全日制学历</v>
      </c>
    </row>
    <row r="4164" spans="1:9">
      <c r="A4164" s="1" t="str">
        <f>"41132520021222002X"</f>
        <v>41132520021222002X</v>
      </c>
      <c r="B4164" s="1" t="str">
        <f t="shared" si="2062"/>
        <v>共青团员</v>
      </c>
      <c r="C4164" s="1" t="str">
        <f t="shared" ref="C4164:C4166" si="2064">"本科"</f>
        <v>本科</v>
      </c>
      <c r="D4164" s="1" t="str">
        <f>"20240615"</f>
        <v>20240615</v>
      </c>
      <c r="E4164" s="1" t="str">
        <f>"周口师范学院"</f>
        <v>周口师范学院</v>
      </c>
      <c r="F4164" s="1" t="str">
        <f>"财务管理"</f>
        <v>财务管理</v>
      </c>
      <c r="G4164" s="1" t="str">
        <f>"南阳市唐河县育英花园小区"</f>
        <v>南阳市唐河县育英花园小区</v>
      </c>
      <c r="H4164" s="1" t="str">
        <f>"初级会计师资格证"</f>
        <v>初级会计师资格证</v>
      </c>
      <c r="I4164" s="1" t="str">
        <f>"202009-202406 周口师范学院经济与管理学院财务管理专业就读
202406-202410 唐河县待业
202410-至今      唐河县公安局辅警"</f>
        <v>202009-202406 周口师范学院经济与管理学院财务管理专业就读
202406-202410 唐河县待业
202410-至今      唐河县公安局辅警</v>
      </c>
    </row>
    <row r="4165" spans="1:9">
      <c r="A4165" s="1" t="str">
        <f>"411325200305102970"</f>
        <v>411325200305102970</v>
      </c>
      <c r="B4165" s="1" t="str">
        <f>"群众"</f>
        <v>群众</v>
      </c>
      <c r="C4165" s="1" t="str">
        <f t="shared" si="2064"/>
        <v>本科</v>
      </c>
      <c r="D4165" s="1" t="str">
        <f>"20250618"</f>
        <v>20250618</v>
      </c>
      <c r="E4165" s="1" t="str">
        <f>"郑州西亚斯学院"</f>
        <v>郑州西亚斯学院</v>
      </c>
      <c r="F4165" s="1" t="str">
        <f>"电子信息工程"</f>
        <v>电子信息工程</v>
      </c>
      <c r="G4165" s="1" t="str">
        <f>"河南省南阳市内乡县城关镇邮政广场"</f>
        <v>河南省南阳市内乡县城关镇邮政广场</v>
      </c>
      <c r="H4165" s="1" t="str">
        <f t="shared" ref="H4165:H4167" si="2065">"无"</f>
        <v>无</v>
      </c>
      <c r="I4165" s="1" t="str">
        <f>"202109-202506郑州西亚斯学院就读，是全日制"</f>
        <v>202109-202506郑州西亚斯学院就读，是全日制</v>
      </c>
    </row>
    <row r="4166" spans="1:9">
      <c r="A4166" s="1" t="str">
        <f>"411323200110142021"</f>
        <v>411323200110142021</v>
      </c>
      <c r="B4166" s="1" t="str">
        <f t="shared" ref="B4166:B4171" si="2066">"共青团员"</f>
        <v>共青团员</v>
      </c>
      <c r="C4166" s="1" t="str">
        <f t="shared" si="2064"/>
        <v>本科</v>
      </c>
      <c r="D4166" s="1" t="str">
        <f>"20240606"</f>
        <v>20240606</v>
      </c>
      <c r="E4166" s="1" t="str">
        <f>"信阳学院"</f>
        <v>信阳学院</v>
      </c>
      <c r="F4166" s="1" t="str">
        <f>"数学与应用数学"</f>
        <v>数学与应用数学</v>
      </c>
      <c r="G4166" s="1" t="str">
        <f>"河南省南阳市西峡县"</f>
        <v>河南省南阳市西峡县</v>
      </c>
      <c r="H4166" s="1" t="str">
        <f t="shared" si="2065"/>
        <v>无</v>
      </c>
      <c r="I4166" s="1" t="str">
        <f>"202009-202406 信阳学院数学与统计学院数学与应用数学就读，是全日制学历；202406至今在西峡县待业"</f>
        <v>202009-202406 信阳学院数学与统计学院数学与应用数学就读，是全日制学历；202406至今在西峡县待业</v>
      </c>
    </row>
    <row r="4167" spans="1:9">
      <c r="A4167" s="1" t="str">
        <f>"411325200403103723"</f>
        <v>411325200403103723</v>
      </c>
      <c r="B4167" s="1" t="str">
        <f t="shared" si="2066"/>
        <v>共青团员</v>
      </c>
      <c r="C4167" s="1" t="str">
        <f>"专科"</f>
        <v>专科</v>
      </c>
      <c r="D4167" s="1" t="str">
        <f>"20250701"</f>
        <v>20250701</v>
      </c>
      <c r="E4167" s="1" t="str">
        <f>"河南林业职业学院"</f>
        <v>河南林业职业学院</v>
      </c>
      <c r="F4167" s="1" t="str">
        <f>"酒店管理与数字化运营"</f>
        <v>酒店管理与数字化运营</v>
      </c>
      <c r="G4167" s="1" t="str">
        <f>"河南省南阳市内乡县公路管理局门卫"</f>
        <v>河南省南阳市内乡县公路管理局门卫</v>
      </c>
      <c r="H4167" s="1" t="str">
        <f t="shared" si="2065"/>
        <v>无</v>
      </c>
      <c r="I4167" s="1" t="str">
        <f>"202209-202506在河南林业职业学院 旅游与食品学院酒店管理与数字化运营专业就读 全日制学历"</f>
        <v>202209-202506在河南林业职业学院 旅游与食品学院酒店管理与数字化运营专业就读 全日制学历</v>
      </c>
    </row>
    <row r="4168" spans="1:9">
      <c r="A4168" s="1" t="str">
        <f>"411327199910253723"</f>
        <v>411327199910253723</v>
      </c>
      <c r="B4168" s="1" t="str">
        <f t="shared" ref="B4168:B4173" si="2067">"群众"</f>
        <v>群众</v>
      </c>
      <c r="C4168" s="1" t="str">
        <f t="shared" ref="C4168:C4176" si="2068">"本科"</f>
        <v>本科</v>
      </c>
      <c r="D4168" s="1" t="str">
        <f>"2022.07"</f>
        <v>2022.07</v>
      </c>
      <c r="E4168" s="1" t="str">
        <f>"信阳学院"</f>
        <v>信阳学院</v>
      </c>
      <c r="F4168" s="1" t="str">
        <f>"汉语言文学"</f>
        <v>汉语言文学</v>
      </c>
      <c r="G4168" s="1" t="str">
        <f>"河南省南阳市内乡县城关镇五小红绿灯北200米"</f>
        <v>河南省南阳市内乡县城关镇五小红绿灯北200米</v>
      </c>
      <c r="H4168" s="1" t="str">
        <f>"教师资格证和英语四级证"</f>
        <v>教师资格证和英语四级证</v>
      </c>
      <c r="I4168" s="1" t="str">
        <f>"201809-202207信阳学院就读，文学院汉语言文学专业，全日制学历。"</f>
        <v>201809-202207信阳学院就读，文学院汉语言文学专业，全日制学历。</v>
      </c>
    </row>
    <row r="4169" spans="1:9">
      <c r="A4169" s="1" t="str">
        <f>"411522200103061236"</f>
        <v>411522200103061236</v>
      </c>
      <c r="B4169" s="1" t="str">
        <f t="shared" si="2066"/>
        <v>共青团员</v>
      </c>
      <c r="C4169" s="1" t="str">
        <f t="shared" si="2068"/>
        <v>本科</v>
      </c>
      <c r="D4169" s="1" t="str">
        <f>"20240701"</f>
        <v>20240701</v>
      </c>
      <c r="E4169" s="1" t="str">
        <f>"河南科技学院"</f>
        <v>河南科技学院</v>
      </c>
      <c r="F4169" s="1" t="str">
        <f>"国际经济与贸易"</f>
        <v>国际经济与贸易</v>
      </c>
      <c r="G4169" s="1" t="str">
        <f>"河南省信阳市光山县孙铁铺镇"</f>
        <v>河南省信阳市光山县孙铁铺镇</v>
      </c>
      <c r="H4169" s="1" t="str">
        <f t="shared" ref="H4169:H4171" si="2069">"无"</f>
        <v>无</v>
      </c>
      <c r="I4169" s="1" t="str">
        <f>"202009-202407河南科技学院学校经济与管理学院国际经济与贸易专业就读，全日制学历"</f>
        <v>202009-202407河南科技学院学校经济与管理学院国际经济与贸易专业就读，全日制学历</v>
      </c>
    </row>
    <row r="4170" spans="1:9">
      <c r="A4170" s="1" t="str">
        <f>"41132720010115152X"</f>
        <v>41132720010115152X</v>
      </c>
      <c r="B4170" s="1" t="str">
        <f t="shared" si="2066"/>
        <v>共青团员</v>
      </c>
      <c r="C4170" s="1" t="str">
        <f>"专科"</f>
        <v>专科</v>
      </c>
      <c r="D4170" s="1" t="str">
        <f>"2021-07-01"</f>
        <v>2021-07-01</v>
      </c>
      <c r="E4170" s="1" t="str">
        <f>"南阳农业职业学院"</f>
        <v>南阳农业职业学院</v>
      </c>
      <c r="F4170" s="1" t="str">
        <f>"计算机网络技术（网络管理）"</f>
        <v>计算机网络技术（网络管理）</v>
      </c>
      <c r="G4170" s="1" t="str">
        <f>"内乡县书香文艺对面"</f>
        <v>内乡县书香文艺对面</v>
      </c>
      <c r="H4170" s="1" t="str">
        <f t="shared" si="2069"/>
        <v>无</v>
      </c>
      <c r="I4170" s="1" t="str">
        <f>"201809-202107   南阳农业职业学院就读
202107-202112    实验幼儿园任职
202201-202507    聚爱食材专员
"</f>
        <v>201809-202107   南阳农业职业学院就读
202107-202112    实验幼儿园任职
202201-202507    聚爱食材专员
</v>
      </c>
    </row>
    <row r="4171" spans="1:9">
      <c r="A4171" s="1" t="str">
        <f>"41120219991009052X"</f>
        <v>41120219991009052X</v>
      </c>
      <c r="B4171" s="1" t="str">
        <f t="shared" si="2066"/>
        <v>共青团员</v>
      </c>
      <c r="C4171" s="1" t="str">
        <f t="shared" si="2068"/>
        <v>本科</v>
      </c>
      <c r="D4171" s="1" t="str">
        <f>"20250701"</f>
        <v>20250701</v>
      </c>
      <c r="E4171" s="1" t="str">
        <f>"安阳师范学院"</f>
        <v>安阳师范学院</v>
      </c>
      <c r="F4171" s="1" t="str">
        <f>"汉语言文学"</f>
        <v>汉语言文学</v>
      </c>
      <c r="G4171" s="1" t="str">
        <f>"河南省三门峡市湖滨区五原东路"</f>
        <v>河南省三门峡市湖滨区五原东路</v>
      </c>
      <c r="H4171" s="1" t="str">
        <f t="shared" si="2069"/>
        <v>无</v>
      </c>
      <c r="I4171" s="1" t="str">
        <f>"201909-202207 河南师范大学新联学院  文学与传媒学院 语文教育专业就读 是全日制学历
202304-202507 安阳师范学院  汉语言文学专业就读 非全日制学历"</f>
        <v>201909-202207 河南师范大学新联学院  文学与传媒学院 语文教育专业就读 是全日制学历
202304-202507 安阳师范学院  汉语言文学专业就读 非全日制学历</v>
      </c>
    </row>
    <row r="4172" spans="1:9">
      <c r="A4172" s="1" t="str">
        <f>"341221199902261756"</f>
        <v>341221199902261756</v>
      </c>
      <c r="B4172" s="1" t="str">
        <f t="shared" si="2067"/>
        <v>群众</v>
      </c>
      <c r="C4172" s="1" t="str">
        <f t="shared" si="2068"/>
        <v>本科</v>
      </c>
      <c r="D4172" s="1" t="str">
        <f>"20210608"</f>
        <v>20210608</v>
      </c>
      <c r="E4172" s="1" t="str">
        <f>"河南财政金融学院"</f>
        <v>河南财政金融学院</v>
      </c>
      <c r="F4172" s="1" t="str">
        <f>"财务管理"</f>
        <v>财务管理</v>
      </c>
      <c r="G4172" s="1" t="str">
        <f>"内乡县碧桂园天麓符"</f>
        <v>内乡县碧桂园天麓符</v>
      </c>
      <c r="H4172" s="1" t="str">
        <f>"初级会计职称"</f>
        <v>初级会计职称</v>
      </c>
      <c r="I4172" s="1" t="str">
        <f>"201709-202106河南财政金融学院会计学院财务管理专业就读，全日制学历"</f>
        <v>201709-202106河南财政金融学院会计学院财务管理专业就读，全日制学历</v>
      </c>
    </row>
    <row r="4173" spans="1:9">
      <c r="A4173" s="1" t="str">
        <f>"410223200012274032"</f>
        <v>410223200012274032</v>
      </c>
      <c r="B4173" s="1" t="str">
        <f t="shared" si="2067"/>
        <v>群众</v>
      </c>
      <c r="C4173" s="1" t="str">
        <f t="shared" si="2068"/>
        <v>本科</v>
      </c>
      <c r="D4173" s="1" t="str">
        <f>"20250620"</f>
        <v>20250620</v>
      </c>
      <c r="E4173" s="1" t="str">
        <f>"郑州科技学院"</f>
        <v>郑州科技学院</v>
      </c>
      <c r="F4173" s="1" t="str">
        <f>"食品质量与安全"</f>
        <v>食品质量与安全</v>
      </c>
      <c r="G4173" s="1" t="str">
        <f>"河南省开封市尉氏县蔡庄镇东街村"</f>
        <v>河南省开封市尉氏县蔡庄镇东街村</v>
      </c>
      <c r="H4173" s="1" t="str">
        <f>"农产品食品检验员（三级/高级工）"</f>
        <v>农产品食品检验员（三级/高级工）</v>
      </c>
      <c r="I4173" s="1" t="str">
        <f>"202009-202306 焦作大学化工与环境工程学院药品生产技术专业就读，是全日制专科学历。
202309-202509 郑州科技学院食品科学与工程学院食品质量与安全专业就读，是全日制本科学历。"</f>
        <v>202009-202306 焦作大学化工与环境工程学院药品生产技术专业就读，是全日制专科学历。
202309-202509 郑州科技学院食品科学与工程学院食品质量与安全专业就读，是全日制本科学历。</v>
      </c>
    </row>
    <row r="4174" spans="1:9">
      <c r="A4174" s="1" t="str">
        <f>"411324200108100101"</f>
        <v>411324200108100101</v>
      </c>
      <c r="B4174" s="1" t="str">
        <f>"中共党员"</f>
        <v>中共党员</v>
      </c>
      <c r="C4174" s="1" t="str">
        <f t="shared" si="2068"/>
        <v>本科</v>
      </c>
      <c r="D4174" s="1" t="str">
        <f>"20230630"</f>
        <v>20230630</v>
      </c>
      <c r="E4174" s="1" t="str">
        <f>"广西民族大学"</f>
        <v>广西民族大学</v>
      </c>
      <c r="F4174" s="1" t="str">
        <f>"环境设计"</f>
        <v>环境设计</v>
      </c>
      <c r="G4174" s="1" t="str">
        <f>"河南省南阳市镇平县城关镇西关村52组1824号"</f>
        <v>河南省南阳市镇平县城关镇西关村52组1824号</v>
      </c>
      <c r="H4174" s="1" t="str">
        <f t="shared" ref="H4174:H4179" si="2070">"无"</f>
        <v>无</v>
      </c>
      <c r="I4174" s="1" t="str">
        <f>"20190930-20230630 广西民族大学艺术学院环境设计专业就读 全日制
20230630至今 待业"</f>
        <v>20190930-20230630 广西民族大学艺术学院环境设计专业就读 全日制
20230630至今 待业</v>
      </c>
    </row>
    <row r="4175" spans="1:9">
      <c r="A4175" s="1" t="str">
        <f>"411327200204220049"</f>
        <v>411327200204220049</v>
      </c>
      <c r="B4175" s="1" t="str">
        <f t="shared" ref="B4175:B4178" si="2071">"群众"</f>
        <v>群众</v>
      </c>
      <c r="C4175" s="1" t="str">
        <f t="shared" si="2068"/>
        <v>本科</v>
      </c>
      <c r="D4175" s="1" t="str">
        <f>"20240606"</f>
        <v>20240606</v>
      </c>
      <c r="E4175" s="1" t="str">
        <f>"河南大学"</f>
        <v>河南大学</v>
      </c>
      <c r="F4175" s="1" t="str">
        <f>"网络工程"</f>
        <v>网络工程</v>
      </c>
      <c r="G4175" s="1" t="str">
        <f>"河南省南阳市内乡县左岸皇朝"</f>
        <v>河南省南阳市内乡县左岸皇朝</v>
      </c>
      <c r="H4175" s="1" t="str">
        <f t="shared" si="2070"/>
        <v>无</v>
      </c>
      <c r="I4175" s="1" t="str">
        <f>"2020年9月-2024年6月在河南大学濮阳工学院网络工程专业就读，是全日制学历。"</f>
        <v>2020年9月-2024年6月在河南大学濮阳工学院网络工程专业就读，是全日制学历。</v>
      </c>
    </row>
    <row r="4176" spans="1:9">
      <c r="A4176" s="1" t="str">
        <f>"52020120000818164X"</f>
        <v>52020120000818164X</v>
      </c>
      <c r="B4176" s="1" t="str">
        <f>"共青团员"</f>
        <v>共青团员</v>
      </c>
      <c r="C4176" s="1" t="str">
        <f t="shared" si="2068"/>
        <v>本科</v>
      </c>
      <c r="D4176" s="1" t="str">
        <f>"2023-06-30"</f>
        <v>2023-06-30</v>
      </c>
      <c r="E4176" s="1" t="str">
        <f>"华南理工大学广州学院"</f>
        <v>华南理工大学广州学院</v>
      </c>
      <c r="F4176" s="1" t="str">
        <f>"物流工程"</f>
        <v>物流工程</v>
      </c>
      <c r="G4176" s="1" t="str">
        <f>"贵州省贵阳市南明区青山路99号国际城H4组团8栋1002号"</f>
        <v>贵州省贵阳市南明区青山路99号国际城H4组团8栋1002号</v>
      </c>
      <c r="H4176" s="1" t="str">
        <f>"供应链管理，高级"</f>
        <v>供应链管理，高级</v>
      </c>
      <c r="I4176" s="1" t="str">
        <f>"201909——202306在华南理工大学广州学院汽车与交通工程学院物流工程专业就读。"</f>
        <v>201909——202306在华南理工大学广州学院汽车与交通工程学院物流工程专业就读。</v>
      </c>
    </row>
    <row r="4177" spans="1:9">
      <c r="A4177" s="1" t="str">
        <f>"411381200112220461"</f>
        <v>411381200112220461</v>
      </c>
      <c r="B4177" s="1" t="str">
        <f t="shared" si="2071"/>
        <v>群众</v>
      </c>
      <c r="C4177" s="1" t="str">
        <f>"专科"</f>
        <v>专科</v>
      </c>
      <c r="D4177" s="1" t="str">
        <f>"20220701"</f>
        <v>20220701</v>
      </c>
      <c r="E4177" s="1" t="str">
        <f>"焦作大学"</f>
        <v>焦作大学</v>
      </c>
      <c r="F4177" s="1" t="str">
        <f>"电子商务"</f>
        <v>电子商务</v>
      </c>
      <c r="G4177" s="1" t="str">
        <f>"河南省邓州市张白社区七网格126号"</f>
        <v>河南省邓州市张白社区七网格126号</v>
      </c>
      <c r="H4177" s="1" t="str">
        <f>"小学语文教师资格证"</f>
        <v>小学语文教师资格证</v>
      </c>
      <c r="I4177" s="1" t="str">
        <f>"201909-202207 焦作大学 电子商务（全日制专科） 
202305-202507 长春大学 汉语言文学（非全日制本科） 
202207-202304 杭州念竺茶业有限公司 运营助理
202304-2024-04 上海复申文化传媒有限公司 新媒体运营"</f>
        <v>201909-202207 焦作大学 电子商务（全日制专科） 
202305-202507 长春大学 汉语言文学（非全日制本科） 
202207-202304 杭州念竺茶业有限公司 运营助理
202304-2024-04 上海复申文化传媒有限公司 新媒体运营</v>
      </c>
    </row>
    <row r="4178" spans="1:9">
      <c r="A4178" s="1" t="str">
        <f>"411324200003280062"</f>
        <v>411324200003280062</v>
      </c>
      <c r="B4178" s="1" t="str">
        <f t="shared" si="2071"/>
        <v>群众</v>
      </c>
      <c r="C4178" s="1" t="str">
        <f t="shared" ref="C4178:C4184" si="2072">"本科"</f>
        <v>本科</v>
      </c>
      <c r="D4178" s="1" t="str">
        <f>"2024.07"</f>
        <v>2024.07</v>
      </c>
      <c r="E4178" s="1" t="str">
        <f>"郑州工商学院"</f>
        <v>郑州工商学院</v>
      </c>
      <c r="F4178" s="1" t="str">
        <f>"学前教育"</f>
        <v>学前教育</v>
      </c>
      <c r="G4178" s="1" t="str">
        <f>"河南省南阳市镇平县工业北路"</f>
        <v>河南省南阳市镇平县工业北路</v>
      </c>
      <c r="H4178" s="1" t="str">
        <f t="shared" si="2070"/>
        <v>无</v>
      </c>
      <c r="I4178" s="1" t="str">
        <f>"2016.9-2019.7镇平县第一高级中学
2019.9-2022.7安阳幼儿师范高等专科学校学前教育专业
2022.9-2024.7郑州工商学院 学前教育专业
"</f>
        <v>2016.9-2019.7镇平县第一高级中学
2019.9-2022.7安阳幼儿师范高等专科学校学前教育专业
2022.9-2024.7郑州工商学院 学前教育专业
</v>
      </c>
    </row>
    <row r="4179" spans="1:9">
      <c r="A4179" s="1" t="str">
        <f>"411327200110290038"</f>
        <v>411327200110290038</v>
      </c>
      <c r="B4179" s="1" t="str">
        <f>"共青团员"</f>
        <v>共青团员</v>
      </c>
      <c r="C4179" s="1" t="str">
        <f t="shared" si="2072"/>
        <v>本科</v>
      </c>
      <c r="D4179" s="1" t="str">
        <f>"202307"</f>
        <v>202307</v>
      </c>
      <c r="E4179" s="1" t="str">
        <f>"扬州大学"</f>
        <v>扬州大学</v>
      </c>
      <c r="F4179" s="1" t="str">
        <f>"环境工程"</f>
        <v>环境工程</v>
      </c>
      <c r="G4179" s="1" t="str">
        <f>"河南省南阳市内乡县菊城印象小区2-1-301"</f>
        <v>河南省南阳市内乡县菊城印象小区2-1-301</v>
      </c>
      <c r="H4179" s="1" t="str">
        <f t="shared" si="2070"/>
        <v>无</v>
      </c>
      <c r="I4179" s="1" t="str">
        <f>"201909-202307 扬州大学 环境工程专业就读 全日制本科
202307-202308 待业
202308-202407 西部计划伊宁市人民法院 书记员
202408-202507 西部计划伊宁市人民政府办公室 督查室干部"</f>
        <v>201909-202307 扬州大学 环境工程专业就读 全日制本科
202307-202308 待业
202308-202407 西部计划伊宁市人民法院 书记员
202408-202507 西部计划伊宁市人民政府办公室 督查室干部</v>
      </c>
    </row>
    <row r="4180" spans="1:9">
      <c r="A4180" s="1" t="str">
        <f>"411381200305300433"</f>
        <v>411381200305300433</v>
      </c>
      <c r="B4180" s="1" t="str">
        <f>"中共预备党员"</f>
        <v>中共预备党员</v>
      </c>
      <c r="C4180" s="1" t="str">
        <f>"专科"</f>
        <v>专科</v>
      </c>
      <c r="D4180" s="1" t="str">
        <f>"20250627"</f>
        <v>20250627</v>
      </c>
      <c r="E4180" s="1" t="str">
        <f>"河南司法警官职业学院"</f>
        <v>河南司法警官职业学院</v>
      </c>
      <c r="F4180" s="1" t="str">
        <f>"计算机应用技术"</f>
        <v>计算机应用技术</v>
      </c>
      <c r="G4180" s="1" t="str">
        <f>"南阳市邓州市新星小区B区7号楼"</f>
        <v>南阳市邓州市新星小区B区7号楼</v>
      </c>
      <c r="H4180" s="1" t="str">
        <f>"网络安全运营平台管理职业技能等级证书（中级）"</f>
        <v>网络安全运营平台管理职业技能等级证书（中级）</v>
      </c>
      <c r="I4180" s="1" t="str">
        <f>"本人于202209-202506河南司法警官职业学院，信息技术系，计算机应用技术专业就读，三年制全日制学历，在校期间任班长一职，表现良好，成绩优异，曾获学院“优秀学生干部”，“优秀毕业生”，在校期间，积极向党组织靠拢，现已是中共预备党员，无不良记录"</f>
        <v>本人于202209-202506河南司法警官职业学院，信息技术系，计算机应用技术专业就读，三年制全日制学历，在校期间任班长一职，表现良好，成绩优异，曾获学院“优秀学生干部”，“优秀毕业生”，在校期间，积极向党组织靠拢，现已是中共预备党员，无不良记录</v>
      </c>
    </row>
    <row r="4181" spans="1:9">
      <c r="A4181" s="1" t="str">
        <f>"410324200006281123"</f>
        <v>410324200006281123</v>
      </c>
      <c r="B4181" s="1" t="str">
        <f t="shared" ref="B4181:B4185" si="2073">"中共党员"</f>
        <v>中共党员</v>
      </c>
      <c r="C4181" s="1" t="str">
        <f t="shared" si="2072"/>
        <v>本科</v>
      </c>
      <c r="D4181" s="1" t="str">
        <f>"2023.7"</f>
        <v>2023.7</v>
      </c>
      <c r="E4181" s="1" t="str">
        <f>"信阳农林学院"</f>
        <v>信阳农林学院</v>
      </c>
      <c r="F4181" s="1" t="str">
        <f>"环境设计"</f>
        <v>环境设计</v>
      </c>
      <c r="G4181" s="1" t="str">
        <f>"河南省洛阳市栾川县伊滨西路17号院"</f>
        <v>河南省洛阳市栾川县伊滨西路17号院</v>
      </c>
      <c r="H4181" s="1" t="str">
        <f t="shared" ref="H4181:H4183" si="2074">"无"</f>
        <v>无</v>
      </c>
      <c r="I4181" s="1" t="str">
        <f>"201909-202306  信阳农林学院规划与设计学院环境设计专业就读  是全日制学历"</f>
        <v>201909-202306  信阳农林学院规划与设计学院环境设计专业就读  是全日制学历</v>
      </c>
    </row>
    <row r="4182" spans="1:9">
      <c r="A4182" s="1" t="str">
        <f>"41133020020228571X"</f>
        <v>41133020020228571X</v>
      </c>
      <c r="B4182" s="1" t="str">
        <f t="shared" ref="B4182:B4186" si="2075">"群众"</f>
        <v>群众</v>
      </c>
      <c r="C4182" s="1" t="str">
        <f t="shared" si="2072"/>
        <v>本科</v>
      </c>
      <c r="D4182" s="1" t="str">
        <f>"20240617"</f>
        <v>20240617</v>
      </c>
      <c r="E4182" s="1" t="str">
        <f>"郑州工商学院"</f>
        <v>郑州工商学院</v>
      </c>
      <c r="F4182" s="1" t="str">
        <f>"工商管理"</f>
        <v>工商管理</v>
      </c>
      <c r="G4182" s="1" t="str">
        <f>"河南省南阳市邓州市翡翠城小区"</f>
        <v>河南省南阳市邓州市翡翠城小区</v>
      </c>
      <c r="H4182" s="1" t="str">
        <f t="shared" si="2074"/>
        <v>无</v>
      </c>
      <c r="I4182" s="1" t="str">
        <f>"201909-202206 河南财政金融学院工程经济学院房地产经营与管理专业就读 全日制专科
202209-202406 郑州工商学院商学院工商管理专业就读 全日制本科"</f>
        <v>201909-202206 河南财政金融学院工程经济学院房地产经营与管理专业就读 全日制专科
202209-202406 郑州工商学院商学院工商管理专业就读 全日制本科</v>
      </c>
    </row>
    <row r="4183" spans="1:9">
      <c r="A4183" s="1" t="str">
        <f>"411327200011272010"</f>
        <v>411327200011272010</v>
      </c>
      <c r="B4183" s="1" t="str">
        <f t="shared" si="2073"/>
        <v>中共党员</v>
      </c>
      <c r="C4183" s="1" t="str">
        <f t="shared" si="2072"/>
        <v>本科</v>
      </c>
      <c r="D4183" s="1" t="str">
        <f>"20230701"</f>
        <v>20230701</v>
      </c>
      <c r="E4183" s="1" t="str">
        <f>"洛阳理工学院"</f>
        <v>洛阳理工学院</v>
      </c>
      <c r="F4183" s="1" t="str">
        <f>"工程造价"</f>
        <v>工程造价</v>
      </c>
      <c r="G4183" s="1" t="str">
        <f>"河南省南阳市内乡县"</f>
        <v>河南省南阳市内乡县</v>
      </c>
      <c r="H4183" s="1" t="str">
        <f t="shared" si="2074"/>
        <v>无</v>
      </c>
      <c r="I4183" s="1" t="str">
        <f>"201909-202307 洛阳理工学院工程造价专业 就读 全日制学历
202307-至今 待业"</f>
        <v>201909-202307 洛阳理工学院工程造价专业 就读 全日制学历
202307-至今 待业</v>
      </c>
    </row>
    <row r="4184" spans="1:9">
      <c r="A4184" s="1" t="str">
        <f>"411381200007143927"</f>
        <v>411381200007143927</v>
      </c>
      <c r="B4184" s="1" t="str">
        <f t="shared" si="2075"/>
        <v>群众</v>
      </c>
      <c r="C4184" s="1" t="str">
        <f t="shared" si="2072"/>
        <v>本科</v>
      </c>
      <c r="D4184" s="1" t="str">
        <f>"20230701"</f>
        <v>20230701</v>
      </c>
      <c r="E4184" s="1" t="str">
        <f>"郑州工商学院"</f>
        <v>郑州工商学院</v>
      </c>
      <c r="F4184" s="1" t="str">
        <f>"学前教育"</f>
        <v>学前教育</v>
      </c>
      <c r="G4184" s="1" t="str">
        <f>"河南省邓州市罗庄镇岑子村河北9号"</f>
        <v>河南省邓州市罗庄镇岑子村河北9号</v>
      </c>
      <c r="H4184" s="1" t="str">
        <f>"小学教师资格"</f>
        <v>小学教师资格</v>
      </c>
      <c r="I4184" s="1" t="str">
        <f>"201909到202307 郑州工商学院 学前教育 全日制；
2023年7月到2024年7月 郑州崇文启智幼儿园；
2024年10月~至今 荥阳市广武镇启迪摇篮幼儿园"</f>
        <v>201909到202307 郑州工商学院 学前教育 全日制；
2023年7月到2024年7月 郑州崇文启智幼儿园；
2024年10月~至今 荥阳市广武镇启迪摇篮幼儿园</v>
      </c>
    </row>
    <row r="4185" spans="1:9">
      <c r="A4185" s="1" t="str">
        <f>"411327200403194920"</f>
        <v>411327200403194920</v>
      </c>
      <c r="B4185" s="1" t="str">
        <f t="shared" si="2073"/>
        <v>中共党员</v>
      </c>
      <c r="C4185" s="1" t="str">
        <f>"专科"</f>
        <v>专科</v>
      </c>
      <c r="D4185" s="1" t="str">
        <f>"20250630"</f>
        <v>20250630</v>
      </c>
      <c r="E4185" s="1" t="str">
        <f>"辽宁经济职业技术学院"</f>
        <v>辽宁经济职业技术学院</v>
      </c>
      <c r="F4185" s="1" t="str">
        <f>"金融服务与管理（供应链金融）"</f>
        <v>金融服务与管理（供应链金融）</v>
      </c>
      <c r="G4185" s="1" t="str">
        <f>"河南省南阳市内乡县城关镇建业森林半岛"</f>
        <v>河南省南阳市内乡县城关镇建业森林半岛</v>
      </c>
      <c r="H4185" s="1" t="str">
        <f t="shared" ref="H4185:H4191" si="2076">"无"</f>
        <v>无</v>
      </c>
      <c r="I4185" s="1" t="str">
        <f>"202209—-202506在辽宁经济职业技术学院财经学院金融服务与管理（供应链金融）就读，全日制专科学历；
202406-202409在河南省内乡县县委办公室任职，主要负责运营河南省内乡县县委官方公众号；"</f>
        <v>202209—-202506在辽宁经济职业技术学院财经学院金融服务与管理（供应链金融）就读，全日制专科学历；
202406-202409在河南省内乡县县委办公室任职，主要负责运营河南省内乡县县委官方公众号；</v>
      </c>
    </row>
    <row r="4186" spans="1:9">
      <c r="A4186" s="1" t="str">
        <f>"41132719960309454X"</f>
        <v>41132719960309454X</v>
      </c>
      <c r="B4186" s="1" t="str">
        <f t="shared" si="2075"/>
        <v>群众</v>
      </c>
      <c r="C4186" s="1" t="str">
        <f t="shared" ref="C4186:C4198" si="2077">"本科"</f>
        <v>本科</v>
      </c>
      <c r="D4186" s="1" t="str">
        <f>"20170701"</f>
        <v>20170701</v>
      </c>
      <c r="E4186" s="1" t="str">
        <f>"中原工学院"</f>
        <v>中原工学院</v>
      </c>
      <c r="F4186" s="1" t="str">
        <f>"会展经济与管理"</f>
        <v>会展经济与管理</v>
      </c>
      <c r="G4186" s="1" t="str">
        <f>"阳光花园"</f>
        <v>阳光花园</v>
      </c>
      <c r="H4186" s="1" t="str">
        <f t="shared" si="2076"/>
        <v>无</v>
      </c>
      <c r="I4186" s="1" t="str">
        <f>"201309-201707   中原工学院  经济与管理学院  会展经济与管理专业  全日制
201707-201903  万户候国旅郑州分公司
201904-202003  郑州百盈房地产营销策划有限公司
202004-202407  中建环能建设林溪上郡项目
202407-202504  待业
202504-202507  东多泰企业管理咨询有限公司南阳分公司"</f>
        <v>201309-201707   中原工学院  经济与管理学院  会展经济与管理专业  全日制
201707-201903  万户候国旅郑州分公司
201904-202003  郑州百盈房地产营销策划有限公司
202004-202407  中建环能建设林溪上郡项目
202407-202504  待业
202504-202507  东多泰企业管理咨询有限公司南阳分公司</v>
      </c>
    </row>
    <row r="4187" spans="1:9">
      <c r="A4187" s="1" t="str">
        <f>"411324199707292461"</f>
        <v>411324199707292461</v>
      </c>
      <c r="B4187" s="1" t="str">
        <f>"中共党员"</f>
        <v>中共党员</v>
      </c>
      <c r="C4187" s="1" t="str">
        <f>"硕士研究生"</f>
        <v>硕士研究生</v>
      </c>
      <c r="D4187" s="1" t="str">
        <f>"20220630"</f>
        <v>20220630</v>
      </c>
      <c r="E4187" s="1" t="str">
        <f>"贵州师范大学"</f>
        <v>贵州师范大学</v>
      </c>
      <c r="F4187" s="1" t="str">
        <f>"日语语言文学"</f>
        <v>日语语言文学</v>
      </c>
      <c r="G4187" s="1" t="str">
        <f>"河南省南阳市宛城区白河新村138号"</f>
        <v>河南省南阳市宛城区白河新村138号</v>
      </c>
      <c r="H4187" s="1" t="str">
        <f t="shared" si="2076"/>
        <v>无</v>
      </c>
      <c r="I4187" s="1" t="str">
        <f>"201509-201906 信阳师范大学 数学与统计学院 数学与应用数学专业就读 全日制学历  
201909-202206 贵州师范大学 外国语学院 日语语言文学专业就读 全日制学历"</f>
        <v>201509-201906 信阳师范大学 数学与统计学院 数学与应用数学专业就读 全日制学历  
201909-202206 贵州师范大学 外国语学院 日语语言文学专业就读 全日制学历</v>
      </c>
    </row>
    <row r="4188" spans="1:9">
      <c r="A4188" s="1" t="str">
        <f>"422802200306114418"</f>
        <v>422802200306114418</v>
      </c>
      <c r="B4188" s="1" t="str">
        <f>"中共预备党员"</f>
        <v>中共预备党员</v>
      </c>
      <c r="C4188" s="1" t="str">
        <f t="shared" si="2077"/>
        <v>本科</v>
      </c>
      <c r="D4188" s="1" t="str">
        <f>"20250630"</f>
        <v>20250630</v>
      </c>
      <c r="E4188" s="1" t="str">
        <f>"汉口学院"</f>
        <v>汉口学院</v>
      </c>
      <c r="F4188" s="1" t="str">
        <f>"音乐学"</f>
        <v>音乐学</v>
      </c>
      <c r="G4188" s="1" t="str">
        <f>"湖北省利川市沙溪乡川洞"</f>
        <v>湖北省利川市沙溪乡川洞</v>
      </c>
      <c r="H4188" s="1" t="str">
        <f t="shared" si="2076"/>
        <v>无</v>
      </c>
      <c r="I4188" s="1" t="str">
        <f>"201809-202106 利川市第三中学 就读
202109-202506 汉口学院音乐学院音乐学专业就读"</f>
        <v>201809-202106 利川市第三中学 就读
202109-202506 汉口学院音乐学院音乐学专业就读</v>
      </c>
    </row>
    <row r="4189" spans="1:9">
      <c r="A4189" s="1" t="str">
        <f>"411323199810050026"</f>
        <v>411323199810050026</v>
      </c>
      <c r="B4189" s="1" t="str">
        <f t="shared" ref="B4189:B4192" si="2078">"群众"</f>
        <v>群众</v>
      </c>
      <c r="C4189" s="1" t="str">
        <f t="shared" si="2077"/>
        <v>本科</v>
      </c>
      <c r="D4189" s="1" t="str">
        <f>"20250628"</f>
        <v>20250628</v>
      </c>
      <c r="E4189" s="1" t="str">
        <f>"通化师范学院"</f>
        <v>通化师范学院</v>
      </c>
      <c r="F4189" s="1" t="str">
        <f>"财务管理"</f>
        <v>财务管理</v>
      </c>
      <c r="G4189" s="1" t="str">
        <f>"南阳市淅川县新城润园"</f>
        <v>南阳市淅川县新城润园</v>
      </c>
      <c r="H4189" s="1" t="str">
        <f t="shared" si="2076"/>
        <v>无</v>
      </c>
      <c r="I4189" s="1" t="str">
        <f>"201709-202006在河南职业技术学院环境工程系服装与服饰设计专业就读202006至202305在家待业202305-202506在通化师范学院财务管理专业就读不是全日制"</f>
        <v>201709-202006在河南职业技术学院环境工程系服装与服饰设计专业就读202006至202305在家待业202305-202506在通化师范学院财务管理专业就读不是全日制</v>
      </c>
    </row>
    <row r="4190" spans="1:9">
      <c r="A4190" s="1" t="str">
        <f>"411326200008123624"</f>
        <v>411326200008123624</v>
      </c>
      <c r="B4190" s="1" t="str">
        <f t="shared" ref="B4190:B4196" si="2079">"共青团员"</f>
        <v>共青团员</v>
      </c>
      <c r="C4190" s="1" t="str">
        <f t="shared" si="2077"/>
        <v>本科</v>
      </c>
      <c r="D4190" s="1" t="str">
        <f>"20220617"</f>
        <v>20220617</v>
      </c>
      <c r="E4190" s="1" t="str">
        <f>"哈尔滨金融学院"</f>
        <v>哈尔滨金融学院</v>
      </c>
      <c r="F4190" s="1" t="str">
        <f>"金融学"</f>
        <v>金融学</v>
      </c>
      <c r="G4190" s="1" t="str">
        <f>"河南省南阳市南召县南河店镇幸福新村"</f>
        <v>河南省南阳市南召县南河店镇幸福新村</v>
      </c>
      <c r="H4190" s="1" t="str">
        <f t="shared" si="2076"/>
        <v>无</v>
      </c>
      <c r="I4190" s="1" t="str">
        <f>"201809-202206哈尔滨金融学院金融系金融学专业就读，全日制学历
202207至今 河南省南阳市南召县南河店镇幸福新村待业"</f>
        <v>201809-202206哈尔滨金融学院金融系金融学专业就读，全日制学历
202207至今 河南省南阳市南召县南河店镇幸福新村待业</v>
      </c>
    </row>
    <row r="4191" spans="1:9">
      <c r="A4191" s="1" t="str">
        <f>"321088199008182398"</f>
        <v>321088199008182398</v>
      </c>
      <c r="B4191" s="1" t="str">
        <f t="shared" si="2078"/>
        <v>群众</v>
      </c>
      <c r="C4191" s="1" t="str">
        <f t="shared" si="2077"/>
        <v>本科</v>
      </c>
      <c r="D4191" s="1" t="str">
        <f>"20140820"</f>
        <v>20140820</v>
      </c>
      <c r="E4191" s="1" t="str">
        <f>"马来西亚国立大学"</f>
        <v>马来西亚国立大学</v>
      </c>
      <c r="F4191" s="1" t="str">
        <f>"计算机科学"</f>
        <v>计算机科学</v>
      </c>
      <c r="G4191" s="1" t="str">
        <f>"江苏省扬州市江都区樊川镇东汇村陈家组14号"</f>
        <v>江苏省扬州市江都区樊川镇东汇村陈家组14号</v>
      </c>
      <c r="H4191" s="1" t="str">
        <f t="shared" si="2076"/>
        <v>无</v>
      </c>
      <c r="I4191" s="1" t="str">
        <f>"2005.09 -- 2008.09  江苏省高邮市甸垛中学 学生；
2008.09 -- 2009.03  J-Test日本语备考 学生；
2009.03 -- 2011.08  东京国际文化教育学院 学生；
2011.08 -- 2014.08  马来西亚国立大学计算机学院 学生；
2014.08 -- 2014.11  待业；
2014.11 -- 2015.07  南京买哪儿网络科技有限公司 软件开发工程师；
2015.07 -- 至今        大全集团有限公司 技术经理；"</f>
        <v>2005.09 -- 2008.09  江苏省高邮市甸垛中学 学生；
2008.09 -- 2009.03  J-Test日本语备考 学生；
2009.03 -- 2011.08  东京国际文化教育学院 学生；
2011.08 -- 2014.08  马来西亚国立大学计算机学院 学生；
2014.08 -- 2014.11  待业；
2014.11 -- 2015.07  南京买哪儿网络科技有限公司 软件开发工程师；
2015.07 -- 至今        大全集团有限公司 技术经理；</v>
      </c>
    </row>
    <row r="4192" spans="1:9">
      <c r="A4192" s="1" t="str">
        <f>"411327199802021167"</f>
        <v>411327199802021167</v>
      </c>
      <c r="B4192" s="1" t="str">
        <f t="shared" si="2078"/>
        <v>群众</v>
      </c>
      <c r="C4192" s="1" t="str">
        <f t="shared" si="2077"/>
        <v>本科</v>
      </c>
      <c r="D4192" s="1" t="str">
        <f>"20190701"</f>
        <v>20190701</v>
      </c>
      <c r="E4192" s="1" t="str">
        <f>"许昌学院"</f>
        <v>许昌学院</v>
      </c>
      <c r="F4192" s="1" t="str">
        <f>"工商管理（会计方向）"</f>
        <v>工商管理（会计方向）</v>
      </c>
      <c r="G4192" s="1" t="str">
        <f>"河南省南阳市内乡县马山口镇老农具厂院内"</f>
        <v>河南省南阳市内乡县马山口镇老农具厂院内</v>
      </c>
      <c r="H4192" s="1" t="str">
        <f>"初级会计师资格"</f>
        <v>初级会计师资格</v>
      </c>
      <c r="I4192" s="1" t="str">
        <f>"201509-201907 许昌学院 就读 国际教育学院 工商管理（会计方向）全日制学历
201908-202309 河南金牛新材料股份有限公司 财务部 会计
202310-至今  待业"</f>
        <v>201509-201907 许昌学院 就读 国际教育学院 工商管理（会计方向）全日制学历
201908-202309 河南金牛新材料股份有限公司 财务部 会计
202310-至今  待业</v>
      </c>
    </row>
    <row r="4193" spans="1:9">
      <c r="A4193" s="1" t="str">
        <f>"410202200201211514"</f>
        <v>410202200201211514</v>
      </c>
      <c r="B4193" s="1" t="str">
        <f t="shared" si="2079"/>
        <v>共青团员</v>
      </c>
      <c r="C4193" s="1" t="str">
        <f t="shared" si="2077"/>
        <v>本科</v>
      </c>
      <c r="D4193" s="1" t="str">
        <f>"20240630"</f>
        <v>20240630</v>
      </c>
      <c r="E4193" s="1" t="str">
        <f>"新乡学院"</f>
        <v>新乡学院</v>
      </c>
      <c r="F4193" s="1" t="str">
        <f>"文化产业管理"</f>
        <v>文化产业管理</v>
      </c>
      <c r="G4193" s="1" t="str">
        <f>"河南省开封市龙亭区体育路13号院7号楼4单元11号"</f>
        <v>河南省开封市龙亭区体育路13号院7号楼4单元11号</v>
      </c>
      <c r="H4193" s="1" t="str">
        <f t="shared" ref="H4193:H4202" si="2080">"无"</f>
        <v>无</v>
      </c>
      <c r="I4193" s="1" t="str">
        <f>"201709-202207 开封文化艺术职业学院 商鲲学院 旅游管理专业 就读 全日制五年一贯制大专
202209-202406 新乡学院 商学院 文化产业管理专业 就读 全日制本科 学士学位 
202406-202507 待业"</f>
        <v>201709-202207 开封文化艺术职业学院 商鲲学院 旅游管理专业 就读 全日制五年一贯制大专
202209-202406 新乡学院 商学院 文化产业管理专业 就读 全日制本科 学士学位 
202406-202507 待业</v>
      </c>
    </row>
    <row r="4194" spans="1:9">
      <c r="A4194" s="1" t="str">
        <f>"41130219920429132X"</f>
        <v>41130219920429132X</v>
      </c>
      <c r="B4194" s="1" t="str">
        <f>"中共党员"</f>
        <v>中共党员</v>
      </c>
      <c r="C4194" s="1" t="str">
        <f t="shared" si="2077"/>
        <v>本科</v>
      </c>
      <c r="D4194" s="1" t="str">
        <f>"2015年7月1日"</f>
        <v>2015年7月1日</v>
      </c>
      <c r="E4194" s="1" t="str">
        <f>"郑州升达经贸管理学院"</f>
        <v>郑州升达经贸管理学院</v>
      </c>
      <c r="F4194" s="1" t="str">
        <f>"会计学"</f>
        <v>会计学</v>
      </c>
      <c r="G4194" s="1" t="str">
        <f>"河南省南阳市独山大道508号"</f>
        <v>河南省南阳市独山大道508号</v>
      </c>
      <c r="H4194" s="1" t="str">
        <f>"中小学二级教师"</f>
        <v>中小学二级教师</v>
      </c>
      <c r="I4194" s="1" t="str">
        <f>"2011年9月-2015年7月 在郑州升达经贸管理学院会计系会计学专业就读 全日制学历
2015年7月-2018年8月 河南城堡传媒有限公司 出纳 杨帆
2018年9月-至今 社旗县李店镇青台中心学校 教师 杨帆"</f>
        <v>2011年9月-2015年7月 在郑州升达经贸管理学院会计系会计学专业就读 全日制学历
2015年7月-2018年8月 河南城堡传媒有限公司 出纳 杨帆
2018年9月-至今 社旗县李店镇青台中心学校 教师 杨帆</v>
      </c>
    </row>
    <row r="4195" spans="1:9">
      <c r="A4195" s="1" t="str">
        <f>"411327200111120663"</f>
        <v>411327200111120663</v>
      </c>
      <c r="B4195" s="1" t="str">
        <f t="shared" si="2079"/>
        <v>共青团员</v>
      </c>
      <c r="C4195" s="1" t="str">
        <f t="shared" si="2077"/>
        <v>本科</v>
      </c>
      <c r="D4195" s="1" t="str">
        <f>"2023.0630"</f>
        <v>2023.0630</v>
      </c>
      <c r="E4195" s="1" t="str">
        <f>"信阳农林学院"</f>
        <v>信阳农林学院</v>
      </c>
      <c r="F4195" s="1" t="str">
        <f>"林学"</f>
        <v>林学</v>
      </c>
      <c r="G4195" s="1" t="str">
        <f>"河南省内乡县"</f>
        <v>河南省内乡县</v>
      </c>
      <c r="H4195" s="1" t="str">
        <f>"林木育种工三级工"</f>
        <v>林木育种工三级工</v>
      </c>
      <c r="I4195" s="1" t="str">
        <f>"201909-202306 信阳农林学院林学院林学专业就读，全日制学历
202401-至今  菊潭学校任职"</f>
        <v>201909-202306 信阳农林学院林学院林学专业就读，全日制学历
202401-至今  菊潭学校任职</v>
      </c>
    </row>
    <row r="4196" spans="1:9">
      <c r="A4196" s="1" t="str">
        <f>"411327200201214524"</f>
        <v>411327200201214524</v>
      </c>
      <c r="B4196" s="1" t="str">
        <f t="shared" si="2079"/>
        <v>共青团员</v>
      </c>
      <c r="C4196" s="1" t="str">
        <f t="shared" si="2077"/>
        <v>本科</v>
      </c>
      <c r="D4196" s="1" t="str">
        <f>"20240701"</f>
        <v>20240701</v>
      </c>
      <c r="E4196" s="1" t="str">
        <f>"商丘工学院"</f>
        <v>商丘工学院</v>
      </c>
      <c r="F4196" s="1" t="str">
        <f>"会计学"</f>
        <v>会计学</v>
      </c>
      <c r="G4196" s="1" t="str">
        <f>"河南省南阳市内乡县赵店乡"</f>
        <v>河南省南阳市内乡县赵店乡</v>
      </c>
      <c r="H4196" s="1" t="str">
        <f t="shared" si="2080"/>
        <v>无</v>
      </c>
      <c r="I4196" s="1" t="str">
        <f>"202009-202407 商丘工学院就读于经济与管理学院会计学
202407-至今 待业"</f>
        <v>202009-202407 商丘工学院就读于经济与管理学院会计学
202407-至今 待业</v>
      </c>
    </row>
    <row r="4197" spans="1:9">
      <c r="A4197" s="1" t="str">
        <f>"411327199809052521"</f>
        <v>411327199809052521</v>
      </c>
      <c r="B4197" s="1" t="str">
        <f t="shared" ref="B4197:B4201" si="2081">"群众"</f>
        <v>群众</v>
      </c>
      <c r="C4197" s="1" t="str">
        <f t="shared" si="2077"/>
        <v>本科</v>
      </c>
      <c r="D4197" s="1" t="str">
        <f>"20200701"</f>
        <v>20200701</v>
      </c>
      <c r="E4197" s="1" t="str">
        <f>"商丘学院"</f>
        <v>商丘学院</v>
      </c>
      <c r="F4197" s="1" t="str">
        <f>"环境设计"</f>
        <v>环境设计</v>
      </c>
      <c r="G4197" s="1" t="str">
        <f>"河南省南阳市内乡县城关镇南园村蓝天小区"</f>
        <v>河南省南阳市内乡县城关镇南园村蓝天小区</v>
      </c>
      <c r="H4197" s="1" t="str">
        <f t="shared" si="2080"/>
        <v>无</v>
      </c>
      <c r="I4197" s="1" t="str">
        <f>"2016-2020 商丘学院 就读  
2020-至今 内乡县郦都学校 就业"</f>
        <v>2016-2020 商丘学院 就读  
2020-至今 内乡县郦都学校 就业</v>
      </c>
    </row>
    <row r="4198" spans="1:9">
      <c r="A4198" s="1" t="str">
        <f>"411327199906011115"</f>
        <v>411327199906011115</v>
      </c>
      <c r="B4198" s="1" t="str">
        <f>"共青团员"</f>
        <v>共青团员</v>
      </c>
      <c r="C4198" s="1" t="str">
        <f t="shared" si="2077"/>
        <v>本科</v>
      </c>
      <c r="D4198" s="1" t="str">
        <f>"20250615"</f>
        <v>20250615</v>
      </c>
      <c r="E4198" s="1" t="str">
        <f>"河南理工大学"</f>
        <v>河南理工大学</v>
      </c>
      <c r="F4198" s="1" t="str">
        <f>"计算机科学与技术"</f>
        <v>计算机科学与技术</v>
      </c>
      <c r="G4198" s="1" t="str">
        <f>"河南省南阳市内乡县赤眉镇"</f>
        <v>河南省南阳市内乡县赤眉镇</v>
      </c>
      <c r="H4198" s="1" t="str">
        <f t="shared" si="2080"/>
        <v>无</v>
      </c>
      <c r="I4198" s="1" t="str">
        <f>"2017.09-2018.07 郑州电子信息职业技术学院 全日制 市场营销
2018.09-2020.09 69221部队服役
2020.09-2021.07 郑州电子信息职业技术学院 全日制 市场营销
2021.07-2021.11 待业
2021.11-至今 城关镇人民政府"</f>
        <v>2017.09-2018.07 郑州电子信息职业技术学院 全日制 市场营销
2018.09-2020.09 69221部队服役
2020.09-2021.07 郑州电子信息职业技术学院 全日制 市场营销
2021.07-2021.11 待业
2021.11-至今 城关镇人民政府</v>
      </c>
    </row>
    <row r="4199" spans="1:9">
      <c r="A4199" s="1" t="str">
        <f>"411302199909090827"</f>
        <v>411302199909090827</v>
      </c>
      <c r="B4199" s="1" t="str">
        <f t="shared" si="2081"/>
        <v>群众</v>
      </c>
      <c r="C4199" s="1" t="str">
        <f>"硕士研究生"</f>
        <v>硕士研究生</v>
      </c>
      <c r="D4199" s="1" t="str">
        <f>"20240630"</f>
        <v>20240630</v>
      </c>
      <c r="E4199" s="1" t="str">
        <f>"西藏民族大学"</f>
        <v>西藏民族大学</v>
      </c>
      <c r="F4199" s="1" t="str">
        <f>"中国哲学"</f>
        <v>中国哲学</v>
      </c>
      <c r="G4199" s="1" t="str">
        <f>"河南省南阳市宛城区新华街道民权街4号"</f>
        <v>河南省南阳市宛城区新华街道民权街4号</v>
      </c>
      <c r="H4199" s="1" t="str">
        <f t="shared" si="2080"/>
        <v>无</v>
      </c>
      <c r="I4199" s="1" t="str">
        <f>"201709-202106 西藏民族大学马克思主义学院哲学专业 全日制 本科生就读
201809-202006 华东师范大学大夏书院哲学专业 本科生联合培养
202109-202406 西藏民族大学马克思主义学院中国哲学专业 全日制 硕士研究生就读"</f>
        <v>201709-202106 西藏民族大学马克思主义学院哲学专业 全日制 本科生就读
201809-202006 华东师范大学大夏书院哲学专业 本科生联合培养
202109-202406 西藏民族大学马克思主义学院中国哲学专业 全日制 硕士研究生就读</v>
      </c>
    </row>
    <row r="4200" spans="1:9">
      <c r="A4200" s="1" t="str">
        <f>"411327199203201529"</f>
        <v>411327199203201529</v>
      </c>
      <c r="B4200" s="1" t="str">
        <f t="shared" si="2081"/>
        <v>群众</v>
      </c>
      <c r="C4200" s="1" t="str">
        <f>"专科"</f>
        <v>专科</v>
      </c>
      <c r="D4200" s="1" t="str">
        <f>"201507"</f>
        <v>201507</v>
      </c>
      <c r="E4200" s="1" t="str">
        <f>"平顶山学院"</f>
        <v>平顶山学院</v>
      </c>
      <c r="F4200" s="1" t="str">
        <f>"护理"</f>
        <v>护理</v>
      </c>
      <c r="G4200" s="1" t="str">
        <f>"河南省内乡县湍东镇检察院西100米"</f>
        <v>河南省内乡县湍东镇检察院西100米</v>
      </c>
      <c r="H4200" s="1" t="str">
        <f t="shared" si="2080"/>
        <v>无</v>
      </c>
      <c r="I4200" s="1" t="str">
        <f>"201209-201507平顶山学院 就读
201508-201901 昆明驰勇商贸有限公司
201901-201908 河南省内乡县待业
201909-202310 健之佳医药连锁集团股份有限公司
202310-202506 河南省内乡县待业
202507-至今 河南中睿迪科经济研究咨询有限公司"</f>
        <v>201209-201507平顶山学院 就读
201508-201901 昆明驰勇商贸有限公司
201901-201908 河南省内乡县待业
201909-202310 健之佳医药连锁集团股份有限公司
202310-202506 河南省内乡县待业
202507-至今 河南中睿迪科经济研究咨询有限公司</v>
      </c>
    </row>
    <row r="4201" spans="1:9">
      <c r="A4201" s="1" t="str">
        <f>"411327199711030041"</f>
        <v>411327199711030041</v>
      </c>
      <c r="B4201" s="1" t="str">
        <f t="shared" si="2081"/>
        <v>群众</v>
      </c>
      <c r="C4201" s="1" t="str">
        <f t="shared" ref="C4201:C4206" si="2082">"本科"</f>
        <v>本科</v>
      </c>
      <c r="D4201" s="1" t="str">
        <f>"2020.07"</f>
        <v>2020.07</v>
      </c>
      <c r="E4201" s="1" t="str">
        <f>"河南城建学院"</f>
        <v>河南城建学院</v>
      </c>
      <c r="F4201" s="1" t="str">
        <f>"法学"</f>
        <v>法学</v>
      </c>
      <c r="G4201" s="1" t="str">
        <f>"河南省内乡县城关镇清心路218号"</f>
        <v>河南省内乡县城关镇清心路218号</v>
      </c>
      <c r="H4201" s="1" t="str">
        <f t="shared" si="2080"/>
        <v>无</v>
      </c>
      <c r="I4201" s="1" t="str">
        <f>"2016年9月——2018年7月 河南检察职业学院  全日制学历
 2018年9月——2020年7月 河南城建学院   全日制学历
2020年7月至今    待业"</f>
        <v>2016年9月——2018年7月 河南检察职业学院  全日制学历
 2018年9月——2020年7月 河南城建学院   全日制学历
2020年7月至今    待业</v>
      </c>
    </row>
    <row r="4202" spans="1:9">
      <c r="A4202" s="1" t="str">
        <f>"411302200101131847"</f>
        <v>411302200101131847</v>
      </c>
      <c r="B4202" s="1" t="str">
        <f t="shared" ref="B4202:B4207" si="2083">"中共党员"</f>
        <v>中共党员</v>
      </c>
      <c r="C4202" s="1" t="str">
        <f t="shared" si="2082"/>
        <v>本科</v>
      </c>
      <c r="D4202" s="1" t="str">
        <f>"2024-07-01"</f>
        <v>2024-07-01</v>
      </c>
      <c r="E4202" s="1" t="str">
        <f>"华北水利水电大学"</f>
        <v>华北水利水电大学</v>
      </c>
      <c r="F4202" s="1" t="str">
        <f>"公共艺术"</f>
        <v>公共艺术</v>
      </c>
      <c r="G4202" s="1" t="str">
        <f>"河南省南阳市宛城区九龙路"</f>
        <v>河南省南阳市宛城区九龙路</v>
      </c>
      <c r="H4202" s="1" t="str">
        <f t="shared" si="2080"/>
        <v>无</v>
      </c>
      <c r="I4202" s="1" t="str">
        <f>"202009-202406 华北水利水电大学 艺术学院公共艺术专业就读 是全日制学历"</f>
        <v>202009-202406 华北水利水电大学 艺术学院公共艺术专业就读 是全日制学历</v>
      </c>
    </row>
    <row r="4203" spans="1:9">
      <c r="A4203" s="1" t="str">
        <f>"411302199810230025"</f>
        <v>411302199810230025</v>
      </c>
      <c r="B4203" s="1" t="str">
        <f>"群众"</f>
        <v>群众</v>
      </c>
      <c r="C4203" s="1" t="str">
        <f t="shared" si="2082"/>
        <v>本科</v>
      </c>
      <c r="D4203" s="1" t="str">
        <f>"20210701"</f>
        <v>20210701</v>
      </c>
      <c r="E4203" s="1" t="str">
        <f>"安阳工学院"</f>
        <v>安阳工学院</v>
      </c>
      <c r="F4203" s="1" t="str">
        <f>"会计学"</f>
        <v>会计学</v>
      </c>
      <c r="G4203" s="1" t="str">
        <f>"河南省南阳市内乡县城关镇菊潭大街北斗星城"</f>
        <v>河南省南阳市内乡县城关镇菊潭大街北斗星城</v>
      </c>
      <c r="H4203" s="1" t="str">
        <f>"初级会计证"</f>
        <v>初级会计证</v>
      </c>
      <c r="I4203" s="1" t="str">
        <f>"20190901-20210701 安阳工学院 会计学专业 就读 全日制
20160901-20190701 郑州大学西亚斯国际学院 审计专业 就读 全日制
20130901-20160701 内乡高中 就读
20100901-20130701 赤眉镇初级中学 就读
20080901-20100701 赤眉镇中心小学 就读
20040901-20080701 南阳市第二小学 就读"</f>
        <v>20190901-20210701 安阳工学院 会计学专业 就读 全日制
20160901-20190701 郑州大学西亚斯国际学院 审计专业 就读 全日制
20130901-20160701 内乡高中 就读
20100901-20130701 赤眉镇初级中学 就读
20080901-20100701 赤眉镇中心小学 就读
20040901-20080701 南阳市第二小学 就读</v>
      </c>
    </row>
    <row r="4204" spans="1:9">
      <c r="A4204" s="1" t="str">
        <f>"410422200212180043"</f>
        <v>410422200212180043</v>
      </c>
      <c r="B4204" s="1" t="str">
        <f t="shared" ref="B4204:B4211" si="2084">"共青团员"</f>
        <v>共青团员</v>
      </c>
      <c r="C4204" s="1" t="str">
        <f t="shared" si="2082"/>
        <v>本科</v>
      </c>
      <c r="D4204" s="1" t="str">
        <f>"2024年6月20日"</f>
        <v>2024年6月20日</v>
      </c>
      <c r="E4204" s="1" t="str">
        <f>"洛阳师范学院"</f>
        <v>洛阳师范学院</v>
      </c>
      <c r="F4204" s="1" t="str">
        <f>"思想政治教育"</f>
        <v>思想政治教育</v>
      </c>
      <c r="G4204" s="1" t="str">
        <f>"河南省平顶山市叶县叶舞路天泰花园"</f>
        <v>河南省平顶山市叶县叶舞路天泰花园</v>
      </c>
      <c r="H4204" s="1" t="str">
        <f t="shared" ref="H4204:H4212" si="2085">"无"</f>
        <v>无</v>
      </c>
      <c r="I4204" s="1" t="str">
        <f>"2020年9月-2024年6月 
在洛阳师范学院马克思主义学院思想政治教育专业就读
是全日制学历"</f>
        <v>2020年9月-2024年6月 
在洛阳师范学院马克思主义学院思想政治教育专业就读
是全日制学历</v>
      </c>
    </row>
    <row r="4205" spans="1:9">
      <c r="A4205" s="1" t="str">
        <f>"411327199903271528"</f>
        <v>411327199903271528</v>
      </c>
      <c r="B4205" s="1" t="str">
        <f>"群众"</f>
        <v>群众</v>
      </c>
      <c r="C4205" s="1" t="str">
        <f t="shared" si="2082"/>
        <v>本科</v>
      </c>
      <c r="D4205" s="1" t="str">
        <f>"20240701"</f>
        <v>20240701</v>
      </c>
      <c r="E4205" s="1" t="str">
        <f>"南阳师范"</f>
        <v>南阳师范</v>
      </c>
      <c r="F4205" s="1" t="str">
        <f>"汉语言文学"</f>
        <v>汉语言文学</v>
      </c>
      <c r="G4205" s="1" t="str">
        <f>"河南省南阳市内乡县城关镇南关第一初级中学"</f>
        <v>河南省南阳市内乡县城关镇南关第一初级中学</v>
      </c>
      <c r="H4205" s="1" t="str">
        <f t="shared" si="2085"/>
        <v>无</v>
      </c>
      <c r="I4205" s="1" t="str">
        <f>"2014年9月-2017年7月就读于河南省南阳市内乡县实验高中，学生；2017年9月-2020年7月就读于南阳医学高等专科学校，全日制，中医学专业，学生；2020年7月-2022年2月，待业；2022年3月-2024年7月就读于南阳师范学院，非全日制，汉语言文学专业，学生。"</f>
        <v>2014年9月-2017年7月就读于河南省南阳市内乡县实验高中，学生；2017年9月-2020年7月就读于南阳医学高等专科学校，全日制，中医学专业，学生；2020年7月-2022年2月，待业；2022年3月-2024年7月就读于南阳师范学院，非全日制，汉语言文学专业，学生。</v>
      </c>
    </row>
    <row r="4206" spans="1:9">
      <c r="A4206" s="1" t="str">
        <f>"411381199308071538"</f>
        <v>411381199308071538</v>
      </c>
      <c r="B4206" s="1" t="str">
        <f t="shared" si="2083"/>
        <v>中共党员</v>
      </c>
      <c r="C4206" s="1" t="str">
        <f t="shared" si="2082"/>
        <v>本科</v>
      </c>
      <c r="D4206" s="1" t="str">
        <f>"20250701"</f>
        <v>20250701</v>
      </c>
      <c r="E4206" s="1" t="str">
        <f>"河南省财经政法大学"</f>
        <v>河南省财经政法大学</v>
      </c>
      <c r="F4206" s="1" t="str">
        <f>"法学"</f>
        <v>法学</v>
      </c>
      <c r="G4206" s="1" t="str">
        <f>"河南省邓州市北京大道建业公园里2#801"</f>
        <v>河南省邓州市北京大道建业公园里2#801</v>
      </c>
      <c r="H4206" s="1" t="str">
        <f t="shared" si="2085"/>
        <v>无</v>
      </c>
      <c r="I4206" s="1" t="str">
        <f>"20230301-20250701河南财经政法大学法学专业就读 否全日制学历"</f>
        <v>20230301-20250701河南财经政法大学法学专业就读 否全日制学历</v>
      </c>
    </row>
    <row r="4207" spans="1:9">
      <c r="A4207" s="1" t="str">
        <f>"411327200110142027"</f>
        <v>411327200110142027</v>
      </c>
      <c r="B4207" s="1" t="str">
        <f t="shared" si="2083"/>
        <v>中共党员</v>
      </c>
      <c r="C4207" s="1" t="str">
        <f>"专科"</f>
        <v>专科</v>
      </c>
      <c r="D4207" s="1" t="str">
        <f>"20230630"</f>
        <v>20230630</v>
      </c>
      <c r="E4207" s="1" t="str">
        <f>"南阳农业职业学院"</f>
        <v>南阳农业职业学院</v>
      </c>
      <c r="F4207" s="1" t="str">
        <f>"音乐表演"</f>
        <v>音乐表演</v>
      </c>
      <c r="G4207" s="1" t="str">
        <f>"河南省南阳市内乡县"</f>
        <v>河南省南阳市内乡县</v>
      </c>
      <c r="H4207" s="1" t="str">
        <f t="shared" si="2085"/>
        <v>无</v>
      </c>
      <c r="I4207" s="1" t="str">
        <f>"202010-202303南阳农业职业学院就读"</f>
        <v>202010-202303南阳农业职业学院就读</v>
      </c>
    </row>
    <row r="4208" spans="1:9">
      <c r="A4208" s="1" t="str">
        <f>"411321200112014426"</f>
        <v>411321200112014426</v>
      </c>
      <c r="B4208" s="1" t="str">
        <f t="shared" si="2084"/>
        <v>共青团员</v>
      </c>
      <c r="C4208" s="1" t="str">
        <f t="shared" ref="C4208:C4210" si="2086">"本科"</f>
        <v>本科</v>
      </c>
      <c r="D4208" s="1" t="str">
        <f>"20250618"</f>
        <v>20250618</v>
      </c>
      <c r="E4208" s="1" t="str">
        <f>"南阳理工学院"</f>
        <v>南阳理工学院</v>
      </c>
      <c r="F4208" s="1" t="str">
        <f>"汉语言文字"</f>
        <v>汉语言文字</v>
      </c>
      <c r="G4208" s="1" t="str">
        <f>"河南省南阳市南召县白土岗镇"</f>
        <v>河南省南阳市南召县白土岗镇</v>
      </c>
      <c r="H4208" s="1" t="str">
        <f t="shared" si="2085"/>
        <v>无</v>
      </c>
      <c r="I4208" s="1" t="str">
        <f>"202009-202306，河南工程学院人文政法学院文秘专业就读，专科，全日制；
202309-202506，南阳理工学院传媒学院汉语言文学专业就读，本科，全日制"</f>
        <v>202009-202306，河南工程学院人文政法学院文秘专业就读，专科，全日制；
202309-202506，南阳理工学院传媒学院汉语言文学专业就读，本科，全日制</v>
      </c>
    </row>
    <row r="4209" spans="1:9">
      <c r="A4209" s="1" t="str">
        <f>"411381200209304557"</f>
        <v>411381200209304557</v>
      </c>
      <c r="B4209" s="1" t="str">
        <f t="shared" si="2084"/>
        <v>共青团员</v>
      </c>
      <c r="C4209" s="1" t="str">
        <f t="shared" si="2086"/>
        <v>本科</v>
      </c>
      <c r="D4209" s="1" t="str">
        <f>"20240618"</f>
        <v>20240618</v>
      </c>
      <c r="E4209" s="1" t="str">
        <f>"太原科技大学"</f>
        <v>太原科技大学</v>
      </c>
      <c r="F4209" s="1" t="str">
        <f>"电气工程及其自动化"</f>
        <v>电气工程及其自动化</v>
      </c>
      <c r="G4209" s="1" t="str">
        <f>"河南省邓州市张村镇郭王村东程营"</f>
        <v>河南省邓州市张村镇郭王村东程营</v>
      </c>
      <c r="H4209" s="1" t="str">
        <f t="shared" si="2085"/>
        <v>无</v>
      </c>
      <c r="I4209" s="1" t="str">
        <f>"202009-202406 太原科技大学 电子信息工程学院 电气工程及其自动化专业就读 全日制本科；202407-202507 待业；"</f>
        <v>202009-202406 太原科技大学 电子信息工程学院 电气工程及其自动化专业就读 全日制本科；202407-202507 待业；</v>
      </c>
    </row>
    <row r="4210" spans="1:9">
      <c r="A4210" s="1" t="str">
        <f>"411224200211295618"</f>
        <v>411224200211295618</v>
      </c>
      <c r="B4210" s="1" t="str">
        <f t="shared" si="2084"/>
        <v>共青团员</v>
      </c>
      <c r="C4210" s="1" t="str">
        <f t="shared" si="2086"/>
        <v>本科</v>
      </c>
      <c r="D4210" s="1" t="str">
        <f>"20240605"</f>
        <v>20240605</v>
      </c>
      <c r="E4210" s="1" t="str">
        <f>"商丘学院"</f>
        <v>商丘学院</v>
      </c>
      <c r="F4210" s="1" t="str">
        <f>"土木工程"</f>
        <v>土木工程</v>
      </c>
      <c r="G4210" s="1" t="str">
        <f>"河南省三门峡市卢氏县东明镇东城小区书波汽修"</f>
        <v>河南省三门峡市卢氏县东明镇东城小区书波汽修</v>
      </c>
      <c r="H4210" s="1" t="str">
        <f t="shared" si="2085"/>
        <v>无</v>
      </c>
      <c r="I4210" s="1" t="str">
        <f>"202009-202406 商丘学院 应用科技学院土木工程就读 全日制
"</f>
        <v>202009-202406 商丘学院 应用科技学院土木工程就读 全日制
</v>
      </c>
    </row>
    <row r="4211" spans="1:9">
      <c r="A4211" s="1" t="str">
        <f>"41132720000901002X"</f>
        <v>41132720000901002X</v>
      </c>
      <c r="B4211" s="1" t="str">
        <f t="shared" si="2084"/>
        <v>共青团员</v>
      </c>
      <c r="C4211" s="1" t="str">
        <f>"硕士研究生"</f>
        <v>硕士研究生</v>
      </c>
      <c r="D4211" s="1" t="str">
        <f>"20250630"</f>
        <v>20250630</v>
      </c>
      <c r="E4211" s="1" t="str">
        <f>"河南师范大学"</f>
        <v>河南师范大学</v>
      </c>
      <c r="F4211" s="1" t="str">
        <f>"生物学"</f>
        <v>生物学</v>
      </c>
      <c r="G4211" s="1" t="str">
        <f>"河南省南阳市内乡县安居小区"</f>
        <v>河南省南阳市内乡县安居小区</v>
      </c>
      <c r="H4211" s="1" t="str">
        <f t="shared" si="2085"/>
        <v>无</v>
      </c>
      <c r="I4211" s="1" t="str">
        <f>"201809-202206 河南师范大学水产学院水族科学与技术专业 就读 全日制
202209-202506 河南师范大学生命科学学院生物学专业 就读 全日制"</f>
        <v>201809-202206 河南师范大学水产学院水族科学与技术专业 就读 全日制
202209-202506 河南师范大学生命科学学院生物学专业 就读 全日制</v>
      </c>
    </row>
    <row r="4212" spans="1:9">
      <c r="A4212" s="1" t="str">
        <f>"411402200007261018"</f>
        <v>411402200007261018</v>
      </c>
      <c r="B4212" s="1" t="str">
        <f>"群众"</f>
        <v>群众</v>
      </c>
      <c r="C4212" s="1" t="str">
        <f t="shared" ref="C4212:C4216" si="2087">"本科"</f>
        <v>本科</v>
      </c>
      <c r="D4212" s="1" t="str">
        <f>"2023-07-01"</f>
        <v>2023-07-01</v>
      </c>
      <c r="E4212" s="1" t="str">
        <f>"郑州商学院"</f>
        <v>郑州商学院</v>
      </c>
      <c r="F4212" s="1" t="str">
        <f>"电气工程及其自动化"</f>
        <v>电气工程及其自动化</v>
      </c>
      <c r="G4212" s="1" t="str">
        <f>"河南省商丘市平安街道海亚香樟园"</f>
        <v>河南省商丘市平安街道海亚香樟园</v>
      </c>
      <c r="H4212" s="1" t="str">
        <f t="shared" si="2085"/>
        <v>无</v>
      </c>
      <c r="I4212" s="1" t="str">
        <f>"201809-202107 河南工学院 电气自动化技术 全日制专科
202109-202307 郑州商学院 电气工程及其自动化 全日制本科"</f>
        <v>201809-202107 河南工学院 电气自动化技术 全日制专科
202109-202307 郑州商学院 电气工程及其自动化 全日制本科</v>
      </c>
    </row>
    <row r="4213" spans="1:9">
      <c r="A4213" s="1" t="str">
        <f>"411323199906236343"</f>
        <v>411323199906236343</v>
      </c>
      <c r="B4213" s="1" t="str">
        <f t="shared" ref="B4213:B4216" si="2088">"共青团员"</f>
        <v>共青团员</v>
      </c>
      <c r="C4213" s="1" t="str">
        <f t="shared" si="2087"/>
        <v>本科</v>
      </c>
      <c r="D4213" s="1" t="str">
        <f>"20230701"</f>
        <v>20230701</v>
      </c>
      <c r="E4213" s="1" t="str">
        <f>"南阳师范学院"</f>
        <v>南阳师范学院</v>
      </c>
      <c r="F4213" s="1" t="str">
        <f>"翻译"</f>
        <v>翻译</v>
      </c>
      <c r="G4213" s="1" t="str">
        <f>"河南省淅川县厚坡镇岗西村张家组16号"</f>
        <v>河南省淅川县厚坡镇岗西村张家组16号</v>
      </c>
      <c r="H4213" s="1" t="str">
        <f>"高级中学英语学科教师资格证"</f>
        <v>高级中学英语学科教师资格证</v>
      </c>
      <c r="I4213" s="1" t="str">
        <f>"201909-202307就读于南阳师范学校翻译专业，是全日制学历
202309-至今为内乡县灌涨高级中学英语教师"</f>
        <v>201909-202307就读于南阳师范学校翻译专业，是全日制学历
202309-至今为内乡县灌涨高级中学英语教师</v>
      </c>
    </row>
    <row r="4214" spans="1:9">
      <c r="A4214" s="1" t="str">
        <f>"41132719931220151X"</f>
        <v>41132719931220151X</v>
      </c>
      <c r="B4214" s="1" t="str">
        <f t="shared" si="2088"/>
        <v>共青团员</v>
      </c>
      <c r="C4214" s="1" t="str">
        <f t="shared" ref="C4214:C4219" si="2089">"专科"</f>
        <v>专科</v>
      </c>
      <c r="D4214" s="1" t="str">
        <f>"20150701"</f>
        <v>20150701</v>
      </c>
      <c r="E4214" s="1" t="str">
        <f>"河南机电高等专科学校"</f>
        <v>河南机电高等专科学校</v>
      </c>
      <c r="F4214" s="1" t="str">
        <f>"模具设计与制造"</f>
        <v>模具设计与制造</v>
      </c>
      <c r="G4214" s="1" t="str">
        <f>"内乡县湍东镇北符营村"</f>
        <v>内乡县湍东镇北符营村</v>
      </c>
      <c r="H4214" s="1" t="str">
        <f>"电气信息技术专业 助理工程师"</f>
        <v>电气信息技术专业 助理工程师</v>
      </c>
      <c r="I4214" s="1" t="str">
        <f>"201209-201507 河南机电高等专科学校模具设计与制造专业就读，全日制专科学历；（2016年3月学校更名为河南工学院）
201309-201607 自考河南科技大学数控加工与模具设计专业，非全日制本科学历；
201609-201708 就职于飞龙汽车部件股份有限公司
201710-202008 就职于河南百川畅银环保能源股份有限公司
202008-至今 就职于牧原食品股份有限公司"</f>
        <v>201209-201507 河南机电高等专科学校模具设计与制造专业就读，全日制专科学历；（2016年3月学校更名为河南工学院）
201309-201607 自考河南科技大学数控加工与模具设计专业，非全日制本科学历；
201609-201708 就职于飞龙汽车部件股份有限公司
201710-202008 就职于河南百川畅银环保能源股份有限公司
202008-至今 就职于牧原食品股份有限公司</v>
      </c>
    </row>
    <row r="4215" spans="1:9">
      <c r="A4215" s="1" t="str">
        <f>"411302199908212327"</f>
        <v>411302199908212327</v>
      </c>
      <c r="B4215" s="1" t="str">
        <f t="shared" si="2088"/>
        <v>共青团员</v>
      </c>
      <c r="C4215" s="1" t="str">
        <f t="shared" si="2087"/>
        <v>本科</v>
      </c>
      <c r="D4215" s="1" t="str">
        <f>"20210701"</f>
        <v>20210701</v>
      </c>
      <c r="E4215" s="1" t="str">
        <f>"商丘师范学院"</f>
        <v>商丘师范学院</v>
      </c>
      <c r="F4215" s="1" t="str">
        <f>"文化产业管理（文化旅游方向）"</f>
        <v>文化产业管理（文化旅游方向）</v>
      </c>
      <c r="G4215" s="1" t="str">
        <f>"河南省南阳市城乡一体化示范区赵营社区"</f>
        <v>河南省南阳市城乡一体化示范区赵营社区</v>
      </c>
      <c r="H4215" s="1" t="str">
        <f t="shared" ref="H4215:H4217" si="2090">"无"</f>
        <v>无</v>
      </c>
      <c r="I4215" s="1" t="str">
        <f>"201709-202107  商丘师范学院历史学院文化产业管理（文化旅游方向）专业  就读"</f>
        <v>201709-202107  商丘师范学院历史学院文化产业管理（文化旅游方向）专业  就读</v>
      </c>
    </row>
    <row r="4216" spans="1:9">
      <c r="A4216" s="1" t="str">
        <f>"410324200007080016"</f>
        <v>410324200007080016</v>
      </c>
      <c r="B4216" s="1" t="str">
        <f t="shared" si="2088"/>
        <v>共青团员</v>
      </c>
      <c r="C4216" s="1" t="str">
        <f t="shared" si="2087"/>
        <v>本科</v>
      </c>
      <c r="D4216" s="1" t="str">
        <f>"2025年07月01日"</f>
        <v>2025年07月01日</v>
      </c>
      <c r="E4216" s="1" t="str">
        <f>"华北水利水电大学"</f>
        <v>华北水利水电大学</v>
      </c>
      <c r="F4216" s="1" t="str">
        <f>"行政管理"</f>
        <v>行政管理</v>
      </c>
      <c r="G4216" s="1" t="str">
        <f>"河南省洛阳市栾川县君山中路种子公司家属楼"</f>
        <v>河南省洛阳市栾川县君山中路种子公司家属楼</v>
      </c>
      <c r="H4216" s="1" t="str">
        <f t="shared" si="2090"/>
        <v>无</v>
      </c>
      <c r="I4216" s="1" t="str">
        <f>"2018年09月—2021年07月就读于河南交通职业技术学院，全日制专科学历毕业，有学历证，无学位证书；
2022年10月—2023年10月实习于栾川县交通运输综合行政执法大队；
2024年01月—2024年9月工作于栾川县烟草专卖局；
2023年04月—2025年07月就读于华北水利水电大学，成人高等教育本科毕业，有学历证，无学位证书。"</f>
        <v>2018年09月—2021年07月就读于河南交通职业技术学院，全日制专科学历毕业，有学历证，无学位证书；
2022年10月—2023年10月实习于栾川县交通运输综合行政执法大队；
2024年01月—2024年9月工作于栾川县烟草专卖局；
2023年04月—2025年07月就读于华北水利水电大学，成人高等教育本科毕业，有学历证，无学位证书。</v>
      </c>
    </row>
    <row r="4217" spans="1:9">
      <c r="A4217" s="1" t="str">
        <f>"411323199907265357"</f>
        <v>411323199907265357</v>
      </c>
      <c r="B4217" s="1" t="str">
        <f>"群众"</f>
        <v>群众</v>
      </c>
      <c r="C4217" s="1" t="str">
        <f t="shared" si="2089"/>
        <v>专科</v>
      </c>
      <c r="D4217" s="1" t="str">
        <f>"20210701"</f>
        <v>20210701</v>
      </c>
      <c r="E4217" s="1" t="str">
        <f>"郑州工业安全职业学院"</f>
        <v>郑州工业安全职业学院</v>
      </c>
      <c r="F4217" s="1" t="str">
        <f>"机械设计制造及其自动化"</f>
        <v>机械设计制造及其自动化</v>
      </c>
      <c r="G4217" s="1" t="str">
        <f>"河南省淅川县香花镇西岗村老庄组6号"</f>
        <v>河南省淅川县香花镇西岗村老庄组6号</v>
      </c>
      <c r="H4217" s="1" t="str">
        <f t="shared" si="2090"/>
        <v>无</v>
      </c>
      <c r="I4217" s="1" t="str">
        <f>"201809-202106 在郑州工业安全职业学院 就读 机械设计制造与自动化专业
202106-202302在家中待业
202302-在社旗县兴隆镇人民政府工作至今"</f>
        <v>201809-202106 在郑州工业安全职业学院 就读 机械设计制造与自动化专业
202106-202302在家中待业
202302-在社旗县兴隆镇人民政府工作至今</v>
      </c>
    </row>
    <row r="4218" ht="121.5" spans="1:9">
      <c r="A4218" s="1" t="str">
        <f>"340121199111206199"</f>
        <v>340121199111206199</v>
      </c>
      <c r="B4218" s="1" t="str">
        <f>"中共党员"</f>
        <v>中共党员</v>
      </c>
      <c r="C4218" s="1" t="str">
        <f t="shared" ref="C4218:C4239" si="2091">"本科"</f>
        <v>本科</v>
      </c>
      <c r="D4218" s="1" t="str">
        <f>"20190701"</f>
        <v>20190701</v>
      </c>
      <c r="E4218" s="1" t="str">
        <f>"中国地质大学(武汉)"</f>
        <v>中国地质大学(武汉)</v>
      </c>
      <c r="F4218" s="1" t="str">
        <f>"工商管理"</f>
        <v>工商管理</v>
      </c>
      <c r="G4218" s="1" t="str">
        <f>"江苏淮安市清江浦区恒大名都二期25号楼"</f>
        <v>江苏淮安市清江浦区恒大名都二期25号楼</v>
      </c>
      <c r="H4218" s="1" t="str">
        <f>"高、低压电工证，水利助理工程师"</f>
        <v>高、低压电工证，水利助理工程师</v>
      </c>
      <c r="I4218" s="3" t="s">
        <v>274</v>
      </c>
    </row>
    <row r="4219" spans="1:9">
      <c r="A4219" s="1" t="str">
        <f>"411327199805031539"</f>
        <v>411327199805031539</v>
      </c>
      <c r="B4219" s="1" t="str">
        <f>"群众"</f>
        <v>群众</v>
      </c>
      <c r="C4219" s="1" t="str">
        <f t="shared" si="2089"/>
        <v>专科</v>
      </c>
      <c r="D4219" s="1" t="str">
        <f>"20180701"</f>
        <v>20180701</v>
      </c>
      <c r="E4219" s="1" t="str">
        <f>"河南工业职业技术学院"</f>
        <v>河南工业职业技术学院</v>
      </c>
      <c r="F4219" s="1" t="str">
        <f>"电气自动化技术"</f>
        <v>电气自动化技术</v>
      </c>
      <c r="G4219" s="1" t="str">
        <f>"南阳市内乡县城关镇黉学村郦都小区1号楼3单元103"</f>
        <v>南阳市内乡县城关镇黉学村郦都小区1号楼3单元103</v>
      </c>
      <c r="H4219" s="1" t="str">
        <f>"中级电工证"</f>
        <v>中级电工证</v>
      </c>
      <c r="I4219" s="1" t="str">
        <f>"201309-201807在河南工业职业技术学院，就读电气自动化技术，全日制学历"</f>
        <v>201309-201807在河南工业职业技术学院，就读电气自动化技术，全日制学历</v>
      </c>
    </row>
    <row r="4220" spans="1:9">
      <c r="A4220" s="1" t="str">
        <f>"411330200010155734"</f>
        <v>411330200010155734</v>
      </c>
      <c r="B4220" s="1" t="str">
        <f t="shared" ref="B4220:B4223" si="2092">"共青团员"</f>
        <v>共青团员</v>
      </c>
      <c r="C4220" s="1" t="str">
        <f t="shared" si="2091"/>
        <v>本科</v>
      </c>
      <c r="D4220" s="1" t="str">
        <f>"20230701"</f>
        <v>20230701</v>
      </c>
      <c r="E4220" s="1" t="str">
        <f>"中原工学院信息商务学院"</f>
        <v>中原工学院信息商务学院</v>
      </c>
      <c r="F4220" s="1" t="str">
        <f>"物流管理"</f>
        <v>物流管理</v>
      </c>
      <c r="G4220" s="1" t="str">
        <f>"河南省南阳市西峡县太平镇东坪村二组712号"</f>
        <v>河南省南阳市西峡县太平镇东坪村二组712号</v>
      </c>
      <c r="H4220" s="1" t="str">
        <f t="shared" ref="H4220:H4228" si="2093">"无"</f>
        <v>无</v>
      </c>
      <c r="I4220" s="1" t="str">
        <f>"201909-202307在中原工学院信息商务学院管理学院物流管理专业就读
201609-201909洛阳市栾川县第一高级中学就读
201209-201609西峡县太平镇第一初级中学就读
200709-201209西峡县太平镇中心小学就读"</f>
        <v>201909-202307在中原工学院信息商务学院管理学院物流管理专业就读
201609-201909洛阳市栾川县第一高级中学就读
201209-201609西峡县太平镇第一初级中学就读
200709-201209西峡县太平镇中心小学就读</v>
      </c>
    </row>
    <row r="4221" spans="1:9">
      <c r="A4221" s="1" t="str">
        <f>"411322199903280318"</f>
        <v>411322199903280318</v>
      </c>
      <c r="B4221" s="1" t="str">
        <f t="shared" si="2092"/>
        <v>共青团员</v>
      </c>
      <c r="C4221" s="1" t="str">
        <f>"硕士研究生"</f>
        <v>硕士研究生</v>
      </c>
      <c r="D4221" s="1" t="str">
        <f>"20240617"</f>
        <v>20240617</v>
      </c>
      <c r="E4221" s="1" t="str">
        <f>"江西农业大学"</f>
        <v>江西农业大学</v>
      </c>
      <c r="F4221" s="1" t="str">
        <f>"农村发展"</f>
        <v>农村发展</v>
      </c>
      <c r="G4221" s="1" t="str">
        <f>"河南省南阳市宛城区河南油田黄山区"</f>
        <v>河南省南阳市宛城区河南油田黄山区</v>
      </c>
      <c r="H4221" s="1" t="str">
        <f t="shared" si="2093"/>
        <v>无</v>
      </c>
      <c r="I4221" s="1" t="str">
        <f>"2017.09-2019.07 河南财经政法大学软件学院计算机网络技术专业学生
2019.07-2021.09 待业
2021.09-2024.06 江西农业大学经济管理学院农村发展专业学生"</f>
        <v>2017.09-2019.07 河南财经政法大学软件学院计算机网络技术专业学生
2019.07-2021.09 待业
2021.09-2024.06 江西农业大学经济管理学院农村发展专业学生</v>
      </c>
    </row>
    <row r="4222" spans="1:9">
      <c r="A4222" s="1" t="str">
        <f>"411327200110123125"</f>
        <v>411327200110123125</v>
      </c>
      <c r="B4222" s="1" t="str">
        <f t="shared" si="2092"/>
        <v>共青团员</v>
      </c>
      <c r="C4222" s="1" t="str">
        <f t="shared" si="2091"/>
        <v>本科</v>
      </c>
      <c r="D4222" s="1" t="str">
        <f>"20250630"</f>
        <v>20250630</v>
      </c>
      <c r="E4222" s="1" t="str">
        <f>"黑河学院"</f>
        <v>黑河学院</v>
      </c>
      <c r="F4222" s="1" t="str">
        <f>"小学教育"</f>
        <v>小学教育</v>
      </c>
      <c r="G4222" s="1" t="str">
        <f>"河南省南阳市内乡县夏馆镇"</f>
        <v>河南省南阳市内乡县夏馆镇</v>
      </c>
      <c r="H4222" s="1" t="str">
        <f t="shared" si="2093"/>
        <v>无</v>
      </c>
      <c r="I4222" s="1" t="str">
        <f>"202309—202506黑河学院教育科学学院小学教育专业就读，是全日制学历"</f>
        <v>202309—202506黑河学院教育科学学院小学教育专业就读，是全日制学历</v>
      </c>
    </row>
    <row r="4223" spans="1:9">
      <c r="A4223" s="1" t="str">
        <f>"412822200012236915"</f>
        <v>412822200012236915</v>
      </c>
      <c r="B4223" s="1" t="str">
        <f t="shared" si="2092"/>
        <v>共青团员</v>
      </c>
      <c r="C4223" s="1" t="str">
        <f t="shared" si="2091"/>
        <v>本科</v>
      </c>
      <c r="D4223" s="1" t="str">
        <f>"20230701"</f>
        <v>20230701</v>
      </c>
      <c r="E4223" s="1" t="str">
        <f>"安阳工学院"</f>
        <v>安阳工学院</v>
      </c>
      <c r="F4223" s="1" t="str">
        <f>"环境工程"</f>
        <v>环境工程</v>
      </c>
      <c r="G4223" s="1" t="str">
        <f>"河南省郑州市新郑市"</f>
        <v>河南省郑州市新郑市</v>
      </c>
      <c r="H4223" s="1" t="str">
        <f t="shared" si="2093"/>
        <v>无</v>
      </c>
      <c r="I4223" s="1" t="str">
        <f>"201909-202307安阳工学院 化学与环境工程学院 环境工程专业 就读 全日制学历
202307-202308工作 河南省濮阳市 公司：天能集团（濮阳再生）资源有限公司  职位：环保见习生
202308-202403待业 河南省郑州市新郑市荷花苑小区
202403-至今 工作 河南省郑州市 公司：郑州中荥新能源汽车有限公司 职位：质量检验员"</f>
        <v>201909-202307安阳工学院 化学与环境工程学院 环境工程专业 就读 全日制学历
202307-202308工作 河南省濮阳市 公司：天能集团（濮阳再生）资源有限公司  职位：环保见习生
202308-202403待业 河南省郑州市新郑市荷花苑小区
202403-至今 工作 河南省郑州市 公司：郑州中荥新能源汽车有限公司 职位：质量检验员</v>
      </c>
    </row>
    <row r="4224" spans="1:9">
      <c r="A4224" s="1" t="str">
        <f>"411327200312044249"</f>
        <v>411327200312044249</v>
      </c>
      <c r="B4224" s="1" t="str">
        <f>"中共党员"</f>
        <v>中共党员</v>
      </c>
      <c r="C4224" s="1" t="str">
        <f t="shared" si="2091"/>
        <v>本科</v>
      </c>
      <c r="D4224" s="1" t="str">
        <f>"2025年6月15日"</f>
        <v>2025年6月15日</v>
      </c>
      <c r="E4224" s="1" t="str">
        <f>"许昌学院"</f>
        <v>许昌学院</v>
      </c>
      <c r="F4224" s="1" t="str">
        <f>"思想政治教育"</f>
        <v>思想政治教育</v>
      </c>
      <c r="G4224" s="1" t="str">
        <f>"河南省南阳市内乡县梨园山庄服务中心一号楼三单元五楼502"</f>
        <v>河南省南阳市内乡县梨园山庄服务中心一号楼三单元五楼502</v>
      </c>
      <c r="H4224" s="1" t="str">
        <f t="shared" si="2093"/>
        <v>无</v>
      </c>
      <c r="I4224" s="1" t="str">
        <f>"202109-202506 许昌学院就读，是全日制学历"</f>
        <v>202109-202506 许昌学院就读，是全日制学历</v>
      </c>
    </row>
    <row r="4225" spans="1:9">
      <c r="A4225" s="1" t="str">
        <f>"410329199711145588"</f>
        <v>410329199711145588</v>
      </c>
      <c r="B4225" s="1" t="str">
        <f t="shared" ref="B4225:B4228" si="2094">"群众"</f>
        <v>群众</v>
      </c>
      <c r="C4225" s="1" t="str">
        <f t="shared" si="2091"/>
        <v>本科</v>
      </c>
      <c r="D4225" s="1" t="str">
        <f>"20210701"</f>
        <v>20210701</v>
      </c>
      <c r="E4225" s="1" t="str">
        <f>"洛阳师范学院"</f>
        <v>洛阳师范学院</v>
      </c>
      <c r="F4225" s="1" t="str">
        <f>"国际经济与贸易"</f>
        <v>国际经济与贸易</v>
      </c>
      <c r="G4225" s="1" t="str">
        <f>"河南省洛阳市大曌国际广场"</f>
        <v>河南省洛阳市大曌国际广场</v>
      </c>
      <c r="H4225" s="1" t="str">
        <f t="shared" si="2093"/>
        <v>无</v>
      </c>
      <c r="I4225" s="1" t="str">
        <f>"201709-202107 洛阳师范学院就读 为全日制学历
202107-至今 在洛阳市待业"</f>
        <v>201709-202107 洛阳师范学院就读 为全日制学历
202107-至今 在洛阳市待业</v>
      </c>
    </row>
    <row r="4226" spans="1:9">
      <c r="A4226" s="1" t="str">
        <f>"411327200301172085"</f>
        <v>411327200301172085</v>
      </c>
      <c r="B4226" s="1" t="str">
        <f t="shared" si="2094"/>
        <v>群众</v>
      </c>
      <c r="C4226" s="1" t="str">
        <f t="shared" si="2091"/>
        <v>本科</v>
      </c>
      <c r="D4226" s="1" t="str">
        <f>"20250612"</f>
        <v>20250612</v>
      </c>
      <c r="E4226" s="1" t="str">
        <f>"黄河科技学院"</f>
        <v>黄河科技学院</v>
      </c>
      <c r="F4226" s="1" t="str">
        <f>"学前教育"</f>
        <v>学前教育</v>
      </c>
      <c r="G4226" s="1" t="str">
        <f>"河南省南阳市卧龙区百里奚街道中州西路833号二机厂社区"</f>
        <v>河南省南阳市卧龙区百里奚街道中州西路833号二机厂社区</v>
      </c>
      <c r="H4226" s="1" t="str">
        <f t="shared" si="2093"/>
        <v>无</v>
      </c>
      <c r="I4226" s="1" t="str">
        <f>"202309-202506 黄河科技学院 就读"</f>
        <v>202309-202506 黄河科技学院 就读</v>
      </c>
    </row>
    <row r="4227" spans="1:9">
      <c r="A4227" s="1" t="str">
        <f>"411327199412030025"</f>
        <v>411327199412030025</v>
      </c>
      <c r="B4227" s="1" t="str">
        <f t="shared" ref="B4227:B4235" si="2095">"中共党员"</f>
        <v>中共党员</v>
      </c>
      <c r="C4227" s="1" t="str">
        <f t="shared" si="2091"/>
        <v>本科</v>
      </c>
      <c r="D4227" s="1" t="str">
        <f>"20161230"</f>
        <v>20161230</v>
      </c>
      <c r="E4227" s="1" t="str">
        <f>"中原工学院"</f>
        <v>中原工学院</v>
      </c>
      <c r="F4227" s="1" t="str">
        <f>"播音与主持"</f>
        <v>播音与主持</v>
      </c>
      <c r="G4227" s="1" t="str">
        <f>"河南省南阳市内乡县城关镇软木厂院内"</f>
        <v>河南省南阳市内乡县城关镇软木厂院内</v>
      </c>
      <c r="H4227" s="1" t="str">
        <f t="shared" si="2093"/>
        <v>无</v>
      </c>
      <c r="I4227" s="1" t="str">
        <f>"201309-201607  郑州铁路职业技术学院艺术系音乐表演专业 全日制
201409-201612  中原工学院艺术系播音与主持专业  非全
201701-202507   南阳市金芭蕾舞蹈学校教师"</f>
        <v>201309-201607  郑州铁路职业技术学院艺术系音乐表演专业 全日制
201409-201612  中原工学院艺术系播音与主持专业  非全
201701-202507   南阳市金芭蕾舞蹈学校教师</v>
      </c>
    </row>
    <row r="4228" spans="1:9">
      <c r="A4228" s="1" t="str">
        <f>"411327200208292939"</f>
        <v>411327200208292939</v>
      </c>
      <c r="B4228" s="1" t="str">
        <f t="shared" si="2094"/>
        <v>群众</v>
      </c>
      <c r="C4228" s="1" t="str">
        <f t="shared" si="2091"/>
        <v>本科</v>
      </c>
      <c r="D4228" s="1" t="str">
        <f>"20250701"</f>
        <v>20250701</v>
      </c>
      <c r="E4228" s="1" t="str">
        <f>"河南财经政法大学"</f>
        <v>河南财经政法大学</v>
      </c>
      <c r="F4228" s="1" t="str">
        <f>"投资学"</f>
        <v>投资学</v>
      </c>
      <c r="G4228" s="1" t="str">
        <f>"河南省南阳市内乡县瓦亭镇袁沟村袁家"</f>
        <v>河南省南阳市内乡县瓦亭镇袁沟村袁家</v>
      </c>
      <c r="H4228" s="1" t="str">
        <f t="shared" si="2093"/>
        <v>无</v>
      </c>
      <c r="I4228" s="1" t="str">
        <f>"202109-202507 河南财经政法大学 金融学院 投资学 全日制学历"</f>
        <v>202109-202507 河南财经政法大学 金融学院 投资学 全日制学历</v>
      </c>
    </row>
    <row r="4229" spans="1:9">
      <c r="A4229" s="1" t="str">
        <f>"411330200201261521"</f>
        <v>411330200201261521</v>
      </c>
      <c r="B4229" s="1" t="str">
        <f>"共青团员"</f>
        <v>共青团员</v>
      </c>
      <c r="C4229" s="1" t="str">
        <f t="shared" si="2091"/>
        <v>本科</v>
      </c>
      <c r="D4229" s="1" t="str">
        <f>"20250607"</f>
        <v>20250607</v>
      </c>
      <c r="E4229" s="1" t="str">
        <f>"河南财政金融学院"</f>
        <v>河南财政金融学院</v>
      </c>
      <c r="F4229" s="1" t="str">
        <f>"会计学"</f>
        <v>会计学</v>
      </c>
      <c r="G4229" s="1" t="str">
        <f>"河南省西峡县帝景天城"</f>
        <v>河南省西峡县帝景天城</v>
      </c>
      <c r="H4229" s="1" t="str">
        <f>"初级会计证"</f>
        <v>初级会计证</v>
      </c>
      <c r="I4229" s="1" t="str">
        <f>"202109-202506河南财政金融学院会计学院会计学专业就读"</f>
        <v>202109-202506河南财政金融学院会计学院会计学专业就读</v>
      </c>
    </row>
    <row r="4230" spans="1:9">
      <c r="A4230" s="1" t="str">
        <f>"411502200112170519"</f>
        <v>411502200112170519</v>
      </c>
      <c r="B4230" s="1" t="str">
        <f>"共青团员"</f>
        <v>共青团员</v>
      </c>
      <c r="C4230" s="1" t="str">
        <f t="shared" si="2091"/>
        <v>本科</v>
      </c>
      <c r="D4230" s="1" t="str">
        <f>"20250630"</f>
        <v>20250630</v>
      </c>
      <c r="E4230" s="1" t="str">
        <f>"海口经济学院"</f>
        <v>海口经济学院</v>
      </c>
      <c r="F4230" s="1" t="str">
        <f>"财务管理"</f>
        <v>财务管理</v>
      </c>
      <c r="G4230" s="1" t="str">
        <f>"河南省信阳市羊山新区恒大名都"</f>
        <v>河南省信阳市羊山新区恒大名都</v>
      </c>
      <c r="H4230" s="1" t="str">
        <f>"初级会计证"</f>
        <v>初级会计证</v>
      </c>
      <c r="I4230" s="1" t="str">
        <f>"202009-202306  海南热带海洋学院  会计学     全日制
202309-202506  海口经济学院         财务管理  全日制"</f>
        <v>202009-202306  海南热带海洋学院  会计学     全日制
202309-202506  海口经济学院         财务管理  全日制</v>
      </c>
    </row>
    <row r="4231" spans="1:9">
      <c r="A4231" s="1" t="str">
        <f>"411303199612010511"</f>
        <v>411303199612010511</v>
      </c>
      <c r="B4231" s="1" t="str">
        <f t="shared" si="2095"/>
        <v>中共党员</v>
      </c>
      <c r="C4231" s="1" t="str">
        <f t="shared" si="2091"/>
        <v>本科</v>
      </c>
      <c r="D4231" s="1" t="str">
        <f>"20240701"</f>
        <v>20240701</v>
      </c>
      <c r="E4231" s="1" t="str">
        <f>"南阳师范学院"</f>
        <v>南阳师范学院</v>
      </c>
      <c r="F4231" s="1" t="str">
        <f>"计算机科学与技术"</f>
        <v>计算机科学与技术</v>
      </c>
      <c r="G4231" s="1" t="str">
        <f>"河南省南阳市卧龙区光武街道榆树庄社区"</f>
        <v>河南省南阳市卧龙区光武街道榆树庄社区</v>
      </c>
      <c r="H4231" s="1" t="str">
        <f t="shared" ref="H4231:H4235" si="2096">"无"</f>
        <v>无</v>
      </c>
      <c r="I4231" s="1" t="str">
        <f>"202203-202407在南阳市师范学院就读计算机科学与技术专业，非全日制学历；202011至今在南阳市卧龙区光武街道麒麟社区工作"</f>
        <v>202203-202407在南阳市师范学院就读计算机科学与技术专业，非全日制学历；202011至今在南阳市卧龙区光武街道麒麟社区工作</v>
      </c>
    </row>
    <row r="4232" spans="1:9">
      <c r="A4232" s="1" t="str">
        <f>"411321199903050014"</f>
        <v>411321199903050014</v>
      </c>
      <c r="B4232" s="1" t="str">
        <f t="shared" si="2095"/>
        <v>中共党员</v>
      </c>
      <c r="C4232" s="1" t="str">
        <f t="shared" si="2091"/>
        <v>本科</v>
      </c>
      <c r="D4232" s="1" t="str">
        <f>"20240601"</f>
        <v>20240601</v>
      </c>
      <c r="E4232" s="1" t="str">
        <f>"河南理工大学"</f>
        <v>河南理工大学</v>
      </c>
      <c r="F4232" s="1" t="str">
        <f>"计算机科学与技术"</f>
        <v>计算机科学与技术</v>
      </c>
      <c r="G4232" s="1" t="str">
        <f>"河南省南阳市桐柏县清淮街道八一小区"</f>
        <v>河南省南阳市桐柏县清淮街道八一小区</v>
      </c>
      <c r="H4232" s="1" t="str">
        <f t="shared" si="2096"/>
        <v>无</v>
      </c>
      <c r="I4232" s="1" t="str">
        <f>"2014年9月至2017年7月桐柏县实验高中学生
2017年9月至2020年7月开封大学土木建筑工程学院道理桥梁工程技术学生
2020年8月至2022年4月桐柏县委统战部公益岗
2022年5月至今南阳市生态环境局桐柏分局综合行政执法大队信访办 劳务派遣
2022年3月至2024年6月在河南理工大学计算机科学与技术专业函授学习"</f>
        <v>2014年9月至2017年7月桐柏县实验高中学生
2017年9月至2020年7月开封大学土木建筑工程学院道理桥梁工程技术学生
2020年8月至2022年4月桐柏县委统战部公益岗
2022年5月至今南阳市生态环境局桐柏分局综合行政执法大队信访办 劳务派遣
2022年3月至2024年6月在河南理工大学计算机科学与技术专业函授学习</v>
      </c>
    </row>
    <row r="4233" spans="1:9">
      <c r="A4233" s="1" t="str">
        <f>"410521199901251533"</f>
        <v>410521199901251533</v>
      </c>
      <c r="B4233" s="1" t="str">
        <f t="shared" si="2095"/>
        <v>中共党员</v>
      </c>
      <c r="C4233" s="1" t="str">
        <f t="shared" si="2091"/>
        <v>本科</v>
      </c>
      <c r="D4233" s="1" t="str">
        <f>"20210630"</f>
        <v>20210630</v>
      </c>
      <c r="E4233" s="1" t="str">
        <f>"湖南工程学院"</f>
        <v>湖南工程学院</v>
      </c>
      <c r="F4233" s="1" t="str">
        <f>"环境设计"</f>
        <v>环境设计</v>
      </c>
      <c r="G4233" s="1" t="str">
        <f>"河南省林州市合涧镇万羊坡村郝街自然村55号"</f>
        <v>河南省林州市合涧镇万羊坡村郝街自然村55号</v>
      </c>
      <c r="H4233" s="1" t="str">
        <f t="shared" si="2096"/>
        <v>无</v>
      </c>
      <c r="I4233" s="1" t="str">
        <f>"201709月-202106 湖南省湘潭市湖南工程学院设计艺术学院环境设计专业1701班全日制学历就读
202106-202109  在河南省安阳市林州市合涧镇万羊坡村家中待业
202109月-202507至今 就职于河南省安阳市林州市林州红旗渠精神教育培训有限公司党建行政岗位"</f>
        <v>201709月-202106 湖南省湘潭市湖南工程学院设计艺术学院环境设计专业1701班全日制学历就读
202106-202109  在河南省安阳市林州市合涧镇万羊坡村家中待业
202109月-202507至今 就职于河南省安阳市林州市林州红旗渠精神教育培训有限公司党建行政岗位</v>
      </c>
    </row>
    <row r="4234" spans="1:9">
      <c r="A4234" s="1" t="str">
        <f>"411326200110233619"</f>
        <v>411326200110233619</v>
      </c>
      <c r="B4234" s="1" t="str">
        <f t="shared" si="2095"/>
        <v>中共党员</v>
      </c>
      <c r="C4234" s="1" t="str">
        <f t="shared" si="2091"/>
        <v>本科</v>
      </c>
      <c r="D4234" s="1" t="str">
        <f>"20230701"</f>
        <v>20230701</v>
      </c>
      <c r="E4234" s="1" t="str">
        <f>"黄河科技学院"</f>
        <v>黄河科技学院</v>
      </c>
      <c r="F4234" s="1" t="str">
        <f>"舞蹈编导（体育舞蹈方向）"</f>
        <v>舞蹈编导（体育舞蹈方向）</v>
      </c>
      <c r="G4234" s="1" t="str">
        <f>"河南省南阳市南召县城关镇鑫泰广场"</f>
        <v>河南省南阳市南召县城关镇鑫泰广场</v>
      </c>
      <c r="H4234" s="1" t="str">
        <f t="shared" si="2096"/>
        <v>无</v>
      </c>
      <c r="I4234" s="1" t="str">
        <f>"201909-202307 黄河科技学院 就读
201609-201906 南召现代中学 就读
201309-201606 南召县城关镇第一初级中学 就读
200709-201306 南召城关四小 就读"</f>
        <v>201909-202307 黄河科技学院 就读
201609-201906 南召现代中学 就读
201309-201606 南召县城关镇第一初级中学 就读
200709-201306 南召城关四小 就读</v>
      </c>
    </row>
    <row r="4235" spans="1:9">
      <c r="A4235" s="1" t="str">
        <f>"411423199712176026"</f>
        <v>411423199712176026</v>
      </c>
      <c r="B4235" s="1" t="str">
        <f t="shared" si="2095"/>
        <v>中共党员</v>
      </c>
      <c r="C4235" s="1" t="str">
        <f t="shared" si="2091"/>
        <v>本科</v>
      </c>
      <c r="D4235" s="1" t="str">
        <f>"20200701"</f>
        <v>20200701</v>
      </c>
      <c r="E4235" s="1" t="str">
        <f>"河南工程学院"</f>
        <v>河南工程学院</v>
      </c>
      <c r="F4235" s="1" t="str">
        <f>"行政管理"</f>
        <v>行政管理</v>
      </c>
      <c r="G4235" s="1" t="str">
        <f>"河南省宁陵县石桥镇刘花桥村122号"</f>
        <v>河南省宁陵县石桥镇刘花桥村122号</v>
      </c>
      <c r="H4235" s="1" t="str">
        <f t="shared" si="2096"/>
        <v>无</v>
      </c>
      <c r="I4235" s="1" t="str">
        <f>"201509-201807郑州财经学院电子商务专业就读
201809-202007河南工程学院行政管理专业就读
202007-至今待业"</f>
        <v>201509-201807郑州财经学院电子商务专业就读
201809-202007河南工程学院行政管理专业就读
202007-至今待业</v>
      </c>
    </row>
    <row r="4236" spans="1:9">
      <c r="A4236" s="1" t="str">
        <f>"411327200201171149"</f>
        <v>411327200201171149</v>
      </c>
      <c r="B4236" s="1" t="str">
        <f>"共青团员"</f>
        <v>共青团员</v>
      </c>
      <c r="C4236" s="1" t="str">
        <f t="shared" si="2091"/>
        <v>本科</v>
      </c>
      <c r="D4236" s="1" t="str">
        <f>"20240604"</f>
        <v>20240604</v>
      </c>
      <c r="E4236" s="1" t="str">
        <f>"安阳学院"</f>
        <v>安阳学院</v>
      </c>
      <c r="F4236" s="1" t="str">
        <f>"金融学"</f>
        <v>金融学</v>
      </c>
      <c r="G4236" s="1" t="str">
        <f>"河南省南阳市内乡县宏达北路"</f>
        <v>河南省南阳市内乡县宏达北路</v>
      </c>
      <c r="H4236" s="1" t="str">
        <f>"供应链管理三级高级工/电子商务三级高级工"</f>
        <v>供应链管理三级高级工/电子商务三级高级工</v>
      </c>
      <c r="I4236" s="1" t="str">
        <f>"202009-202406安阳学院就读经济与管理学院金融学
全日制"</f>
        <v>202009-202406安阳学院就读经济与管理学院金融学
全日制</v>
      </c>
    </row>
    <row r="4237" spans="1:9">
      <c r="A4237" s="1" t="str">
        <f>"411327199010201549"</f>
        <v>411327199010201549</v>
      </c>
      <c r="B4237" s="1" t="str">
        <f>"中共党员"</f>
        <v>中共党员</v>
      </c>
      <c r="C4237" s="1" t="str">
        <f t="shared" si="2091"/>
        <v>本科</v>
      </c>
      <c r="D4237" s="1" t="str">
        <f>"20130625"</f>
        <v>20130625</v>
      </c>
      <c r="E4237" s="1" t="str">
        <f>"西北民族大学"</f>
        <v>西北民族大学</v>
      </c>
      <c r="F4237" s="1" t="str">
        <f>"汉语言文学"</f>
        <v>汉语言文学</v>
      </c>
      <c r="G4237" s="1" t="str">
        <f>"河南省南阳市内乡县湍东镇张岗村38号"</f>
        <v>河南省南阳市内乡县湍东镇张岗村38号</v>
      </c>
      <c r="H4237" s="1" t="str">
        <f t="shared" ref="H4237:H4239" si="2097">"无"</f>
        <v>无</v>
      </c>
      <c r="I4237" s="1" t="str">
        <f>"200909—201306，在西北民族大学文学院汉语言文学专业就读，是全日制学历；
201307—201610，在北京汇丰利国际教育中心工作，任编辑、讲师一职；
201611—202102，在河南省德睿图书有限公司工作，任编辑部主任一职；
202103—202402，在卢氏县卢仁医院工作，任综合办公室主任一职；
202403—至今，在南阳市美宝环保设备有限公司，任总经理助理一职。"</f>
        <v>200909—201306，在西北民族大学文学院汉语言文学专业就读，是全日制学历；
201307—201610，在北京汇丰利国际教育中心工作，任编辑、讲师一职；
201611—202102，在河南省德睿图书有限公司工作，任编辑部主任一职；
202103—202402，在卢氏县卢仁医院工作，任综合办公室主任一职；
202403—至今，在南阳市美宝环保设备有限公司，任总经理助理一职。</v>
      </c>
    </row>
    <row r="4238" spans="1:9">
      <c r="A4238" s="1" t="str">
        <f>"411330200104270821"</f>
        <v>411330200104270821</v>
      </c>
      <c r="B4238" s="1" t="str">
        <f t="shared" ref="B4238:B4241" si="2098">"群众"</f>
        <v>群众</v>
      </c>
      <c r="C4238" s="1" t="str">
        <f t="shared" si="2091"/>
        <v>本科</v>
      </c>
      <c r="D4238" s="1" t="str">
        <f>"20230601"</f>
        <v>20230601</v>
      </c>
      <c r="E4238" s="1" t="str">
        <f>"华北水利水电大学"</f>
        <v>华北水利水电大学</v>
      </c>
      <c r="F4238" s="1" t="str">
        <f>"网络工程"</f>
        <v>网络工程</v>
      </c>
      <c r="G4238" s="1" t="str">
        <f>"河南省南阳市西峡县五里桥镇封湾村8组"</f>
        <v>河南省南阳市西峡县五里桥镇封湾村8组</v>
      </c>
      <c r="H4238" s="1" t="str">
        <f t="shared" si="2097"/>
        <v>无</v>
      </c>
      <c r="I4238" s="1" t="str">
        <f>"201909-202306在华北水利水电大学 物联网学院 网络工程专业就读 是全日制学历
202306至今待业"</f>
        <v>201909-202306在华北水利水电大学 物联网学院 网络工程专业就读 是全日制学历
202306至今待业</v>
      </c>
    </row>
    <row r="4239" spans="1:9">
      <c r="A4239" s="1" t="str">
        <f>"411330200110202024"</f>
        <v>411330200110202024</v>
      </c>
      <c r="B4239" s="1" t="str">
        <f t="shared" si="2098"/>
        <v>群众</v>
      </c>
      <c r="C4239" s="1" t="str">
        <f t="shared" si="2091"/>
        <v>本科</v>
      </c>
      <c r="D4239" s="1" t="str">
        <f>"2024-07-03"</f>
        <v>2024-07-03</v>
      </c>
      <c r="E4239" s="1" t="str">
        <f>"河南科技学院新科学院"</f>
        <v>河南科技学院新科学院</v>
      </c>
      <c r="F4239" s="1" t="str">
        <f>"商务英语"</f>
        <v>商务英语</v>
      </c>
      <c r="G4239" s="1" t="str">
        <f>"河南省南阳市西峡县五里桥镇五里桥村九组"</f>
        <v>河南省南阳市西峡县五里桥镇五里桥村九组</v>
      </c>
      <c r="H4239" s="1" t="str">
        <f t="shared" si="2097"/>
        <v>无</v>
      </c>
      <c r="I4239" s="1" t="str">
        <f>"2020年10月8号-2024年7月1号 河南科技学院新科学院就读"</f>
        <v>2020年10月8号-2024年7月1号 河南科技学院新科学院就读</v>
      </c>
    </row>
    <row r="4240" spans="1:9">
      <c r="A4240" s="1" t="str">
        <f>"411327200103061122"</f>
        <v>411327200103061122</v>
      </c>
      <c r="B4240" s="1" t="str">
        <f t="shared" si="2098"/>
        <v>群众</v>
      </c>
      <c r="C4240" s="1" t="str">
        <f t="shared" ref="C4240:C4244" si="2099">"专科"</f>
        <v>专科</v>
      </c>
      <c r="D4240" s="1" t="str">
        <f>"20250630"</f>
        <v>20250630</v>
      </c>
      <c r="E4240" s="1" t="str">
        <f>"襄阳职业技术学院"</f>
        <v>襄阳职业技术学院</v>
      </c>
      <c r="F4240" s="1" t="str">
        <f>"小学教育"</f>
        <v>小学教育</v>
      </c>
      <c r="G4240" s="1" t="str">
        <f>"河南省南阳市内乡县郦都花园"</f>
        <v>河南省南阳市内乡县郦都花园</v>
      </c>
      <c r="H4240" s="1" t="str">
        <f>"心理健康指导证书"</f>
        <v>心理健康指导证书</v>
      </c>
      <c r="I4240" s="1" t="str">
        <f>"20220901-20250630在襄阳职业技术学院小学教育专业就读，是全日制学历"</f>
        <v>20220901-20250630在襄阳职业技术学院小学教育专业就读，是全日制学历</v>
      </c>
    </row>
    <row r="4241" spans="1:9">
      <c r="A4241" s="1" t="str">
        <f>"411327199809260021"</f>
        <v>411327199809260021</v>
      </c>
      <c r="B4241" s="1" t="str">
        <f t="shared" si="2098"/>
        <v>群众</v>
      </c>
      <c r="C4241" s="1" t="str">
        <f t="shared" si="2099"/>
        <v>专科</v>
      </c>
      <c r="D4241" s="1" t="str">
        <f>"2019年6月1日"</f>
        <v>2019年6月1日</v>
      </c>
      <c r="E4241" s="1" t="str">
        <f>"开封大学"</f>
        <v>开封大学</v>
      </c>
      <c r="F4241" s="1" t="str">
        <f>"服装与服饰设计"</f>
        <v>服装与服饰设计</v>
      </c>
      <c r="G4241" s="1" t="str">
        <f>"河南省南阳市内乡县林业小区2单元"</f>
        <v>河南省南阳市内乡县林业小区2单元</v>
      </c>
      <c r="H4241" s="1" t="str">
        <f>"教师资格证"</f>
        <v>教师资格证</v>
      </c>
      <c r="I4241" s="1" t="str">
        <f>"201609-201906 开封大学 服装与服饰设计 全日制"</f>
        <v>201609-201906 开封大学 服装与服饰设计 全日制</v>
      </c>
    </row>
    <row r="4242" spans="1:9">
      <c r="A4242" s="1" t="str">
        <f>"411327200012011525"</f>
        <v>411327200012011525</v>
      </c>
      <c r="B4242" s="1" t="str">
        <f>"中共党员"</f>
        <v>中共党员</v>
      </c>
      <c r="C4242" s="1" t="str">
        <f t="shared" ref="C4242:C4258" si="2100">"本科"</f>
        <v>本科</v>
      </c>
      <c r="D4242" s="1" t="str">
        <f>"20230701"</f>
        <v>20230701</v>
      </c>
      <c r="E4242" s="1" t="str">
        <f>"洛阳师范学院"</f>
        <v>洛阳师范学院</v>
      </c>
      <c r="F4242" s="1" t="str">
        <f>"思想政治教育"</f>
        <v>思想政治教育</v>
      </c>
      <c r="G4242" s="1" t="str">
        <f>"河南省南阳市内乡县湍东镇东符营村符营南18号"</f>
        <v>河南省南阳市内乡县湍东镇东符营村符营南18号</v>
      </c>
      <c r="H4242" s="1" t="str">
        <f>"高中思想政治教育教师资格证"</f>
        <v>高中思想政治教育教师资格证</v>
      </c>
      <c r="I4242" s="1" t="str">
        <f>"201909-202307 洛阳师范学院马克思主义学院思想政治教育专业就读，全日制学历；
202307-202507 内乡菊潭高级中学任职高中政治教师；"</f>
        <v>201909-202307 洛阳师范学院马克思主义学院思想政治教育专业就读，全日制学历；
202307-202507 内乡菊潭高级中学任职高中政治教师；</v>
      </c>
    </row>
    <row r="4243" spans="1:9">
      <c r="A4243" s="1" t="str">
        <f>"410482199802271069"</f>
        <v>410482199802271069</v>
      </c>
      <c r="B4243" s="1" t="str">
        <f t="shared" ref="B4243:B4246" si="2101">"群众"</f>
        <v>群众</v>
      </c>
      <c r="C4243" s="1" t="str">
        <f t="shared" si="2100"/>
        <v>本科</v>
      </c>
      <c r="D4243" s="1" t="str">
        <f>"20210701"</f>
        <v>20210701</v>
      </c>
      <c r="E4243" s="1" t="str">
        <f>"许昌学院"</f>
        <v>许昌学院</v>
      </c>
      <c r="F4243" s="1" t="str">
        <f>"物联网工程"</f>
        <v>物联网工程</v>
      </c>
      <c r="G4243" s="1" t="str">
        <f>"河南省南阳市内乡县湍东镇罗岗村河湾组"</f>
        <v>河南省南阳市内乡县湍东镇罗岗村河湾组</v>
      </c>
      <c r="H4243" s="1" t="str">
        <f t="shared" ref="H4243:H4245" si="2102">"无"</f>
        <v>无</v>
      </c>
      <c r="I4243" s="1" t="str">
        <f>"201709-202107许昌学院信息技术学院物联网工程专业就读，全日制学历；202101-202507河南省南阳市内乡县湍东镇罗岗村待业"</f>
        <v>201709-202107许昌学院信息技术学院物联网工程专业就读，全日制学历；202101-202507河南省南阳市内乡县湍东镇罗岗村待业</v>
      </c>
    </row>
    <row r="4244" spans="1:9">
      <c r="A4244" s="1" t="str">
        <f>"412828200102130039"</f>
        <v>412828200102130039</v>
      </c>
      <c r="B4244" s="1" t="str">
        <f>"中共党员"</f>
        <v>中共党员</v>
      </c>
      <c r="C4244" s="1" t="str">
        <f t="shared" si="2099"/>
        <v>专科</v>
      </c>
      <c r="D4244" s="1" t="str">
        <f>"20230710"</f>
        <v>20230710</v>
      </c>
      <c r="E4244" s="1" t="str">
        <f>"三门峡职业技术学院"</f>
        <v>三门峡职业技术学院</v>
      </c>
      <c r="F4244" s="1" t="str">
        <f>"语文教育"</f>
        <v>语文教育</v>
      </c>
      <c r="G4244" s="1" t="str">
        <f>"河南省新蔡县古吕镇人民街新临路单二组"</f>
        <v>河南省新蔡县古吕镇人民街新临路单二组</v>
      </c>
      <c r="H4244" s="1" t="str">
        <f t="shared" si="2102"/>
        <v>无</v>
      </c>
      <c r="I4244" s="1" t="str">
        <f>"20200901-20230710三门峡职业技术学院师范学院语文教育专业就读"</f>
        <v>20200901-20230710三门峡职业技术学院师范学院语文教育专业就读</v>
      </c>
    </row>
    <row r="4245" spans="1:9">
      <c r="A4245" s="1" t="str">
        <f>"411123199609079571"</f>
        <v>411123199609079571</v>
      </c>
      <c r="B4245" s="1" t="str">
        <f t="shared" si="2101"/>
        <v>群众</v>
      </c>
      <c r="C4245" s="1" t="str">
        <f>"硕士研究生"</f>
        <v>硕士研究生</v>
      </c>
      <c r="D4245" s="1" t="str">
        <f>"20230626"</f>
        <v>20230626</v>
      </c>
      <c r="E4245" s="1" t="str">
        <f>"河南大学"</f>
        <v>河南大学</v>
      </c>
      <c r="F4245" s="1" t="str">
        <f>"药学"</f>
        <v>药学</v>
      </c>
      <c r="G4245" s="1" t="str">
        <f>"河南省漯河市召陵区召陵镇西皋东村11组20号"</f>
        <v>河南省漯河市召陵区召陵镇西皋东村11组20号</v>
      </c>
      <c r="H4245" s="1" t="str">
        <f t="shared" si="2102"/>
        <v>无</v>
      </c>
      <c r="I4245" s="1" t="str">
        <f>"201609-202006 河南科技学院新科学院 生物技术 全日制
202009-202306 河南大学生命科学学院 药学 全日制"</f>
        <v>201609-202006 河南科技学院新科学院 生物技术 全日制
202009-202306 河南大学生命科学学院 药学 全日制</v>
      </c>
    </row>
    <row r="4246" spans="1:9">
      <c r="A4246" s="1" t="str">
        <f>"411327200201021124"</f>
        <v>411327200201021124</v>
      </c>
      <c r="B4246" s="1" t="str">
        <f t="shared" si="2101"/>
        <v>群众</v>
      </c>
      <c r="C4246" s="1" t="str">
        <f t="shared" si="2100"/>
        <v>本科</v>
      </c>
      <c r="D4246" s="1" t="str">
        <f>"20240630"</f>
        <v>20240630</v>
      </c>
      <c r="E4246" s="1" t="str">
        <f>"新乡学院"</f>
        <v>新乡学院</v>
      </c>
      <c r="F4246" s="1" t="str">
        <f>"健康服务与管理"</f>
        <v>健康服务与管理</v>
      </c>
      <c r="G4246" s="1" t="str">
        <f>"河南省南阳市内乡县城关镇"</f>
        <v>河南省南阳市内乡县城关镇</v>
      </c>
      <c r="H4246" s="1" t="str">
        <f>"英语四级，英语六级"</f>
        <v>英语四级，英语六级</v>
      </c>
      <c r="I4246" s="1" t="str">
        <f>"202009-202406新乡学院医学院健康服务与管理就读，全日制学历；
202406-202408河南省南阳市内乡县待业；"</f>
        <v>202009-202406新乡学院医学院健康服务与管理就读，全日制学历；
202406-202408河南省南阳市内乡县待业；</v>
      </c>
    </row>
    <row r="4247" spans="1:9">
      <c r="A4247" s="1" t="str">
        <f>"411327199205280013"</f>
        <v>411327199205280013</v>
      </c>
      <c r="B4247" s="1" t="str">
        <f>"共青团员"</f>
        <v>共青团员</v>
      </c>
      <c r="C4247" s="1" t="str">
        <f t="shared" si="2100"/>
        <v>本科</v>
      </c>
      <c r="D4247" s="1" t="str">
        <f>"20240616"</f>
        <v>20240616</v>
      </c>
      <c r="E4247" s="1" t="str">
        <f>"郑州大学"</f>
        <v>郑州大学</v>
      </c>
      <c r="F4247" s="1" t="str">
        <f>"计算机科学与技术（软件工程）"</f>
        <v>计算机科学与技术（软件工程）</v>
      </c>
      <c r="G4247" s="1" t="str">
        <f>"河南省南阳市内乡县城关镇"</f>
        <v>河南省南阳市内乡县城关镇</v>
      </c>
      <c r="H4247" s="1" t="str">
        <f t="shared" ref="H4247:H4250" si="2103">"无"</f>
        <v>无</v>
      </c>
      <c r="I4247" s="1" t="str">
        <f>"201009——201406  郑州大学计算机科学与技术（软件工程）专业，上学；
201406——201411  找工作中；
201411——202301  河南电视台阳光部落栏目；
202301——202305  古衙影视；
202305——至今  内乡县政务服务中心。"</f>
        <v>201009——201406  郑州大学计算机科学与技术（软件工程）专业，上学；
201406——201411  找工作中；
201411——202301  河南电视台阳光部落栏目；
202301——202305  古衙影视；
202305——至今  内乡县政务服务中心。</v>
      </c>
    </row>
    <row r="4248" spans="1:9">
      <c r="A4248" s="1" t="str">
        <f>"411523199901213522"</f>
        <v>411523199901213522</v>
      </c>
      <c r="B4248" s="1" t="str">
        <f t="shared" ref="B4248:B4252" si="2104">"群众"</f>
        <v>群众</v>
      </c>
      <c r="C4248" s="1" t="str">
        <f t="shared" si="2100"/>
        <v>本科</v>
      </c>
      <c r="D4248" s="1" t="str">
        <f>"20210630"</f>
        <v>20210630</v>
      </c>
      <c r="E4248" s="1" t="str">
        <f>"文华学院"</f>
        <v>文华学院</v>
      </c>
      <c r="F4248" s="1" t="str">
        <f>"视觉传达设计"</f>
        <v>视觉传达设计</v>
      </c>
      <c r="G4248" s="1" t="str">
        <f>"河南省信阳市新县吴陈河镇"</f>
        <v>河南省信阳市新县吴陈河镇</v>
      </c>
      <c r="H4248" s="1" t="str">
        <f t="shared" si="2103"/>
        <v>无</v>
      </c>
      <c r="I4248" s="1" t="str">
        <f>"201709-202106文华学院视觉传达设计专业就读，全日制
202107-202202河南新县待业
202203-202212年信阳市三加六广告有限公司
202301-202312年河南小顽熊餐饮管理有限公司
202401-202412年信阳市美著实业有限公司
202501至今河南省信阳市待业"</f>
        <v>201709-202106文华学院视觉传达设计专业就读，全日制
202107-202202河南新县待业
202203-202212年信阳市三加六广告有限公司
202301-202312年河南小顽熊餐饮管理有限公司
202401-202412年信阳市美著实业有限公司
202501至今河南省信阳市待业</v>
      </c>
    </row>
    <row r="4249" ht="135" spans="1:9">
      <c r="A4249" s="1" t="str">
        <f>"41088319900121031X"</f>
        <v>41088319900121031X</v>
      </c>
      <c r="B4249" s="1" t="str">
        <f t="shared" si="2104"/>
        <v>群众</v>
      </c>
      <c r="C4249" s="1" t="str">
        <f t="shared" si="2100"/>
        <v>本科</v>
      </c>
      <c r="D4249" s="1" t="str">
        <f>"20160701"</f>
        <v>20160701</v>
      </c>
      <c r="E4249" s="1" t="str">
        <f>"周口师范学院"</f>
        <v>周口师范学院</v>
      </c>
      <c r="F4249" s="1" t="str">
        <f>"播音与主持艺术"</f>
        <v>播音与主持艺术</v>
      </c>
      <c r="G4249" s="1" t="str">
        <f>"河南省焦作市孟州市河阳办梧桐村一号无"</f>
        <v>河南省焦作市孟州市河阳办梧桐村一号无</v>
      </c>
      <c r="H4249" s="1" t="str">
        <f t="shared" si="2103"/>
        <v>无</v>
      </c>
      <c r="I4249" s="3" t="s">
        <v>275</v>
      </c>
    </row>
    <row r="4250" spans="1:9">
      <c r="A4250" s="1" t="str">
        <f>"41282819990415255X"</f>
        <v>41282819990415255X</v>
      </c>
      <c r="B4250" s="1" t="str">
        <f>"中共预备党员"</f>
        <v>中共预备党员</v>
      </c>
      <c r="C4250" s="1" t="str">
        <f t="shared" si="2100"/>
        <v>本科</v>
      </c>
      <c r="D4250" s="1" t="str">
        <f>"20210701"</f>
        <v>20210701</v>
      </c>
      <c r="E4250" s="1" t="str">
        <f>"郑州工商学院"</f>
        <v>郑州工商学院</v>
      </c>
      <c r="F4250" s="1" t="str">
        <f>"土木工程"</f>
        <v>土木工程</v>
      </c>
      <c r="G4250" s="1" t="str">
        <f>"河南省驻马店新蔡县仁和小区"</f>
        <v>河南省驻马店新蔡县仁和小区</v>
      </c>
      <c r="H4250" s="1" t="str">
        <f t="shared" si="2103"/>
        <v>无</v>
      </c>
      <c r="I4250" s="1" t="str">
        <f>"201609-201907 河南工业大学（专科全日制）工程造价
201909-202107郑州工商学院（本科全日制）土木工程
202107-202401河南省驻马店市新蔡县{待业备考}
202401-202507河南省驻马店市新蔡县月亮湾街道仁和社区{社区工作者}"</f>
        <v>201609-201907 河南工业大学（专科全日制）工程造价
201909-202107郑州工商学院（本科全日制）土木工程
202107-202401河南省驻马店市新蔡县{待业备考}
202401-202507河南省驻马店市新蔡县月亮湾街道仁和社区{社区工作者}</v>
      </c>
    </row>
    <row r="4251" spans="1:9">
      <c r="A4251" s="1" t="str">
        <f>"411327200208143941"</f>
        <v>411327200208143941</v>
      </c>
      <c r="B4251" s="1" t="str">
        <f t="shared" si="2104"/>
        <v>群众</v>
      </c>
      <c r="C4251" s="1" t="str">
        <f t="shared" si="2100"/>
        <v>本科</v>
      </c>
      <c r="D4251" s="1" t="str">
        <f>"20250607"</f>
        <v>20250607</v>
      </c>
      <c r="E4251" s="1" t="str">
        <f>"南阳师范学院"</f>
        <v>南阳师范学院</v>
      </c>
      <c r="F4251" s="1" t="str">
        <f>"法学专业"</f>
        <v>法学专业</v>
      </c>
      <c r="G4251" s="1" t="str">
        <f>"河南省南阳市内乡县乍曲乡南庄村"</f>
        <v>河南省南阳市内乡县乍曲乡南庄村</v>
      </c>
      <c r="H4251" s="1" t="str">
        <f>"普通话证书"</f>
        <v>普通话证书</v>
      </c>
      <c r="I4251" s="1" t="str">
        <f>"202309-202506在南阳师范学院法学院法学专业就读，是全日制学历"</f>
        <v>202309-202506在南阳师范学院法学院法学专业就读，是全日制学历</v>
      </c>
    </row>
    <row r="4252" spans="1:9">
      <c r="A4252" s="1" t="str">
        <f>"411323200103166367"</f>
        <v>411323200103166367</v>
      </c>
      <c r="B4252" s="1" t="str">
        <f t="shared" si="2104"/>
        <v>群众</v>
      </c>
      <c r="C4252" s="1" t="str">
        <f t="shared" si="2100"/>
        <v>本科</v>
      </c>
      <c r="D4252" s="1" t="str">
        <f>"20220701"</f>
        <v>20220701</v>
      </c>
      <c r="E4252" s="1" t="str">
        <f>"河南城建学院"</f>
        <v>河南城建学院</v>
      </c>
      <c r="F4252" s="1" t="str">
        <f>"视觉传达设计"</f>
        <v>视觉传达设计</v>
      </c>
      <c r="G4252" s="1" t="str">
        <f>"河南省南阳市淅川县"</f>
        <v>河南省南阳市淅川县</v>
      </c>
      <c r="H4252" s="1" t="str">
        <f t="shared" ref="H4252:H4263" si="2105">"无"</f>
        <v>无</v>
      </c>
      <c r="I4252" s="1" t="str">
        <f>"20180901-20220701河南城建学院就读"</f>
        <v>20180901-20220701河南城建学院就读</v>
      </c>
    </row>
    <row r="4253" ht="108" spans="1:9">
      <c r="A4253" s="1" t="str">
        <f>"411302199803292316"</f>
        <v>411302199803292316</v>
      </c>
      <c r="B4253" s="1" t="str">
        <f>"中共党员"</f>
        <v>中共党员</v>
      </c>
      <c r="C4253" s="1" t="str">
        <f t="shared" si="2100"/>
        <v>本科</v>
      </c>
      <c r="D4253" s="1" t="str">
        <f>"20210701"</f>
        <v>20210701</v>
      </c>
      <c r="E4253" s="1" t="str">
        <f>"南阳师范学院"</f>
        <v>南阳师范学院</v>
      </c>
      <c r="F4253" s="1" t="str">
        <f t="shared" ref="F4253:F4257" si="2106">"法学"</f>
        <v>法学</v>
      </c>
      <c r="G4253" s="1" t="str">
        <f>"河南省南阳市宛城区赵营社区瓦房庄"</f>
        <v>河南省南阳市宛城区赵营社区瓦房庄</v>
      </c>
      <c r="H4253" s="1" t="str">
        <f t="shared" si="2105"/>
        <v>无</v>
      </c>
      <c r="I4253" s="3" t="s">
        <v>276</v>
      </c>
    </row>
    <row r="4254" spans="1:9">
      <c r="A4254" s="1" t="str">
        <f>"411327199104100028"</f>
        <v>411327199104100028</v>
      </c>
      <c r="B4254" s="1" t="str">
        <f>"群众"</f>
        <v>群众</v>
      </c>
      <c r="C4254" s="1" t="str">
        <f t="shared" si="2100"/>
        <v>本科</v>
      </c>
      <c r="D4254" s="1" t="str">
        <f>"20140607"</f>
        <v>20140607</v>
      </c>
      <c r="E4254" s="1" t="str">
        <f>"河南师范大学新联学院"</f>
        <v>河南师范大学新联学院</v>
      </c>
      <c r="F4254" s="1" t="str">
        <f>"工业设计"</f>
        <v>工业设计</v>
      </c>
      <c r="G4254" s="1" t="str">
        <f>"河南省南阳市内乡县城关镇金城加油站对面"</f>
        <v>河南省南阳市内乡县城关镇金城加油站对面</v>
      </c>
      <c r="H4254" s="1" t="str">
        <f t="shared" si="2105"/>
        <v>无</v>
      </c>
      <c r="I4254" s="1" t="str">
        <f>"201009---201406   河南师范大学新联学院
201409---202007      内乡菊潭学校"</f>
        <v>201009---201406   河南师范大学新联学院
201409---202007      内乡菊潭学校</v>
      </c>
    </row>
    <row r="4255" spans="1:9">
      <c r="A4255" s="1" t="str">
        <f>"411330200102053428"</f>
        <v>411330200102053428</v>
      </c>
      <c r="B4255" s="1" t="str">
        <f t="shared" ref="B4255:B4258" si="2107">"共青团员"</f>
        <v>共青团员</v>
      </c>
      <c r="C4255" s="1" t="str">
        <f t="shared" si="2100"/>
        <v>本科</v>
      </c>
      <c r="D4255" s="1" t="str">
        <f>"2024.06"</f>
        <v>2024.06</v>
      </c>
      <c r="E4255" s="1" t="str">
        <f>"河南大学"</f>
        <v>河南大学</v>
      </c>
      <c r="F4255" s="1" t="str">
        <f>"汉语言文学"</f>
        <v>汉语言文学</v>
      </c>
      <c r="G4255" s="1" t="str">
        <f>"河南省南阳市西峡县白羽路东湖新百利超市对面小区"</f>
        <v>河南省南阳市西峡县白羽路东湖新百利超市对面小区</v>
      </c>
      <c r="H4255" s="1" t="str">
        <f t="shared" si="2105"/>
        <v>无</v>
      </c>
      <c r="I4255" s="1" t="str">
        <f>"2020.09-2024.06 河南大学 文学院 汉语言文学专业  全日制本科
2024.06-2025.07  河南省西峡县待业"</f>
        <v>2020.09-2024.06 河南大学 文学院 汉语言文学专业  全日制本科
2024.06-2025.07  河南省西峡县待业</v>
      </c>
    </row>
    <row r="4256" spans="1:9">
      <c r="A4256" s="1" t="str">
        <f>"41132720011109002X"</f>
        <v>41132720011109002X</v>
      </c>
      <c r="B4256" s="1" t="str">
        <f t="shared" si="2107"/>
        <v>共青团员</v>
      </c>
      <c r="C4256" s="1" t="str">
        <f t="shared" si="2100"/>
        <v>本科</v>
      </c>
      <c r="D4256" s="1" t="str">
        <f>"20230701"</f>
        <v>20230701</v>
      </c>
      <c r="E4256" s="1" t="str">
        <f>"洛阳师范学院"</f>
        <v>洛阳师范学院</v>
      </c>
      <c r="F4256" s="1" t="str">
        <f t="shared" si="2106"/>
        <v>法学</v>
      </c>
      <c r="G4256" s="1" t="str">
        <f>"河南省南阳市内乡县安馨园小区"</f>
        <v>河南省南阳市内乡县安馨园小区</v>
      </c>
      <c r="H4256" s="1" t="str">
        <f t="shared" si="2105"/>
        <v>无</v>
      </c>
      <c r="I4256" s="1" t="str">
        <f>"201909-202307 在洛阳师范学院法学与社会学院法学专业就读，是全日制学历；
202307-202507 在河南省南阳市内乡县待业；
202507至今 在河南省南阳市内乡县湍东镇任乡村振兴村级协理员。"</f>
        <v>201909-202307 在洛阳师范学院法学与社会学院法学专业就读，是全日制学历；
202307-202507 在河南省南阳市内乡县待业；
202507至今 在河南省南阳市内乡县湍东镇任乡村振兴村级协理员。</v>
      </c>
    </row>
    <row r="4257" spans="1:9">
      <c r="A4257" s="1" t="str">
        <f>"411327200211210623"</f>
        <v>411327200211210623</v>
      </c>
      <c r="B4257" s="1" t="str">
        <f t="shared" si="2107"/>
        <v>共青团员</v>
      </c>
      <c r="C4257" s="1" t="str">
        <f t="shared" si="2100"/>
        <v>本科</v>
      </c>
      <c r="D4257" s="1" t="str">
        <f>"20240606"</f>
        <v>20240606</v>
      </c>
      <c r="E4257" s="1" t="str">
        <f>"信阳学院"</f>
        <v>信阳学院</v>
      </c>
      <c r="F4257" s="1" t="str">
        <f t="shared" si="2106"/>
        <v>法学</v>
      </c>
      <c r="G4257" s="1" t="str">
        <f>"河南省南阳市内乡县马山口镇郑湾村"</f>
        <v>河南省南阳市内乡县马山口镇郑湾村</v>
      </c>
      <c r="H4257" s="1" t="str">
        <f t="shared" si="2105"/>
        <v>无</v>
      </c>
      <c r="I4257" s="1" t="str">
        <f>"202009-202406信阳学院社会科学学院法学专业就读，是全日制学历。"</f>
        <v>202009-202406信阳学院社会科学学院法学专业就读，是全日制学历。</v>
      </c>
    </row>
    <row r="4258" spans="1:9">
      <c r="A4258" s="1" t="str">
        <f>"410581200105289065"</f>
        <v>410581200105289065</v>
      </c>
      <c r="B4258" s="1" t="str">
        <f t="shared" si="2107"/>
        <v>共青团员</v>
      </c>
      <c r="C4258" s="1" t="str">
        <f t="shared" si="2100"/>
        <v>本科</v>
      </c>
      <c r="D4258" s="1" t="str">
        <f>"20250601"</f>
        <v>20250601</v>
      </c>
      <c r="E4258" s="1" t="str">
        <f>"郑州西亚斯学院"</f>
        <v>郑州西亚斯学院</v>
      </c>
      <c r="F4258" s="1" t="str">
        <f>"金融学（中外合作办学）"</f>
        <v>金融学（中外合作办学）</v>
      </c>
      <c r="G4258" s="1" t="str">
        <f>"河南省安阳市林州市禧福苑小区"</f>
        <v>河南省安阳市林州市禧福苑小区</v>
      </c>
      <c r="H4258" s="1" t="str">
        <f t="shared" si="2105"/>
        <v>无</v>
      </c>
      <c r="I4258" s="1" t="str">
        <f>"202109-202506 郑州西亚斯学院堪萨斯国际学院金融学（中外合作办学）专业就读 是全日制学历
201709-202106 林州市林虑中学 高中
201409-201706 林州市第九中学 初中
200809-201406 林州市第八小学 小学
"</f>
        <v>202109-202506 郑州西亚斯学院堪萨斯国际学院金融学（中外合作办学）专业就读 是全日制学历
201709-202106 林州市林虑中学 高中
201409-201706 林州市第九中学 初中
200809-201406 林州市第八小学 小学
</v>
      </c>
    </row>
    <row r="4259" spans="1:9">
      <c r="A4259" s="1" t="str">
        <f>"411324200109062215"</f>
        <v>411324200109062215</v>
      </c>
      <c r="B4259" s="1" t="str">
        <f t="shared" ref="B4259:B4263" si="2108">"群众"</f>
        <v>群众</v>
      </c>
      <c r="C4259" s="1" t="str">
        <f>"专科"</f>
        <v>专科</v>
      </c>
      <c r="D4259" s="1" t="str">
        <f>"20230701"</f>
        <v>20230701</v>
      </c>
      <c r="E4259" s="1" t="str">
        <f>"商丘学院"</f>
        <v>商丘学院</v>
      </c>
      <c r="F4259" s="1" t="str">
        <f>"会计"</f>
        <v>会计</v>
      </c>
      <c r="G4259" s="1" t="str">
        <f>"南阳"</f>
        <v>南阳</v>
      </c>
      <c r="H4259" s="1" t="str">
        <f t="shared" si="2105"/>
        <v>无</v>
      </c>
      <c r="I4259" s="1" t="str">
        <f>"无"</f>
        <v>无</v>
      </c>
    </row>
    <row r="4260" spans="1:9">
      <c r="A4260" s="1" t="str">
        <f>"411327200101151124"</f>
        <v>411327200101151124</v>
      </c>
      <c r="B4260" s="1" t="str">
        <f>"共青团员"</f>
        <v>共青团员</v>
      </c>
      <c r="C4260" s="1" t="str">
        <f t="shared" ref="C4260:C4265" si="2109">"本科"</f>
        <v>本科</v>
      </c>
      <c r="D4260" s="1" t="str">
        <f>"20220601"</f>
        <v>20220601</v>
      </c>
      <c r="E4260" s="1" t="str">
        <f>"河南大学"</f>
        <v>河南大学</v>
      </c>
      <c r="F4260" s="1" t="str">
        <f>"财政学"</f>
        <v>财政学</v>
      </c>
      <c r="G4260" s="1" t="str">
        <f>"内乡县湍东镇水岸豪庭"</f>
        <v>内乡县湍东镇水岸豪庭</v>
      </c>
      <c r="H4260" s="1" t="str">
        <f t="shared" si="2105"/>
        <v>无</v>
      </c>
      <c r="I4260" s="1" t="str">
        <f>"201809-202206 河南大学财政学专业就读
202207-202507 在家待业"</f>
        <v>201809-202206 河南大学财政学专业就读
202207-202507 在家待业</v>
      </c>
    </row>
    <row r="4261" spans="1:9">
      <c r="A4261" s="1" t="str">
        <f>"411323199010201797"</f>
        <v>411323199010201797</v>
      </c>
      <c r="B4261" s="1" t="str">
        <f t="shared" si="2108"/>
        <v>群众</v>
      </c>
      <c r="C4261" s="1" t="str">
        <f>"专科"</f>
        <v>专科</v>
      </c>
      <c r="D4261" s="1" t="str">
        <f>"20240701"</f>
        <v>20240701</v>
      </c>
      <c r="E4261" s="1" t="str">
        <f>"南阳职业学院"</f>
        <v>南阳职业学院</v>
      </c>
      <c r="F4261" s="1" t="str">
        <f>"计算机应用技术"</f>
        <v>计算机应用技术</v>
      </c>
      <c r="G4261" s="1" t="str">
        <f>"河南省内乡县邮政广场老财政局家属院2单元502"</f>
        <v>河南省内乡县邮政广场老财政局家属院2单元502</v>
      </c>
      <c r="H4261" s="1" t="str">
        <f t="shared" si="2105"/>
        <v>无</v>
      </c>
      <c r="I4261" s="1" t="str">
        <f>"202203-202407 南阳职业学院 计算机应用技术专业 函授学习。
202408至今 内乡县人民医院 工作。"</f>
        <v>202203-202407 南阳职业学院 计算机应用技术专业 函授学习。
202408至今 内乡县人民医院 工作。</v>
      </c>
    </row>
    <row r="4262" spans="1:9">
      <c r="A4262" s="1" t="str">
        <f>"411324199909024836"</f>
        <v>411324199909024836</v>
      </c>
      <c r="B4262" s="1" t="str">
        <f t="shared" si="2108"/>
        <v>群众</v>
      </c>
      <c r="C4262" s="1" t="str">
        <f t="shared" si="2109"/>
        <v>本科</v>
      </c>
      <c r="D4262" s="1" t="str">
        <f>"2023-07-01"</f>
        <v>2023-07-01</v>
      </c>
      <c r="E4262" s="1" t="str">
        <f>"南阳师范学院"</f>
        <v>南阳师范学院</v>
      </c>
      <c r="F4262" s="1" t="str">
        <f>"环境设计"</f>
        <v>环境设计</v>
      </c>
      <c r="G4262" s="1" t="str">
        <f>"镇平县紫金城路中段"</f>
        <v>镇平县紫金城路中段</v>
      </c>
      <c r="H4262" s="1" t="str">
        <f t="shared" si="2105"/>
        <v>无</v>
      </c>
      <c r="I4262" s="1" t="str">
        <f>"2019.09--2023.07南阳师范学院  环境设计专业  全日制本科"</f>
        <v>2019.09--2023.07南阳师范学院  环境设计专业  全日制本科</v>
      </c>
    </row>
    <row r="4263" spans="1:9">
      <c r="A4263" s="1" t="str">
        <f>"411327199505272525"</f>
        <v>411327199505272525</v>
      </c>
      <c r="B4263" s="1" t="str">
        <f t="shared" si="2108"/>
        <v>群众</v>
      </c>
      <c r="C4263" s="1" t="str">
        <f>"硕士研究生"</f>
        <v>硕士研究生</v>
      </c>
      <c r="D4263" s="1" t="str">
        <f>"2020.08"</f>
        <v>2020.08</v>
      </c>
      <c r="E4263" s="1" t="str">
        <f>"郑州大学"</f>
        <v>郑州大学</v>
      </c>
      <c r="F4263" s="1" t="str">
        <f>"无机化学"</f>
        <v>无机化学</v>
      </c>
      <c r="G4263" s="1" t="str">
        <f>"河南省南阳市内乡县王店镇"</f>
        <v>河南省南阳市内乡县王店镇</v>
      </c>
      <c r="H4263" s="1" t="str">
        <f t="shared" si="2105"/>
        <v>无</v>
      </c>
      <c r="I4263" s="1" t="str">
        <f>"201309-201706 南阳师范学院 化学与制药工程学院 应用化学 全日制 理学学士
201709-202008 郑州大学 化学院 无机化学 全日制 理学硕士 
202008-202406 南阳利达光电从事技术工作
202407-至今 中航凯迈红外有限公司从事技术工作"</f>
        <v>201309-201706 南阳师范学院 化学与制药工程学院 应用化学 全日制 理学学士
201709-202008 郑州大学 化学院 无机化学 全日制 理学硕士 
202008-202406 南阳利达光电从事技术工作
202407-至今 中航凯迈红外有限公司从事技术工作</v>
      </c>
    </row>
    <row r="4264" spans="1:9">
      <c r="A4264" s="1" t="str">
        <f>"411327200012064926"</f>
        <v>411327200012064926</v>
      </c>
      <c r="B4264" s="1" t="str">
        <f>"共青团员"</f>
        <v>共青团员</v>
      </c>
      <c r="C4264" s="1" t="str">
        <f t="shared" si="2109"/>
        <v>本科</v>
      </c>
      <c r="D4264" s="1" t="str">
        <f>"20250610"</f>
        <v>20250610</v>
      </c>
      <c r="E4264" s="1" t="str">
        <f>"中原科技学院"</f>
        <v>中原科技学院</v>
      </c>
      <c r="F4264" s="1" t="str">
        <f>"学前教育"</f>
        <v>学前教育</v>
      </c>
      <c r="G4264" s="1" t="str">
        <f>"河南省南阳市内乡县杜楼38号"</f>
        <v>河南省南阳市内乡县杜楼38号</v>
      </c>
      <c r="H4264" s="1" t="str">
        <f>"保育师四级"</f>
        <v>保育师四级</v>
      </c>
      <c r="I4264" s="1" t="str">
        <f>"202109——202506  在中原科技学院教育学院学前教育专业就读，为全日制学历；
201808——202106  在内乡高中就读；
201709——201806  在菊潭学校就读；
201409——201706  在灌涨初中就读；
200709——201407  在胡刘中心小学就读。"</f>
        <v>202109——202506  在中原科技学院教育学院学前教育专业就读，为全日制学历；
201808——202106  在内乡高中就读；
201709——201806  在菊潭学校就读；
201409——201706  在灌涨初中就读；
200709——201407  在胡刘中心小学就读。</v>
      </c>
    </row>
    <row r="4265" spans="1:9">
      <c r="A4265" s="1" t="str">
        <f>"411327200110230019"</f>
        <v>411327200110230019</v>
      </c>
      <c r="B4265" s="1" t="str">
        <f t="shared" ref="B4265:B4269" si="2110">"中共党员"</f>
        <v>中共党员</v>
      </c>
      <c r="C4265" s="1" t="str">
        <f t="shared" si="2109"/>
        <v>本科</v>
      </c>
      <c r="D4265" s="1" t="str">
        <f>"20240630"</f>
        <v>20240630</v>
      </c>
      <c r="E4265" s="1" t="str">
        <f>"河南财经政法大学"</f>
        <v>河南财经政法大学</v>
      </c>
      <c r="F4265" s="1" t="str">
        <f>"软件工程(金融信息化方向)"</f>
        <v>软件工程(金融信息化方向)</v>
      </c>
      <c r="G4265" s="1" t="str">
        <f>"河南省南阳市内乡县梨园山庄南袁氏牙科对面"</f>
        <v>河南省南阳市内乡县梨园山庄南袁氏牙科对面</v>
      </c>
      <c r="H4265" s="1" t="str">
        <f t="shared" ref="H4265:H4273" si="2111">"无"</f>
        <v>无</v>
      </c>
      <c r="I4265" s="1" t="str">
        <f>"202009-202405 河南财经政法大学计算机与信息工程学院软件工程(金融信息化方向)专业就读 全日制学历"</f>
        <v>202009-202405 河南财经政法大学计算机与信息工程学院软件工程(金融信息化方向)专业就读 全日制学历</v>
      </c>
    </row>
    <row r="4266" spans="1:9">
      <c r="A4266" s="1" t="str">
        <f>"140311200005250619"</f>
        <v>140311200005250619</v>
      </c>
      <c r="B4266" s="1" t="str">
        <f t="shared" ref="B4266:B4270" si="2112">"群众"</f>
        <v>群众</v>
      </c>
      <c r="C4266" s="1" t="str">
        <f t="shared" ref="C4266:C4268" si="2113">"专科"</f>
        <v>专科</v>
      </c>
      <c r="D4266" s="1" t="str">
        <f>"20260607"</f>
        <v>20260607</v>
      </c>
      <c r="E4266" s="1" t="str">
        <f>"三门峡职业技术学院"</f>
        <v>三门峡职业技术学院</v>
      </c>
      <c r="F4266" s="1" t="str">
        <f>"机电一体化技术"</f>
        <v>机电一体化技术</v>
      </c>
      <c r="G4266" s="1" t="str">
        <f>"河南省三门峡市六峰路三安宾馆"</f>
        <v>河南省三门峡市六峰路三安宾馆</v>
      </c>
      <c r="H4266" s="1" t="str">
        <f>"计算机调试员四级"</f>
        <v>计算机调试员四级</v>
      </c>
      <c r="I4266" s="1" t="str">
        <f>"202309-至今三门峡职业技术学院汽车学院机电一体化技术是全日制学历"</f>
        <v>202309-至今三门峡职业技术学院汽车学院机电一体化技术是全日制学历</v>
      </c>
    </row>
    <row r="4267" spans="1:9">
      <c r="A4267" s="1" t="str">
        <f>"411325200007112919"</f>
        <v>411325200007112919</v>
      </c>
      <c r="B4267" s="1" t="str">
        <f t="shared" si="2110"/>
        <v>中共党员</v>
      </c>
      <c r="C4267" s="1" t="str">
        <f t="shared" si="2113"/>
        <v>专科</v>
      </c>
      <c r="D4267" s="1" t="str">
        <f>"2020.07.1"</f>
        <v>2020.07.1</v>
      </c>
      <c r="E4267" s="1" t="str">
        <f>"河南司法警官职业学院"</f>
        <v>河南司法警官职业学院</v>
      </c>
      <c r="F4267" s="1" t="str">
        <f>"法律事务"</f>
        <v>法律事务</v>
      </c>
      <c r="G4267" s="1" t="str">
        <f>"内乡县林业局家属院"</f>
        <v>内乡县林业局家属院</v>
      </c>
      <c r="H4267" s="1" t="str">
        <f t="shared" si="2111"/>
        <v>无</v>
      </c>
      <c r="I4267" s="1" t="str">
        <f>"2014.9.1-2017.6.9就读于内乡一高
2017.9.10-2020.7.1就读于河南司法警官职业学院
2020.7.1至今待业"</f>
        <v>2014.9.1-2017.6.9就读于内乡一高
2017.9.10-2020.7.1就读于河南司法警官职业学院
2020.7.1至今待业</v>
      </c>
    </row>
    <row r="4268" spans="1:9">
      <c r="A4268" s="1" t="str">
        <f>"371203200001163225"</f>
        <v>371203200001163225</v>
      </c>
      <c r="B4268" s="1" t="str">
        <f t="shared" si="2112"/>
        <v>群众</v>
      </c>
      <c r="C4268" s="1" t="str">
        <f t="shared" si="2113"/>
        <v>专科</v>
      </c>
      <c r="D4268" s="1" t="str">
        <f>"20210720"</f>
        <v>20210720</v>
      </c>
      <c r="E4268" s="1" t="str">
        <f>"山东交通学院"</f>
        <v>山东交通学院</v>
      </c>
      <c r="F4268" s="1" t="str">
        <f>"交通运营管理"</f>
        <v>交通运营管理</v>
      </c>
      <c r="G4268" s="1" t="str">
        <f>"山东省泰安市东平县佛山小区7号楼403"</f>
        <v>山东省泰安市东平县佛山小区7号楼403</v>
      </c>
      <c r="H4268" s="1" t="str">
        <f t="shared" si="2111"/>
        <v>无</v>
      </c>
      <c r="I4268" s="1" t="str">
        <f>"201509——201807 山东省济南市钢城区凤城高级中学 学生
201903——202107 山东省济南市天桥区山东交通学院 交通运营管理
202107——202507 待业"</f>
        <v>201509——201807 山东省济南市钢城区凤城高级中学 学生
201903——202107 山东省济南市天桥区山东交通学院 交通运营管理
202107——202507 待业</v>
      </c>
    </row>
    <row r="4269" spans="1:9">
      <c r="A4269" s="1" t="str">
        <f>"412926199801072058"</f>
        <v>412926199801072058</v>
      </c>
      <c r="B4269" s="1" t="str">
        <f t="shared" si="2110"/>
        <v>中共党员</v>
      </c>
      <c r="C4269" s="1" t="str">
        <f t="shared" ref="C4269:C4272" si="2114">"本科"</f>
        <v>本科</v>
      </c>
      <c r="D4269" s="1" t="str">
        <f>"20210701"</f>
        <v>20210701</v>
      </c>
      <c r="E4269" s="1" t="str">
        <f>"郑州西亚斯学院"</f>
        <v>郑州西亚斯学院</v>
      </c>
      <c r="F4269" s="1" t="str">
        <f>"英语（专升本）"</f>
        <v>英语（专升本）</v>
      </c>
      <c r="G4269" s="1" t="str">
        <f>"内乡县师岗镇文化路"</f>
        <v>内乡县师岗镇文化路</v>
      </c>
      <c r="H4269" s="1" t="str">
        <f t="shared" si="2111"/>
        <v>无</v>
      </c>
      <c r="I4269" s="1" t="str">
        <f>"201609-201907 南阳师范学院外语学院英语系英语教育就读 全日制学历
201909-202107 郑州西亚斯学院外语学院英语系英语专业就读 全日制学历
202109-202209 开封待业
202209-至今     内乡县灌涨高级中学就业
"</f>
        <v>201609-201907 南阳师范学院外语学院英语系英语教育就读 全日制学历
201909-202107 郑州西亚斯学院外语学院英语系英语专业就读 全日制学历
202109-202209 开封待业
202209-至今     内乡县灌涨高级中学就业
</v>
      </c>
    </row>
    <row r="4270" spans="1:9">
      <c r="A4270" s="1" t="str">
        <f>"411522199603250011"</f>
        <v>411522199603250011</v>
      </c>
      <c r="B4270" s="1" t="str">
        <f t="shared" si="2112"/>
        <v>群众</v>
      </c>
      <c r="C4270" s="1" t="str">
        <f t="shared" si="2114"/>
        <v>本科</v>
      </c>
      <c r="D4270" s="1" t="str">
        <f>"20180701"</f>
        <v>20180701</v>
      </c>
      <c r="E4270" s="1" t="str">
        <f>"中原工学院信息商务学院"</f>
        <v>中原工学院信息商务学院</v>
      </c>
      <c r="F4270" s="1" t="str">
        <f>"土木工程"</f>
        <v>土木工程</v>
      </c>
      <c r="G4270" s="1" t="str">
        <f>"河南省信阳市光山县紫水街道紫玉庭苑"</f>
        <v>河南省信阳市光山县紫水街道紫玉庭苑</v>
      </c>
      <c r="H4270" s="1" t="str">
        <f t="shared" si="2111"/>
        <v>无</v>
      </c>
      <c r="I4270" s="1" t="str">
        <f>"2014年9月至2018年7月在中原工学院信息商务学院建筑工程系土木工程专业就读，是全日制学历；2018年3月至2019年3月在河南天一工程监理咨询有限公司工作；2019年3月至5月在郑州市待业；2019年5月至2020年8月在北京知金大鹏教育科技有限公司郑州分公司工作；2020年8月至2021年6月在信阳市待业；2021年6月至今，在河南高建工程管理有限公司工作。"</f>
        <v>2014年9月至2018年7月在中原工学院信息商务学院建筑工程系土木工程专业就读，是全日制学历；2018年3月至2019年3月在河南天一工程监理咨询有限公司工作；2019年3月至5月在郑州市待业；2019年5月至2020年8月在北京知金大鹏教育科技有限公司郑州分公司工作；2020年8月至2021年6月在信阳市待业；2021年6月至今，在河南高建工程管理有限公司工作。</v>
      </c>
    </row>
    <row r="4271" spans="1:9">
      <c r="A4271" s="1" t="str">
        <f>"411221200309099026"</f>
        <v>411221200309099026</v>
      </c>
      <c r="B4271" s="1" t="str">
        <f>"共青团员"</f>
        <v>共青团员</v>
      </c>
      <c r="C4271" s="1" t="str">
        <f t="shared" si="2114"/>
        <v>本科</v>
      </c>
      <c r="D4271" s="1" t="str">
        <f>"20250701"</f>
        <v>20250701</v>
      </c>
      <c r="E4271" s="1" t="str">
        <f>"中原科技学院"</f>
        <v>中原科技学院</v>
      </c>
      <c r="F4271" s="1" t="str">
        <f>"国际经济与贸易"</f>
        <v>国际经济与贸易</v>
      </c>
      <c r="G4271" s="1" t="str">
        <f>"河南省三门峡市渑池县"</f>
        <v>河南省三门峡市渑池县</v>
      </c>
      <c r="H4271" s="1" t="str">
        <f t="shared" si="2111"/>
        <v>无</v>
      </c>
      <c r="I4271" s="1" t="str">
        <f>"202109-202507 中原科技学院 经济学院 国际经济与贸易专业就读 全日制学历"</f>
        <v>202109-202507 中原科技学院 经济学院 国际经济与贸易专业就读 全日制学历</v>
      </c>
    </row>
    <row r="4272" spans="1:9">
      <c r="A4272" s="1" t="str">
        <f>"411327199810042523"</f>
        <v>411327199810042523</v>
      </c>
      <c r="B4272" s="1" t="str">
        <f t="shared" ref="B4272:B4276" si="2115">"中共党员"</f>
        <v>中共党员</v>
      </c>
      <c r="C4272" s="1" t="str">
        <f t="shared" si="2114"/>
        <v>本科</v>
      </c>
      <c r="D4272" s="1" t="str">
        <f>"20200701"</f>
        <v>20200701</v>
      </c>
      <c r="E4272" s="1" t="str">
        <f>"咸阳师范学院"</f>
        <v>咸阳师范学院</v>
      </c>
      <c r="F4272" s="1" t="str">
        <f>"公共事业管理"</f>
        <v>公共事业管理</v>
      </c>
      <c r="G4272" s="1" t="str">
        <f>"王店镇雷沟村周家"</f>
        <v>王店镇雷沟村周家</v>
      </c>
      <c r="H4272" s="1" t="str">
        <f t="shared" si="2111"/>
        <v>无</v>
      </c>
      <c r="I4272" s="1" t="str">
        <f>"2016.09--2020.07咸阳师范学院公共事业管理专业学生 
2020.07--2020.09待业
2020.09-2022.09 河南省内乡县菊潭学校初中部教师
2022.09--
河南省内乡县王店镇第一初级中学教师"</f>
        <v>2016.09--2020.07咸阳师范学院公共事业管理专业学生 
2020.07--2020.09待业
2020.09-2022.09 河南省内乡县菊潭学校初中部教师
2022.09--
河南省内乡县王店镇第一初级中学教师</v>
      </c>
    </row>
    <row r="4273" spans="1:9">
      <c r="A4273" s="1" t="str">
        <f>"411327199905280014"</f>
        <v>411327199905280014</v>
      </c>
      <c r="B4273" s="1" t="str">
        <f t="shared" ref="B4273:B4281" si="2116">"群众"</f>
        <v>群众</v>
      </c>
      <c r="C4273" s="1" t="str">
        <f>"专科"</f>
        <v>专科</v>
      </c>
      <c r="D4273" s="1" t="str">
        <f>"20200701"</f>
        <v>20200701</v>
      </c>
      <c r="E4273" s="1" t="str">
        <f>"河南检察职业学院"</f>
        <v>河南检察职业学院</v>
      </c>
      <c r="F4273" s="1" t="str">
        <f>"司法警务"</f>
        <v>司法警务</v>
      </c>
      <c r="G4273" s="1" t="str">
        <f>"郦都大道69号"</f>
        <v>郦都大道69号</v>
      </c>
      <c r="H4273" s="1" t="str">
        <f t="shared" si="2111"/>
        <v>无</v>
      </c>
      <c r="I4273" s="1" t="str">
        <f>"201709—202007于河南检察职业学院就读，全日制学历"</f>
        <v>201709—202007于河南检察职业学院就读，全日制学历</v>
      </c>
    </row>
    <row r="4274" spans="1:9">
      <c r="A4274" s="1" t="str">
        <f>"411327200405281112"</f>
        <v>411327200405281112</v>
      </c>
      <c r="B4274" s="1" t="str">
        <f t="shared" si="2115"/>
        <v>中共党员</v>
      </c>
      <c r="C4274" s="1" t="str">
        <f>"专科"</f>
        <v>专科</v>
      </c>
      <c r="D4274" s="1" t="str">
        <f>"20250613"</f>
        <v>20250613</v>
      </c>
      <c r="E4274" s="1" t="str">
        <f>"河南水利与环境职业学院"</f>
        <v>河南水利与环境职业学院</v>
      </c>
      <c r="F4274" s="1" t="str">
        <f>"园林工程技术"</f>
        <v>园林工程技术</v>
      </c>
      <c r="G4274" s="1" t="str">
        <f>"河南省南阳市内乡县赤眉镇黄岗村"</f>
        <v>河南省南阳市内乡县赤眉镇黄岗村</v>
      </c>
      <c r="H4274" s="1" t="str">
        <f>"制图员 高级/三级"</f>
        <v>制图员 高级/三级</v>
      </c>
      <c r="I4274" s="1" t="str">
        <f>"202209-202506河南水利与环境职业学院 环境工程系就读
是全日制"</f>
        <v>202209-202506河南水利与环境职业学院 环境工程系就读
是全日制</v>
      </c>
    </row>
    <row r="4275" spans="1:9">
      <c r="A4275" s="1" t="str">
        <f>"411327199512072513"</f>
        <v>411327199512072513</v>
      </c>
      <c r="B4275" s="1" t="str">
        <f t="shared" si="2116"/>
        <v>群众</v>
      </c>
      <c r="C4275" s="1" t="str">
        <f t="shared" ref="C4275:C4280" si="2117">"本科"</f>
        <v>本科</v>
      </c>
      <c r="D4275" s="1" t="str">
        <f>"20180701"</f>
        <v>20180701</v>
      </c>
      <c r="E4275" s="1" t="str">
        <f>"河南工程学院"</f>
        <v>河南工程学院</v>
      </c>
      <c r="F4275" s="1" t="str">
        <f>"产品设计"</f>
        <v>产品设计</v>
      </c>
      <c r="G4275" s="1" t="str">
        <f>"河南省南阳市内乡县王店镇"</f>
        <v>河南省南阳市内乡县王店镇</v>
      </c>
      <c r="H4275" s="1" t="str">
        <f>"中小学一级教师"</f>
        <v>中小学一级教师</v>
      </c>
      <c r="I4275" s="1" t="str">
        <f>"201409-201807 河南工程学院 艺术设计学院 产品设计专业就读 全日制本科学历 
201807-201809在家待业
201809-202409在内乡县王店初中任教
202409-至今在内乡县湍东初中任教"</f>
        <v>201409-201807 河南工程学院 艺术设计学院 产品设计专业就读 全日制本科学历 
201807-201809在家待业
201809-202409在内乡县王店初中任教
202409-至今在内乡县湍东初中任教</v>
      </c>
    </row>
    <row r="4276" spans="1:9">
      <c r="A4276" s="1" t="str">
        <f>"41048120020801152X"</f>
        <v>41048120020801152X</v>
      </c>
      <c r="B4276" s="1" t="str">
        <f t="shared" si="2115"/>
        <v>中共党员</v>
      </c>
      <c r="C4276" s="1" t="str">
        <f t="shared" si="2117"/>
        <v>本科</v>
      </c>
      <c r="D4276" s="1" t="str">
        <f>"20250701"</f>
        <v>20250701</v>
      </c>
      <c r="E4276" s="1" t="str">
        <f>"商丘学院"</f>
        <v>商丘学院</v>
      </c>
      <c r="F4276" s="1" t="str">
        <f>"物联网工程"</f>
        <v>物联网工程</v>
      </c>
      <c r="G4276" s="1" t="str">
        <f>"河南省南阳市内乡县城关镇白云小区"</f>
        <v>河南省南阳市内乡县城关镇白云小区</v>
      </c>
      <c r="H4276" s="1" t="str">
        <f t="shared" ref="H4276:H4287" si="2118">"无"</f>
        <v>无</v>
      </c>
      <c r="I4276" s="1" t="str">
        <f>"202109-202507 商丘学院 应用科技学院 物联网工程专业就读，是全日制学历"</f>
        <v>202109-202507 商丘学院 应用科技学院 物联网工程专业就读，是全日制学历</v>
      </c>
    </row>
    <row r="4277" spans="1:9">
      <c r="A4277" s="1" t="str">
        <f>"411324199009212452"</f>
        <v>411324199009212452</v>
      </c>
      <c r="B4277" s="1" t="str">
        <f t="shared" si="2116"/>
        <v>群众</v>
      </c>
      <c r="C4277" s="1" t="str">
        <f t="shared" si="2117"/>
        <v>本科</v>
      </c>
      <c r="D4277" s="1" t="str">
        <f>"2025-07-01"</f>
        <v>2025-07-01</v>
      </c>
      <c r="E4277" s="1" t="str">
        <f>"西安工程大学"</f>
        <v>西安工程大学</v>
      </c>
      <c r="F4277" s="1" t="str">
        <f>"计算机科学与技术"</f>
        <v>计算机科学与技术</v>
      </c>
      <c r="G4277" s="1" t="str">
        <f>"河南省南阳市镇平县高丘镇野鸡脖村"</f>
        <v>河南省南阳市镇平县高丘镇野鸡脖村</v>
      </c>
      <c r="H4277" s="1" t="str">
        <f t="shared" si="2118"/>
        <v>无</v>
      </c>
      <c r="I4277" s="1" t="str">
        <f>"2007.9月—2009.6月 镇平县第一高级中学。
2009.10月—2013.1月广东省中山市金达照明有限公司。
2013.4月—2018.3月 镇平县尚礼玉玉器商行。
2018.6月—2020.11月昌吉州阜康市公安局滋泥泉子镇派出所辅警。 2020.12月-2022年7月待业。
2022年8月-2023年6月浙江省杭州市西湖区三墩派出所辅警
2023年10月至今南阳市镇平县公安局辅警"</f>
        <v>2007.9月—2009.6月 镇平县第一高级中学。
2009.10月—2013.1月广东省中山市金达照明有限公司。
2013.4月—2018.3月 镇平县尚礼玉玉器商行。
2018.6月—2020.11月昌吉州阜康市公安局滋泥泉子镇派出所辅警。 2020.12月-2022年7月待业。
2022年8月-2023年6月浙江省杭州市西湖区三墩派出所辅警
2023年10月至今南阳市镇平县公安局辅警</v>
      </c>
    </row>
    <row r="4278" spans="1:9">
      <c r="A4278" s="1" t="str">
        <f>"411323200107140025"</f>
        <v>411323200107140025</v>
      </c>
      <c r="B4278" s="1" t="str">
        <f t="shared" si="2116"/>
        <v>群众</v>
      </c>
      <c r="C4278" s="1" t="str">
        <f t="shared" si="2117"/>
        <v>本科</v>
      </c>
      <c r="D4278" s="1" t="str">
        <f>"20240701"</f>
        <v>20240701</v>
      </c>
      <c r="E4278" s="1" t="str">
        <f>"河南开封科技传媒学院"</f>
        <v>河南开封科技传媒学院</v>
      </c>
      <c r="F4278" s="1" t="str">
        <f>"国际经济与贸易"</f>
        <v>国际经济与贸易</v>
      </c>
      <c r="G4278" s="1" t="str">
        <f>"河南省淅川县"</f>
        <v>河南省淅川县</v>
      </c>
      <c r="H4278" s="1" t="str">
        <f t="shared" si="2118"/>
        <v>无</v>
      </c>
      <c r="I4278" s="1" t="str">
        <f>"202209-202406 河南开封科技传媒学院 经济学院 国际经济与贸易专业就读。
202406-至今 待业
"</f>
        <v>202209-202406 河南开封科技传媒学院 经济学院 国际经济与贸易专业就读。
202406-至今 待业
</v>
      </c>
    </row>
    <row r="4279" spans="1:9">
      <c r="A4279" s="1" t="str">
        <f>"411523200009254863"</f>
        <v>411523200009254863</v>
      </c>
      <c r="B4279" s="1" t="str">
        <f t="shared" si="2116"/>
        <v>群众</v>
      </c>
      <c r="C4279" s="1" t="str">
        <f t="shared" si="2117"/>
        <v>本科</v>
      </c>
      <c r="D4279" s="1" t="str">
        <f>"20230701"</f>
        <v>20230701</v>
      </c>
      <c r="E4279" s="1" t="str">
        <f>"周口师范学院"</f>
        <v>周口师范学院</v>
      </c>
      <c r="F4279" s="1" t="str">
        <f>"生物制药"</f>
        <v>生物制药</v>
      </c>
      <c r="G4279" s="1" t="str">
        <f>"河南省信阳市新县陡山河乡"</f>
        <v>河南省信阳市新县陡山河乡</v>
      </c>
      <c r="H4279" s="1" t="str">
        <f t="shared" si="2118"/>
        <v>无</v>
      </c>
      <c r="I4279" s="1" t="str">
        <f>"201909-202307周口师范学院 就读
201609-201907新县第二高级中学 就读
201209-201607陡山河初级中学 就读
200709-201207陡山河希望小学 就读"</f>
        <v>201909-202307周口师范学院 就读
201609-201907新县第二高级中学 就读
201209-201607陡山河初级中学 就读
200709-201207陡山河希望小学 就读</v>
      </c>
    </row>
    <row r="4280" spans="1:9">
      <c r="A4280" s="1" t="str">
        <f>"412822200101192678"</f>
        <v>412822200101192678</v>
      </c>
      <c r="B4280" s="1" t="str">
        <f t="shared" si="2116"/>
        <v>群众</v>
      </c>
      <c r="C4280" s="1" t="str">
        <f t="shared" si="2117"/>
        <v>本科</v>
      </c>
      <c r="D4280" s="1" t="str">
        <f>"20240701"</f>
        <v>20240701</v>
      </c>
      <c r="E4280" s="1" t="str">
        <f>"河南科技学院"</f>
        <v>河南科技学院</v>
      </c>
      <c r="F4280" s="1" t="str">
        <f>"物联网工程"</f>
        <v>物联网工程</v>
      </c>
      <c r="G4280" s="1" t="str">
        <f>"河南省驻马店市泌阳县花园办事处文化路中段鸿运小区"</f>
        <v>河南省驻马店市泌阳县花园办事处文化路中段鸿运小区</v>
      </c>
      <c r="H4280" s="1" t="str">
        <f t="shared" si="2118"/>
        <v>无</v>
      </c>
      <c r="I4280" s="1" t="str">
        <f>"202009-202407 河南科技学院 计算机科学与技术学院 物联网工程专业  就读  全日制本科"</f>
        <v>202009-202407 河南科技学院 计算机科学与技术学院 物联网工程专业  就读  全日制本科</v>
      </c>
    </row>
    <row r="4281" spans="1:9">
      <c r="A4281" s="1" t="str">
        <f>"411327199305213125"</f>
        <v>411327199305213125</v>
      </c>
      <c r="B4281" s="1" t="str">
        <f t="shared" si="2116"/>
        <v>群众</v>
      </c>
      <c r="C4281" s="1" t="str">
        <f>"专科"</f>
        <v>专科</v>
      </c>
      <c r="D4281" s="1" t="str">
        <f>"2024.07.01"</f>
        <v>2024.07.01</v>
      </c>
      <c r="E4281" s="1" t="str">
        <f>"新乡学院"</f>
        <v>新乡学院</v>
      </c>
      <c r="F4281" s="1" t="str">
        <f>"法律事务"</f>
        <v>法律事务</v>
      </c>
      <c r="G4281" s="1" t="str">
        <f>"河南省南阳市内乡县夏馆镇"</f>
        <v>河南省南阳市内乡县夏馆镇</v>
      </c>
      <c r="H4281" s="1" t="str">
        <f t="shared" si="2118"/>
        <v>无</v>
      </c>
      <c r="I4281" s="1" t="str">
        <f>"2022年三月至2024年7月在新乡学院就读法律事务专业"</f>
        <v>2022年三月至2024年7月在新乡学院就读法律事务专业</v>
      </c>
    </row>
    <row r="4282" spans="1:9">
      <c r="A4282" s="1" t="str">
        <f>"41100220001114201X"</f>
        <v>41100220001114201X</v>
      </c>
      <c r="B4282" s="1" t="str">
        <f t="shared" ref="B4282:B4290" si="2119">"共青团员"</f>
        <v>共青团员</v>
      </c>
      <c r="C4282" s="1" t="str">
        <f t="shared" ref="C4282:C4290" si="2120">"本科"</f>
        <v>本科</v>
      </c>
      <c r="D4282" s="1" t="str">
        <f>"2023.07"</f>
        <v>2023.07</v>
      </c>
      <c r="E4282" s="1" t="str">
        <f>"郑州工商学院"</f>
        <v>郑州工商学院</v>
      </c>
      <c r="F4282" s="1" t="str">
        <f>"环境设计"</f>
        <v>环境设计</v>
      </c>
      <c r="G4282" s="1" t="str">
        <f>"河南省许昌市魏都区华佗路都市家园6号楼2单元203"</f>
        <v>河南省许昌市魏都区华佗路都市家园6号楼2单元203</v>
      </c>
      <c r="H4282" s="1" t="str">
        <f t="shared" si="2118"/>
        <v>无</v>
      </c>
      <c r="I4282" s="1" t="str">
        <f>"2019.09-2023.07 郑州工商学院 环境设计
2023.07-2025.07 待业"</f>
        <v>2019.09-2023.07 郑州工商学院 环境设计
2023.07-2025.07 待业</v>
      </c>
    </row>
    <row r="4283" spans="1:9">
      <c r="A4283" s="1" t="str">
        <f>"411322199709052020"</f>
        <v>411322199709052020</v>
      </c>
      <c r="B4283" s="1" t="str">
        <f>"中共党员"</f>
        <v>中共党员</v>
      </c>
      <c r="C4283" s="1" t="str">
        <f>"硕士研究生"</f>
        <v>硕士研究生</v>
      </c>
      <c r="D4283" s="1" t="str">
        <f>"20230103"</f>
        <v>20230103</v>
      </c>
      <c r="E4283" s="1" t="str">
        <f>"河北科技大学"</f>
        <v>河北科技大学</v>
      </c>
      <c r="F4283" s="1" t="str">
        <f>"社会学"</f>
        <v>社会学</v>
      </c>
      <c r="G4283" s="1" t="str">
        <f>"河南省南阳市方城县广阳镇新集村"</f>
        <v>河南省南阳市方城县广阳镇新集村</v>
      </c>
      <c r="H4283" s="1" t="str">
        <f t="shared" si="2118"/>
        <v>无</v>
      </c>
      <c r="I4283" s="1" t="str">
        <f>"201509-201906 河南师范大学 社会事业学院 劳动与社会保障专业 全日制；
201907-202008 南阳市方城县家中待业；
202009-202301河北科技大学 文法学院  社会学专业 全日制；
202302-202306南阳市方城县家中待业
202307-202406深圳市南山区社会创新促进会 社会治理项目经理；
202407-202408南阳市方城县家中待业；
202409-202507河南省郑州市华路云启（北京）科技有限公司 党建项目策划；"</f>
        <v>201509-201906 河南师范大学 社会事业学院 劳动与社会保障专业 全日制；
201907-202008 南阳市方城县家中待业；
202009-202301河北科技大学 文法学院  社会学专业 全日制；
202302-202306南阳市方城县家中待业
202307-202406深圳市南山区社会创新促进会 社会治理项目经理；
202407-202408南阳市方城县家中待业；
202409-202507河南省郑州市华路云启（北京）科技有限公司 党建项目策划；</v>
      </c>
    </row>
    <row r="4284" spans="1:9">
      <c r="A4284" s="1" t="str">
        <f>"411324199912303027"</f>
        <v>411324199912303027</v>
      </c>
      <c r="B4284" s="1" t="str">
        <f t="shared" si="2119"/>
        <v>共青团员</v>
      </c>
      <c r="C4284" s="1" t="str">
        <f t="shared" si="2120"/>
        <v>本科</v>
      </c>
      <c r="D4284" s="1" t="str">
        <f>"20220701"</f>
        <v>20220701</v>
      </c>
      <c r="E4284" s="1" t="str">
        <f>"河南科技大学"</f>
        <v>河南科技大学</v>
      </c>
      <c r="F4284" s="1" t="str">
        <f>"软件工程"</f>
        <v>软件工程</v>
      </c>
      <c r="G4284" s="1" t="str">
        <f>"河南省南阳市镇平县曲屯镇河西村"</f>
        <v>河南省南阳市镇平县曲屯镇河西村</v>
      </c>
      <c r="H4284" s="1" t="str">
        <f t="shared" si="2118"/>
        <v>无</v>
      </c>
      <c r="I4284" s="1" t="str">
        <f>"201809-202207，河南科技大学软件学院软件工程专业，大学本科，全日制，获学士学位；2022年8月-2024年6月，河南航天金德电子有限公司单位工作；2024年6月-2024年11月，中软国际科技服务有限公司苏州分公司单位工作；2024年11月-至今，待业"</f>
        <v>201809-202207，河南科技大学软件学院软件工程专业，大学本科，全日制，获学士学位；2022年8月-2024年6月，河南航天金德电子有限公司单位工作；2024年6月-2024年11月，中软国际科技服务有限公司苏州分公司单位工作；2024年11月-至今，待业</v>
      </c>
    </row>
    <row r="4285" spans="1:9">
      <c r="A4285" s="1" t="str">
        <f>"142234199804121616"</f>
        <v>142234199804121616</v>
      </c>
      <c r="B4285" s="1" t="str">
        <f>"中共党员"</f>
        <v>中共党员</v>
      </c>
      <c r="C4285" s="1" t="str">
        <f t="shared" si="2120"/>
        <v>本科</v>
      </c>
      <c r="D4285" s="1" t="str">
        <f>"20220701"</f>
        <v>20220701</v>
      </c>
      <c r="E4285" s="1" t="str">
        <f>"中北大学信息商务学院"</f>
        <v>中北大学信息商务学院</v>
      </c>
      <c r="F4285" s="1" t="str">
        <f>"材料成型及控制工程"</f>
        <v>材料成型及控制工程</v>
      </c>
      <c r="G4285" s="1" t="str">
        <f>"山西省忻州市偏关县庄王"</f>
        <v>山西省忻州市偏关县庄王</v>
      </c>
      <c r="H4285" s="1" t="str">
        <f t="shared" si="2118"/>
        <v>无</v>
      </c>
      <c r="I4285" s="1" t="str">
        <f>"201809-202207 中北大学信息商务学院 材料成型及控制工程专业就读。全日制本科。202207-至今，待业。"</f>
        <v>201809-202207 中北大学信息商务学院 材料成型及控制工程专业就读。全日制本科。202207-至今，待业。</v>
      </c>
    </row>
    <row r="4286" spans="1:9">
      <c r="A4286" s="1" t="str">
        <f>"411324199812060021"</f>
        <v>411324199812060021</v>
      </c>
      <c r="B4286" s="1" t="str">
        <f>"群众"</f>
        <v>群众</v>
      </c>
      <c r="C4286" s="1" t="str">
        <f t="shared" si="2120"/>
        <v>本科</v>
      </c>
      <c r="D4286" s="1" t="str">
        <f>"20200618"</f>
        <v>20200618</v>
      </c>
      <c r="E4286" s="1" t="str">
        <f>"湖南农业大学"</f>
        <v>湖南农业大学</v>
      </c>
      <c r="F4286" s="1" t="str">
        <f>"动物科学"</f>
        <v>动物科学</v>
      </c>
      <c r="G4286" s="1" t="str">
        <f>"河南省南阳市内乡县"</f>
        <v>河南省南阳市内乡县</v>
      </c>
      <c r="H4286" s="1" t="str">
        <f t="shared" si="2118"/>
        <v>无</v>
      </c>
      <c r="I4286" s="1" t="str">
        <f>"201609-202006在湖南农业大学动物科学与技术学院动物科学专业就读，是全日制本科学历；
202007-202102在牧原食品股份有限公司工作；
202103-202209在内乡县待业；
202210-202408在中国平安股份有限公司工作；
202409-至今在内乡县待业。"</f>
        <v>201609-202006在湖南农业大学动物科学与技术学院动物科学专业就读，是全日制本科学历；
202007-202102在牧原食品股份有限公司工作；
202103-202209在内乡县待业；
202210-202408在中国平安股份有限公司工作；
202409-至今在内乡县待业。</v>
      </c>
    </row>
    <row r="4287" spans="1:9">
      <c r="A4287" s="1" t="str">
        <f>"411327200204130027"</f>
        <v>411327200204130027</v>
      </c>
      <c r="B4287" s="1" t="str">
        <f t="shared" si="2119"/>
        <v>共青团员</v>
      </c>
      <c r="C4287" s="1" t="str">
        <f t="shared" si="2120"/>
        <v>本科</v>
      </c>
      <c r="D4287" s="1" t="str">
        <f>"20250630"</f>
        <v>20250630</v>
      </c>
      <c r="E4287" s="1" t="str">
        <f>"武昌首义学院"</f>
        <v>武昌首义学院</v>
      </c>
      <c r="F4287" s="1" t="str">
        <f>"财务管理"</f>
        <v>财务管理</v>
      </c>
      <c r="G4287" s="1" t="str">
        <f>"河南省南阳市内乡县城关镇县衙路4号"</f>
        <v>河南省南阳市内乡县城关镇县衙路4号</v>
      </c>
      <c r="H4287" s="1" t="str">
        <f t="shared" si="2118"/>
        <v>无</v>
      </c>
      <c r="I4287" s="1" t="str">
        <f>"202009-202306武昌首义学院就读，武昌首义学院经济管理学院财务管理专业全日制专科学历。
202309-202506武昌首义学院就读，武昌首义学院经济管理学院财务管理专业全日制本科学历。"</f>
        <v>202009-202306武昌首义学院就读，武昌首义学院经济管理学院财务管理专业全日制专科学历。
202309-202506武昌首义学院就读，武昌首义学院经济管理学院财务管理专业全日制本科学历。</v>
      </c>
    </row>
    <row r="4288" spans="1:9">
      <c r="A4288" s="1" t="str">
        <f>"411327200212263524"</f>
        <v>411327200212263524</v>
      </c>
      <c r="B4288" s="1" t="str">
        <f t="shared" si="2119"/>
        <v>共青团员</v>
      </c>
      <c r="C4288" s="1" t="str">
        <f t="shared" si="2120"/>
        <v>本科</v>
      </c>
      <c r="D4288" s="1" t="str">
        <f>"20240606"</f>
        <v>20240606</v>
      </c>
      <c r="E4288" s="1" t="str">
        <f>"信阳学院"</f>
        <v>信阳学院</v>
      </c>
      <c r="F4288" s="1" t="str">
        <f>"法学"</f>
        <v>法学</v>
      </c>
      <c r="G4288" s="1" t="str">
        <f>"河南省南阳市内乡县板场乡"</f>
        <v>河南省南阳市内乡县板场乡</v>
      </c>
      <c r="H4288" s="1" t="str">
        <f>"法律职业资格证书C证"</f>
        <v>法律职业资格证书C证</v>
      </c>
      <c r="I4288" s="1" t="str">
        <f>"202009-202406 信阳学院学校社会科学学院法学专业是全日制学历 就读 
202406-至今 在河南省南阳市内乡县板场乡待业"</f>
        <v>202009-202406 信阳学院学校社会科学学院法学专业是全日制学历 就读 
202406-至今 在河南省南阳市内乡县板场乡待业</v>
      </c>
    </row>
    <row r="4289" spans="1:9">
      <c r="A4289" s="1" t="str">
        <f>"411327200211261527"</f>
        <v>411327200211261527</v>
      </c>
      <c r="B4289" s="1" t="str">
        <f t="shared" si="2119"/>
        <v>共青团员</v>
      </c>
      <c r="C4289" s="1" t="str">
        <f t="shared" si="2120"/>
        <v>本科</v>
      </c>
      <c r="D4289" s="1" t="str">
        <f>"20240607"</f>
        <v>20240607</v>
      </c>
      <c r="E4289" s="1" t="str">
        <f>"南阳师范学院"</f>
        <v>南阳师范学院</v>
      </c>
      <c r="F4289" s="1" t="str">
        <f>"化学"</f>
        <v>化学</v>
      </c>
      <c r="G4289" s="1" t="str">
        <f>"河南省南阳市内乡县湍东镇东符营村"</f>
        <v>河南省南阳市内乡县湍东镇东符营村</v>
      </c>
      <c r="H4289" s="1" t="str">
        <f t="shared" ref="H4289:H4298" si="2121">"无"</f>
        <v>无</v>
      </c>
      <c r="I4289" s="1" t="str">
        <f>"202009-202406在南阳师范学院化学与制药工程学院就读化学专业，为全日制学历
202402-202410在河南联牧兽药有限公司任职药品检测岗
202411-至今在牧原食品有限公司灌涨饲料厂任职饲料品管岗"</f>
        <v>202009-202406在南阳师范学院化学与制药工程学院就读化学专业，为全日制学历
202402-202410在河南联牧兽药有限公司任职药品检测岗
202411-至今在牧原食品有限公司灌涨饲料厂任职饲料品管岗</v>
      </c>
    </row>
    <row r="4290" spans="1:9">
      <c r="A4290" s="1" t="str">
        <f>"330727199903156328"</f>
        <v>330727199903156328</v>
      </c>
      <c r="B4290" s="1" t="str">
        <f t="shared" si="2119"/>
        <v>共青团员</v>
      </c>
      <c r="C4290" s="1" t="str">
        <f t="shared" si="2120"/>
        <v>本科</v>
      </c>
      <c r="D4290" s="1" t="str">
        <f>"20210602"</f>
        <v>20210602</v>
      </c>
      <c r="E4290" s="1" t="str">
        <f>"温州医科大学仁济学院"</f>
        <v>温州医科大学仁济学院</v>
      </c>
      <c r="F4290" s="1" t="str">
        <f>"生物医学工程"</f>
        <v>生物医学工程</v>
      </c>
      <c r="G4290" s="1" t="str">
        <f>"浙江省金华市磐安县安文街道九峰路8号金厦梦展花园1栋3单元306室"</f>
        <v>浙江省金华市磐安县安文街道九峰路8号金厦梦展花园1栋3单元306室</v>
      </c>
      <c r="H4290" s="1" t="str">
        <f t="shared" si="2121"/>
        <v>无</v>
      </c>
      <c r="I4290" s="1" t="str">
        <f>"201709-202106温州医科大学仁济学院"</f>
        <v>201709-202106温州医科大学仁济学院</v>
      </c>
    </row>
    <row r="4291" spans="1:9">
      <c r="A4291" s="1" t="str">
        <f>"411327199809130024"</f>
        <v>411327199809130024</v>
      </c>
      <c r="B4291" s="1" t="str">
        <f>"中共党员"</f>
        <v>中共党员</v>
      </c>
      <c r="C4291" s="1" t="str">
        <f>"硕士研究生"</f>
        <v>硕士研究生</v>
      </c>
      <c r="D4291" s="1" t="str">
        <f>"20240615"</f>
        <v>20240615</v>
      </c>
      <c r="E4291" s="1" t="str">
        <f>"内蒙古科技大学"</f>
        <v>内蒙古科技大学</v>
      </c>
      <c r="F4291" s="1" t="str">
        <f>"土木工程"</f>
        <v>土木工程</v>
      </c>
      <c r="G4291" s="1" t="str">
        <f>"河南省南阳市内乡县渚阳大街北八巷88号"</f>
        <v>河南省南阳市内乡县渚阳大街北八巷88号</v>
      </c>
      <c r="H4291" s="1" t="str">
        <f t="shared" si="2121"/>
        <v>无</v>
      </c>
      <c r="I4291" s="1" t="str">
        <f>"201709-202106 南阳师范学院 土木与建筑工程学院 给排水科学与工程专业 就读
202109-202406 内蒙古科技大学 能源与环境学院 土木工程专业 就读
20406至今 待业
"</f>
        <v>201709-202106 南阳师范学院 土木与建筑工程学院 给排水科学与工程专业 就读
202109-202406 内蒙古科技大学 能源与环境学院 土木工程专业 就读
20406至今 待业
</v>
      </c>
    </row>
    <row r="4292" spans="1:9">
      <c r="A4292" s="1" t="str">
        <f>"411324200103010131"</f>
        <v>411324200103010131</v>
      </c>
      <c r="B4292" s="1" t="str">
        <f>"共青团员"</f>
        <v>共青团员</v>
      </c>
      <c r="C4292" s="1" t="str">
        <f t="shared" ref="C4292:C4295" si="2122">"本科"</f>
        <v>本科</v>
      </c>
      <c r="D4292" s="1" t="str">
        <f>"20240601"</f>
        <v>20240601</v>
      </c>
      <c r="E4292" s="1" t="str">
        <f>"郑州工业应用技术学院"</f>
        <v>郑州工业应用技术学院</v>
      </c>
      <c r="F4292" s="1" t="str">
        <f>"计算机科学与技术"</f>
        <v>计算机科学与技术</v>
      </c>
      <c r="G4292" s="1" t="str">
        <f>"河南省南阳市镇平县菩提路雪枫小区"</f>
        <v>河南省南阳市镇平县菩提路雪枫小区</v>
      </c>
      <c r="H4292" s="1" t="str">
        <f t="shared" si="2121"/>
        <v>无</v>
      </c>
      <c r="I4292" s="1" t="str">
        <f>"202009-202406 郑州工业应用技术学院信息工程学院计算机科学与技术专业就读 是全日制。
202406-202507 河南省南阳市镇平县待业"</f>
        <v>202009-202406 郑州工业应用技术学院信息工程学院计算机科学与技术专业就读 是全日制。
202406-202507 河南省南阳市镇平县待业</v>
      </c>
    </row>
    <row r="4293" spans="1:9">
      <c r="A4293" s="1" t="str">
        <f>"412824199407256811"</f>
        <v>412824199407256811</v>
      </c>
      <c r="B4293" s="1" t="str">
        <f t="shared" ref="B4293:B4304" si="2123">"群众"</f>
        <v>群众</v>
      </c>
      <c r="C4293" s="1" t="str">
        <f t="shared" si="2122"/>
        <v>本科</v>
      </c>
      <c r="D4293" s="1" t="str">
        <f>"20180628"</f>
        <v>20180628</v>
      </c>
      <c r="E4293" s="1" t="str">
        <f>"青岛理工大学"</f>
        <v>青岛理工大学</v>
      </c>
      <c r="F4293" s="1" t="str">
        <f>"土木工程"</f>
        <v>土木工程</v>
      </c>
      <c r="G4293" s="1" t="str">
        <f>"河南省郑州市新郑市龙湖镇祥云路工贸人才公寓"</f>
        <v>河南省郑州市新郑市龙湖镇祥云路工贸人才公寓</v>
      </c>
      <c r="H4293" s="1" t="str">
        <f t="shared" si="2121"/>
        <v>无</v>
      </c>
      <c r="I4293" s="1" t="str">
        <f>"201409-201806 青岛理工大学土木工程学院土木工程专业 就读 全日制
201807-202409 中建科工集团有限公司 工作
202410-至今 在家待业"</f>
        <v>201409-201806 青岛理工大学土木工程学院土木工程专业 就读 全日制
201807-202409 中建科工集团有限公司 工作
202410-至今 在家待业</v>
      </c>
    </row>
    <row r="4294" spans="1:9">
      <c r="A4294" s="1" t="str">
        <f>"410883200011230328"</f>
        <v>410883200011230328</v>
      </c>
      <c r="B4294" s="1" t="str">
        <f>"共青团员"</f>
        <v>共青团员</v>
      </c>
      <c r="C4294" s="1" t="str">
        <f t="shared" ref="C4294:C4297" si="2124">"专科"</f>
        <v>专科</v>
      </c>
      <c r="D4294" s="1" t="str">
        <f>"20220701"</f>
        <v>20220701</v>
      </c>
      <c r="E4294" s="1" t="str">
        <f>"焦作师范高等专科学校"</f>
        <v>焦作师范高等专科学校</v>
      </c>
      <c r="F4294" s="1" t="str">
        <f>"计算机应用技术专业"</f>
        <v>计算机应用技术专业</v>
      </c>
      <c r="G4294" s="1" t="str">
        <f>"焦作市孟州市大定办东关村"</f>
        <v>焦作市孟州市大定办东关村</v>
      </c>
      <c r="H4294" s="1" t="str">
        <f t="shared" si="2121"/>
        <v>无</v>
      </c>
      <c r="I4294" s="1" t="str">
        <f>"2019年9月至2022年7月焦作师范高等专科学校信息工程学院计算机应用技术专业就读是全日制学历，2022年7月至2022年9月在家待业，2022年9月至2024年3月孟州特殊教育学校代课老师，2024年3月至2025年7月孟州市华盛职业技术培训学校文秘，2025年7月至今在家待业"</f>
        <v>2019年9月至2022年7月焦作师范高等专科学校信息工程学院计算机应用技术专业就读是全日制学历，2022年7月至2022年9月在家待业，2022年9月至2024年3月孟州特殊教育学校代课老师，2024年3月至2025年7月孟州市华盛职业技术培训学校文秘，2025年7月至今在家待业</v>
      </c>
    </row>
    <row r="4295" spans="1:9">
      <c r="A4295" s="1" t="str">
        <f>"411327199406170021"</f>
        <v>411327199406170021</v>
      </c>
      <c r="B4295" s="1" t="str">
        <f t="shared" si="2123"/>
        <v>群众</v>
      </c>
      <c r="C4295" s="1" t="str">
        <f t="shared" si="2122"/>
        <v>本科</v>
      </c>
      <c r="D4295" s="1" t="str">
        <f>"20160701"</f>
        <v>20160701</v>
      </c>
      <c r="E4295" s="1" t="str">
        <f>"河南理工大学万方科技学院"</f>
        <v>河南理工大学万方科技学院</v>
      </c>
      <c r="F4295" s="1" t="str">
        <f>"广告学"</f>
        <v>广告学</v>
      </c>
      <c r="G4295" s="1" t="str">
        <f>"内乡县湍东镇建业森林半岛"</f>
        <v>内乡县湍东镇建业森林半岛</v>
      </c>
      <c r="H4295" s="1" t="str">
        <f t="shared" si="2121"/>
        <v>无</v>
      </c>
      <c r="I4295" s="1" t="str">
        <f>"201209-201607在河南理工大学万方科技学院语言文学系广告学专业全日制学历
201609-至今在内乡菊潭学校工作"</f>
        <v>201209-201607在河南理工大学万方科技学院语言文学系广告学专业全日制学历
201609-至今在内乡菊潭学校工作</v>
      </c>
    </row>
    <row r="4296" spans="1:9">
      <c r="A4296" s="1" t="str">
        <f>"41132219960921001X"</f>
        <v>41132219960921001X</v>
      </c>
      <c r="B4296" s="1" t="str">
        <f t="shared" si="2123"/>
        <v>群众</v>
      </c>
      <c r="C4296" s="1" t="str">
        <f t="shared" si="2124"/>
        <v>专科</v>
      </c>
      <c r="D4296" s="1" t="str">
        <f>"20160701"</f>
        <v>20160701</v>
      </c>
      <c r="E4296" s="1" t="str">
        <f>"河南财经政法大学"</f>
        <v>河南财经政法大学</v>
      </c>
      <c r="F4296" s="1" t="str">
        <f>"会计电算化"</f>
        <v>会计电算化</v>
      </c>
      <c r="G4296" s="1" t="str">
        <f>"河南省南阳市方城县名门世家小区"</f>
        <v>河南省南阳市方城县名门世家小区</v>
      </c>
      <c r="H4296" s="1" t="str">
        <f t="shared" si="2121"/>
        <v>无</v>
      </c>
      <c r="I4296" s="1" t="str">
        <f>"201403-201607在财经政法大学会计电算化专业就读不是全日制学历
201809-202201在国家开放大学计算机科学与技术就读不是全日制学历"</f>
        <v>201403-201607在财经政法大学会计电算化专业就读不是全日制学历
201809-202201在国家开放大学计算机科学与技术就读不是全日制学历</v>
      </c>
    </row>
    <row r="4297" spans="1:9">
      <c r="A4297" s="1" t="str">
        <f>"411325199302144539"</f>
        <v>411325199302144539</v>
      </c>
      <c r="B4297" s="1" t="str">
        <f t="shared" si="2123"/>
        <v>群众</v>
      </c>
      <c r="C4297" s="1" t="str">
        <f t="shared" si="2124"/>
        <v>专科</v>
      </c>
      <c r="D4297" s="1" t="str">
        <f>"20180701"</f>
        <v>20180701</v>
      </c>
      <c r="E4297" s="1" t="str">
        <f>"南阳师范学院"</f>
        <v>南阳师范学院</v>
      </c>
      <c r="F4297" s="1" t="str">
        <f>"艺术设计（中外合作办学）"</f>
        <v>艺术设计（中外合作办学）</v>
      </c>
      <c r="G4297" s="1" t="str">
        <f>"河南省南阳市宛城区溧河乡胡寨"</f>
        <v>河南省南阳市宛城区溧河乡胡寨</v>
      </c>
      <c r="H4297" s="1" t="str">
        <f t="shared" si="2121"/>
        <v>无</v>
      </c>
      <c r="I4297" s="1" t="str">
        <f>"201409-201509 南阳师范学院 国际教育学院 艺术设计专业 全日制学历
201509-201609 中国人民解放军70387部队 服役
201609-201807 南阳师范学院 国际教育学院 艺术设计专业全日制学历
201808-至今 南阳市星海电脑艺术中等职业学校"</f>
        <v>201409-201509 南阳师范学院 国际教育学院 艺术设计专业 全日制学历
201509-201609 中国人民解放军70387部队 服役
201609-201807 南阳师范学院 国际教育学院 艺术设计专业全日制学历
201808-至今 南阳市星海电脑艺术中等职业学校</v>
      </c>
    </row>
    <row r="4298" spans="1:9">
      <c r="A4298" s="1" t="str">
        <f>"622822199912052111"</f>
        <v>622822199912052111</v>
      </c>
      <c r="B4298" s="1" t="str">
        <f t="shared" si="2123"/>
        <v>群众</v>
      </c>
      <c r="C4298" s="1" t="str">
        <f t="shared" ref="C4298:C4304" si="2125">"本科"</f>
        <v>本科</v>
      </c>
      <c r="D4298" s="1" t="str">
        <f>"20210615"</f>
        <v>20210615</v>
      </c>
      <c r="E4298" s="1" t="str">
        <f>"甘肃农业大学"</f>
        <v>甘肃农业大学</v>
      </c>
      <c r="F4298" s="1" t="str">
        <f>"食品科学与工程"</f>
        <v>食品科学与工程</v>
      </c>
      <c r="G4298" s="1" t="str">
        <f>"河南省南阳市内乡县湍东镇金融街荣府"</f>
        <v>河南省南阳市内乡县湍东镇金融街荣府</v>
      </c>
      <c r="H4298" s="1" t="str">
        <f t="shared" si="2121"/>
        <v>无</v>
      </c>
      <c r="I4298" s="1" t="str">
        <f>"201709-202106甘肃农业大学食品科学与工程学院食品科学与工程专业，全日制本科。
202106-202306内乡牧原肉食品有限公司 车间班长
202306-至今内乡菊潭高级中学 生物教师"</f>
        <v>201709-202106甘肃农业大学食品科学与工程学院食品科学与工程专业，全日制本科。
202106-202306内乡牧原肉食品有限公司 车间班长
202306-至今内乡菊潭高级中学 生物教师</v>
      </c>
    </row>
    <row r="4299" spans="1:9">
      <c r="A4299" s="1" t="str">
        <f>"411327200104104526"</f>
        <v>411327200104104526</v>
      </c>
      <c r="B4299" s="1" t="str">
        <f t="shared" si="2123"/>
        <v>群众</v>
      </c>
      <c r="C4299" s="1" t="str">
        <f>"专科"</f>
        <v>专科</v>
      </c>
      <c r="D4299" s="1" t="str">
        <f>"20220701"</f>
        <v>20220701</v>
      </c>
      <c r="E4299" s="1" t="str">
        <f>"河南信息统计职业学院"</f>
        <v>河南信息统计职业学院</v>
      </c>
      <c r="F4299" s="1" t="str">
        <f>"会计"</f>
        <v>会计</v>
      </c>
      <c r="G4299" s="1" t="str">
        <f>"河南省南阳市内乡县赵店乡杜沟村"</f>
        <v>河南省南阳市内乡县赵店乡杜沟村</v>
      </c>
      <c r="H4299" s="1" t="str">
        <f>"初级会计证书"</f>
        <v>初级会计证书</v>
      </c>
      <c r="I4299" s="1" t="str">
        <f>"201909-202207 河南信息统计职业学院 就读
202208-202301 苏州维鲸电子有限公司 文员
202302-202407 河南聚硕农牧有限公司 出纳
202408-至今 南阳金粮面业有限公司 会计
"</f>
        <v>201909-202207 河南信息统计职业学院 就读
202208-202301 苏州维鲸电子有限公司 文员
202302-202407 河南聚硕农牧有限公司 出纳
202408-至今 南阳金粮面业有限公司 会计
</v>
      </c>
    </row>
    <row r="4300" spans="1:9">
      <c r="A4300" s="1" t="str">
        <f>"411327199811300029"</f>
        <v>411327199811300029</v>
      </c>
      <c r="B4300" s="1" t="str">
        <f t="shared" si="2123"/>
        <v>群众</v>
      </c>
      <c r="C4300" s="1" t="str">
        <f t="shared" si="2125"/>
        <v>本科</v>
      </c>
      <c r="D4300" s="1" t="str">
        <f>"20220701"</f>
        <v>20220701</v>
      </c>
      <c r="E4300" s="1" t="str">
        <f>"华北水利水电大学"</f>
        <v>华北水利水电大学</v>
      </c>
      <c r="F4300" s="1" t="str">
        <f>"能源与动力工程"</f>
        <v>能源与动力工程</v>
      </c>
      <c r="G4300" s="1" t="str">
        <f>"河南省内乡县城关镇清真寺村清真寺北路29号"</f>
        <v>河南省内乡县城关镇清真寺村清真寺北路29号</v>
      </c>
      <c r="H4300" s="1" t="str">
        <f t="shared" ref="H4300:H4303" si="2126">"无"</f>
        <v>无</v>
      </c>
      <c r="I4300" s="1" t="str">
        <f>"201609-201906  郑州电力高等专科学校火电厂集控运行专业就读，属于全日制大专
201906-202205    汝南和茂生物质热电有限公司工作
202003-202207    华北水利水电大学能源与动力工程专业就读，属于非全日制本科，已获得学士学位
202205-202306    在家待业备考
202306-202402     慧源教育机构担任辅导老师
202402-202507    菊潭学校工作"</f>
        <v>201609-201906  郑州电力高等专科学校火电厂集控运行专业就读，属于全日制大专
201906-202205    汝南和茂生物质热电有限公司工作
202003-202207    华北水利水电大学能源与动力工程专业就读，属于非全日制本科，已获得学士学位
202205-202306    在家待业备考
202306-202402     慧源教育机构担任辅导老师
202402-202507    菊潭学校工作</v>
      </c>
    </row>
    <row r="4301" spans="1:9">
      <c r="A4301" s="1" t="str">
        <f>"411303199212063526"</f>
        <v>411303199212063526</v>
      </c>
      <c r="B4301" s="1" t="str">
        <f t="shared" si="2123"/>
        <v>群众</v>
      </c>
      <c r="C4301" s="1" t="str">
        <f t="shared" si="2125"/>
        <v>本科</v>
      </c>
      <c r="D4301" s="1" t="str">
        <f>"20230701"</f>
        <v>20230701</v>
      </c>
      <c r="E4301" s="1" t="str">
        <f>"河南财经政法大学"</f>
        <v>河南财经政法大学</v>
      </c>
      <c r="F4301" s="1" t="str">
        <f>"工商管理"</f>
        <v>工商管理</v>
      </c>
      <c r="G4301" s="1" t="str">
        <f>"河南省南阳市卧龙区大屯社区"</f>
        <v>河南省南阳市卧龙区大屯社区</v>
      </c>
      <c r="H4301" s="1" t="str">
        <f>"初级会计证"</f>
        <v>初级会计证</v>
      </c>
      <c r="I4301" s="1" t="str">
        <f>"201803-202007 河南财经政法大学 会计 大专 非全日制
202103-202307 河南财经政法大学 会计 本科 非全日制"</f>
        <v>201803-202007 河南财经政法大学 会计 大专 非全日制
202103-202307 河南财经政法大学 会计 本科 非全日制</v>
      </c>
    </row>
    <row r="4302" spans="1:9">
      <c r="A4302" s="1" t="str">
        <f>"411123200001287511"</f>
        <v>411123200001287511</v>
      </c>
      <c r="B4302" s="1" t="str">
        <f t="shared" si="2123"/>
        <v>群众</v>
      </c>
      <c r="C4302" s="1" t="str">
        <f t="shared" si="2125"/>
        <v>本科</v>
      </c>
      <c r="D4302" s="1" t="str">
        <f>"20250701"</f>
        <v>20250701</v>
      </c>
      <c r="E4302" s="1" t="str">
        <f>"中原工学院"</f>
        <v>中原工学院</v>
      </c>
      <c r="F4302" s="1" t="str">
        <f>"工商管理"</f>
        <v>工商管理</v>
      </c>
      <c r="G4302" s="1" t="str">
        <f>"河南省漯河市郾城区富华棕榈城"</f>
        <v>河南省漯河市郾城区富华棕榈城</v>
      </c>
      <c r="H4302" s="1" t="str">
        <f t="shared" si="2126"/>
        <v>无</v>
      </c>
      <c r="I4302" s="1" t="str">
        <f>"201709-202007 河南农业职业学院 行政管理 全日制学历
202304-202507 中原工学院 工商管理 非全日制学历"</f>
        <v>201709-202007 河南农业职业学院 行政管理 全日制学历
202304-202507 中原工学院 工商管理 非全日制学历</v>
      </c>
    </row>
    <row r="4303" spans="1:9">
      <c r="A4303" s="1" t="str">
        <f>"411425200011081057"</f>
        <v>411425200011081057</v>
      </c>
      <c r="B4303" s="1" t="str">
        <f t="shared" si="2123"/>
        <v>群众</v>
      </c>
      <c r="C4303" s="1" t="str">
        <f t="shared" si="2125"/>
        <v>本科</v>
      </c>
      <c r="D4303" s="1" t="str">
        <f>"20230630"</f>
        <v>20230630</v>
      </c>
      <c r="E4303" s="1" t="str">
        <f>"兰州工业学院"</f>
        <v>兰州工业学院</v>
      </c>
      <c r="F4303" s="1" t="str">
        <f>"经济与金融"</f>
        <v>经济与金融</v>
      </c>
      <c r="G4303" s="1" t="str">
        <f>"河南省商丘市虞城县嵩山大道珠江豪庭"</f>
        <v>河南省商丘市虞城县嵩山大道珠江豪庭</v>
      </c>
      <c r="H4303" s="1" t="str">
        <f t="shared" si="2126"/>
        <v>无</v>
      </c>
      <c r="I4303" s="1" t="str">
        <f>"2019.08-2023.06  兰州工业学院 经济管理学院经济与金融专业就读 全日制
2023.06-至今 未就业"</f>
        <v>2019.08-2023.06  兰州工业学院 经济管理学院经济与金融专业就读 全日制
2023.06-至今 未就业</v>
      </c>
    </row>
    <row r="4304" spans="1:9">
      <c r="A4304" s="1" t="str">
        <f>"411327199309200022"</f>
        <v>411327199309200022</v>
      </c>
      <c r="B4304" s="1" t="str">
        <f t="shared" si="2123"/>
        <v>群众</v>
      </c>
      <c r="C4304" s="1" t="str">
        <f t="shared" si="2125"/>
        <v>本科</v>
      </c>
      <c r="D4304" s="1" t="str">
        <f>"20200720"</f>
        <v>20200720</v>
      </c>
      <c r="E4304" s="1" t="str">
        <f>"国家开放大学"</f>
        <v>国家开放大学</v>
      </c>
      <c r="F4304" s="1" t="str">
        <f>"法学"</f>
        <v>法学</v>
      </c>
      <c r="G4304" s="1" t="str">
        <f>"内乡县湍东镇唐城小区"</f>
        <v>内乡县湍东镇唐城小区</v>
      </c>
      <c r="H4304" s="1" t="str">
        <f>"初级会计资格证书  二级建造师市政公用工程职业资格证书"</f>
        <v>初级会计资格证书  二级建造师市政公用工程职业资格证书</v>
      </c>
      <c r="I4304" s="1" t="str">
        <f>"2012年中国邮政储蓄银行理财客户经理
2019年会计专业资格初级证书，1.熟悉企业日常财务核算、出纳、税务工作的审核;
2.管理公司资质、工商年检、报税，规避财务风险;
3.公司重要文件以及部分重要合同管理:财务制度及流程，熟悉金蝶航天各类财务软件办公软件，
4.另负责公司法务及仲裁事项
2023年取得二级建造师市政专业执业资格证书
2025年参加二级建造师水利水电工程增项"</f>
        <v>2012年中国邮政储蓄银行理财客户经理
2019年会计专业资格初级证书，1.熟悉企业日常财务核算、出纳、税务工作的审核;
2.管理公司资质、工商年检、报税，规避财务风险;
3.公司重要文件以及部分重要合同管理:财务制度及流程，熟悉金蝶航天各类财务软件办公软件，
4.另负责公司法务及仲裁事项
2023年取得二级建造师市政专业执业资格证书
2025年参加二级建造师水利水电工程增项</v>
      </c>
    </row>
    <row r="4305" spans="1:9">
      <c r="A4305" s="1" t="str">
        <f>"411526199712171326"</f>
        <v>411526199712171326</v>
      </c>
      <c r="B4305" s="1" t="str">
        <f>"中共党员"</f>
        <v>中共党员</v>
      </c>
      <c r="C4305" s="1" t="str">
        <f>"硕士研究生"</f>
        <v>硕士研究生</v>
      </c>
      <c r="D4305" s="1" t="str">
        <f>"20220623"</f>
        <v>20220623</v>
      </c>
      <c r="E4305" s="1" t="str">
        <f>"中南财经政法大学"</f>
        <v>中南财经政法大学</v>
      </c>
      <c r="F4305" s="1" t="str">
        <f>"教育经济与管理"</f>
        <v>教育经济与管理</v>
      </c>
      <c r="G4305" s="1" t="str">
        <f>"河南省信阳市潢川县付店镇"</f>
        <v>河南省信阳市潢川县付店镇</v>
      </c>
      <c r="H4305" s="1" t="str">
        <f t="shared" ref="H4305:H4314" si="2127">"无"</f>
        <v>无</v>
      </c>
      <c r="I4305" s="1" t="str">
        <f>"201509-201906 郑州航空工业管理学院 文法学院 公共事业与管理 全日制 本科
201909-202206 中南财经政法大学 公共管理学院 教育经济与管理 全日制 硕士研究生
202207-202408 招商银行无锡分行 综合柜员
202409-至今 待业"</f>
        <v>201509-201906 郑州航空工业管理学院 文法学院 公共事业与管理 全日制 本科
201909-202206 中南财经政法大学 公共管理学院 教育经济与管理 全日制 硕士研究生
202207-202408 招商银行无锡分行 综合柜员
202409-至今 待业</v>
      </c>
    </row>
    <row r="4306" spans="1:9">
      <c r="A4306" s="1" t="str">
        <f>"411323200202144526"</f>
        <v>411323200202144526</v>
      </c>
      <c r="B4306" s="1" t="str">
        <f>"共青团员"</f>
        <v>共青团员</v>
      </c>
      <c r="C4306" s="1" t="str">
        <f>"本科"</f>
        <v>本科</v>
      </c>
      <c r="D4306" s="1" t="str">
        <f>"20240701"</f>
        <v>20240701</v>
      </c>
      <c r="E4306" s="1" t="str">
        <f>"许昌学院"</f>
        <v>许昌学院</v>
      </c>
      <c r="F4306" s="1" t="str">
        <f>"经济学"</f>
        <v>经济学</v>
      </c>
      <c r="G4306" s="1" t="str">
        <f>"河南省南阳市西峡县米坪镇"</f>
        <v>河南省南阳市西峡县米坪镇</v>
      </c>
      <c r="H4306" s="1" t="str">
        <f t="shared" si="2127"/>
        <v>无</v>
      </c>
      <c r="I4306" s="1" t="str">
        <f>"202009-202407许昌学院商学院经济学专业就读，是全日制学历"</f>
        <v>202009-202407许昌学院商学院经济学专业就读，是全日制学历</v>
      </c>
    </row>
    <row r="4307" spans="1:9">
      <c r="A4307" s="1" t="str">
        <f>"411303200003170056"</f>
        <v>411303200003170056</v>
      </c>
      <c r="B4307" s="1" t="str">
        <f t="shared" ref="B4307:B4310" si="2128">"群众"</f>
        <v>群众</v>
      </c>
      <c r="C4307" s="1" t="str">
        <f>"硕士研究生"</f>
        <v>硕士研究生</v>
      </c>
      <c r="D4307" s="1" t="str">
        <f>"20250709"</f>
        <v>20250709</v>
      </c>
      <c r="E4307" s="1" t="str">
        <f>"俄罗斯国立体育大学"</f>
        <v>俄罗斯国立体育大学</v>
      </c>
      <c r="F4307" s="1" t="str">
        <f>"社会学"</f>
        <v>社会学</v>
      </c>
      <c r="G4307" s="1" t="str">
        <f>"河南省南阳市宛城区兴宛教师公寓"</f>
        <v>河南省南阳市宛城区兴宛教师公寓</v>
      </c>
      <c r="H4307" s="1" t="str">
        <f t="shared" si="2127"/>
        <v>无</v>
      </c>
      <c r="I4307" s="1" t="str">
        <f>"201508-201807南阳市一中就读全日制
201808-202207郑州大学体育学院全日制
202209-202507俄罗斯国立体育大学全日制"</f>
        <v>201508-201807南阳市一中就读全日制
201808-202207郑州大学体育学院全日制
202209-202507俄罗斯国立体育大学全日制</v>
      </c>
    </row>
    <row r="4308" spans="1:9">
      <c r="A4308" s="1" t="str">
        <f>"410211199106173012"</f>
        <v>410211199106173012</v>
      </c>
      <c r="B4308" s="1" t="str">
        <f t="shared" si="2128"/>
        <v>群众</v>
      </c>
      <c r="C4308" s="1" t="str">
        <f t="shared" ref="C4308:C4312" si="2129">"专科"</f>
        <v>专科</v>
      </c>
      <c r="D4308" s="1" t="str">
        <f>"20150701"</f>
        <v>20150701</v>
      </c>
      <c r="E4308" s="1" t="str">
        <f>"黄河水利职业技术学院"</f>
        <v>黄河水利职业技术学院</v>
      </c>
      <c r="F4308" s="1" t="str">
        <f>"水利水电建筑工程"</f>
        <v>水利水电建筑工程</v>
      </c>
      <c r="G4308" s="1" t="str">
        <f>"河南省开封市龙亭区北郊乡晋开四季城"</f>
        <v>河南省开封市龙亭区北郊乡晋开四季城</v>
      </c>
      <c r="H4308" s="1" t="str">
        <f t="shared" si="2127"/>
        <v>无</v>
      </c>
      <c r="I4308" s="1" t="str">
        <f>"201209-201506黄河水利职业技术学院水利水电建筑工程专业就读，是全日制学历。
201507-202002开封市通达公路工程有限公司上班。
202003-202403河南星际建设工程有限公司上班。
202404-至今西安建工集团(成都)第三建设工程有限公司上班。
"</f>
        <v>201209-201506黄河水利职业技术学院水利水电建筑工程专业就读，是全日制学历。
201507-202002开封市通达公路工程有限公司上班。
202003-202403河南星际建设工程有限公司上班。
202404-至今西安建工集团(成都)第三建设工程有限公司上班。
</v>
      </c>
    </row>
    <row r="4309" spans="1:9">
      <c r="A4309" s="1" t="str">
        <f>"411327200003090620"</f>
        <v>411327200003090620</v>
      </c>
      <c r="B4309" s="1" t="str">
        <f t="shared" si="2128"/>
        <v>群众</v>
      </c>
      <c r="C4309" s="1" t="str">
        <f t="shared" ref="C4309:C4315" si="2130">"本科"</f>
        <v>本科</v>
      </c>
      <c r="D4309" s="1" t="str">
        <f>"20230701"</f>
        <v>20230701</v>
      </c>
      <c r="E4309" s="1" t="str">
        <f>"许昌学院"</f>
        <v>许昌学院</v>
      </c>
      <c r="F4309" s="1" t="str">
        <f>"学前教育"</f>
        <v>学前教育</v>
      </c>
      <c r="G4309" s="1" t="str">
        <f>"河南省内乡县马山口镇车站街1129号"</f>
        <v>河南省内乡县马山口镇车站街1129号</v>
      </c>
      <c r="H4309" s="1" t="str">
        <f t="shared" si="2127"/>
        <v>无</v>
      </c>
      <c r="I4309" s="1" t="str">
        <f>"201909-202307 在许昌学院国际教育学院学前教育专业就读 全日制本科
202307-202404 在家待业
202404至今就业于内乡郦都小学"</f>
        <v>201909-202307 在许昌学院国际教育学院学前教育专业就读 全日制本科
202307-202404 在家待业
202404至今就业于内乡郦都小学</v>
      </c>
    </row>
    <row r="4310" spans="1:9">
      <c r="A4310" s="1" t="str">
        <f>"411327200408031127"</f>
        <v>411327200408031127</v>
      </c>
      <c r="B4310" s="1" t="str">
        <f t="shared" si="2128"/>
        <v>群众</v>
      </c>
      <c r="C4310" s="1" t="str">
        <f t="shared" si="2129"/>
        <v>专科</v>
      </c>
      <c r="D4310" s="1" t="str">
        <f>"20250701"</f>
        <v>20250701</v>
      </c>
      <c r="E4310" s="1" t="str">
        <f>"陕西服装工程学院"</f>
        <v>陕西服装工程学院</v>
      </c>
      <c r="F4310" s="1" t="str">
        <f>"小学教育（师范）"</f>
        <v>小学教育（师范）</v>
      </c>
      <c r="G4310" s="1" t="str">
        <f>"河南省内乡县建业森林半岛11号楼2单元602"</f>
        <v>河南省内乡县建业森林半岛11号楼2单元602</v>
      </c>
      <c r="H4310" s="1" t="str">
        <f t="shared" si="2127"/>
        <v>无</v>
      </c>
      <c r="I4310" s="1" t="str">
        <f>"202209-202507 陕西服装工程学院教育学院小学教育（师范）专业就读，是全日制学历"</f>
        <v>202209-202507 陕西服装工程学院教育学院小学教育（师范）专业就读，是全日制学历</v>
      </c>
    </row>
    <row r="4311" spans="1:9">
      <c r="A4311" s="1" t="str">
        <f>"411327200309090367"</f>
        <v>411327200309090367</v>
      </c>
      <c r="B4311" s="1" t="str">
        <f t="shared" ref="B4311:B4316" si="2131">"共青团员"</f>
        <v>共青团员</v>
      </c>
      <c r="C4311" s="1" t="str">
        <f t="shared" si="2129"/>
        <v>专科</v>
      </c>
      <c r="D4311" s="1" t="str">
        <f>"20250613"</f>
        <v>20250613</v>
      </c>
      <c r="E4311" s="1" t="str">
        <f>"河南医学高等专科学校"</f>
        <v>河南医学高等专科学校</v>
      </c>
      <c r="F4311" s="1" t="str">
        <f>"医学影像技术"</f>
        <v>医学影像技术</v>
      </c>
      <c r="G4311" s="1" t="str">
        <f>"河南省南阳市内乡县湍东镇永和清华园"</f>
        <v>河南省南阳市内乡县湍东镇永和清华园</v>
      </c>
      <c r="H4311" s="1" t="str">
        <f t="shared" si="2127"/>
        <v>无</v>
      </c>
      <c r="I4311" s="1" t="str">
        <f>"202209-202506河南医学高等专科学校医学技术学院医学影像技术就读是全日制学历"</f>
        <v>202209-202506河南医学高等专科学校医学技术学院医学影像技术就读是全日制学历</v>
      </c>
    </row>
    <row r="4312" spans="1:9">
      <c r="A4312" s="1" t="str">
        <f>"411324200303304222"</f>
        <v>411324200303304222</v>
      </c>
      <c r="B4312" s="1" t="str">
        <f t="shared" si="2131"/>
        <v>共青团员</v>
      </c>
      <c r="C4312" s="1" t="str">
        <f t="shared" si="2129"/>
        <v>专科</v>
      </c>
      <c r="D4312" s="1" t="str">
        <f>"20240628"</f>
        <v>20240628</v>
      </c>
      <c r="E4312" s="1" t="str">
        <f>"漯河职业技术学院"</f>
        <v>漯河职业技术学院</v>
      </c>
      <c r="F4312" s="1" t="str">
        <f>"小学教育"</f>
        <v>小学教育</v>
      </c>
      <c r="G4312" s="1" t="str">
        <f>"河南省南阳市镇平县张林镇赵营村"</f>
        <v>河南省南阳市镇平县张林镇赵营村</v>
      </c>
      <c r="H4312" s="1" t="str">
        <f t="shared" si="2127"/>
        <v>无</v>
      </c>
      <c r="I4312" s="1" t="str">
        <f>"2021.09.01---2024.06.28漯河职业技术学院 应用外语与国际教育系 小学教育 全日制
"</f>
        <v>2021.09.01---2024.06.28漯河职业技术学院 应用外语与国际教育系 小学教育 全日制
</v>
      </c>
    </row>
    <row r="4313" spans="1:9">
      <c r="A4313" s="1" t="str">
        <f>"411327199604280045"</f>
        <v>411327199604280045</v>
      </c>
      <c r="B4313" s="1" t="str">
        <f>"中共党员"</f>
        <v>中共党员</v>
      </c>
      <c r="C4313" s="1" t="str">
        <f t="shared" si="2130"/>
        <v>本科</v>
      </c>
      <c r="D4313" s="1" t="str">
        <f>"20220701"</f>
        <v>20220701</v>
      </c>
      <c r="E4313" s="1" t="str">
        <f>"河南科技学院"</f>
        <v>河南科技学院</v>
      </c>
      <c r="F4313" s="1" t="str">
        <f>"汉语言文学"</f>
        <v>汉语言文学</v>
      </c>
      <c r="G4313" s="1" t="str">
        <f>"河南省南阳市内乡县维多利亚小区"</f>
        <v>河南省南阳市内乡县维多利亚小区</v>
      </c>
      <c r="H4313" s="1" t="str">
        <f t="shared" si="2127"/>
        <v>无</v>
      </c>
      <c r="I4313" s="1" t="str">
        <f>"201409-201707 河南工程学院 外语学院商务英语专业就读
202003-202207 河南科技学院 文法学院汉语言文学专业（函授）就读
201707-201803  待业
201803-至今 内乡县宛西公路工程有限公司就业
"</f>
        <v>201409-201707 河南工程学院 外语学院商务英语专业就读
202003-202207 河南科技学院 文法学院汉语言文学专业（函授）就读
201707-201803  待业
201803-至今 内乡县宛西公路工程有限公司就业
</v>
      </c>
    </row>
    <row r="4314" spans="1:9">
      <c r="A4314" s="1" t="str">
        <f>"341122200203044011"</f>
        <v>341122200203044011</v>
      </c>
      <c r="B4314" s="1" t="str">
        <f t="shared" ref="B4314:B4319" si="2132">"群众"</f>
        <v>群众</v>
      </c>
      <c r="C4314" s="1" t="str">
        <f t="shared" si="2130"/>
        <v>本科</v>
      </c>
      <c r="D4314" s="1" t="str">
        <f>"20250707"</f>
        <v>20250707</v>
      </c>
      <c r="E4314" s="1" t="str">
        <f>"河南医药大学"</f>
        <v>河南医药大学</v>
      </c>
      <c r="F4314" s="1" t="str">
        <f>"卫生检验与检疫"</f>
        <v>卫生检验与检疫</v>
      </c>
      <c r="G4314" s="1" t="str">
        <f>"河南省南阳市西峡县刘巷西城门南路"</f>
        <v>河南省南阳市西峡县刘巷西城门南路</v>
      </c>
      <c r="H4314" s="1" t="str">
        <f t="shared" si="2127"/>
        <v>无</v>
      </c>
      <c r="I4314" s="1" t="str">
        <f>"202109-202507在河南医药大学公共卫生学院卫生检验与检疫专业就读全日制本科"</f>
        <v>202109-202507在河南医药大学公共卫生学院卫生检验与检疫专业就读全日制本科</v>
      </c>
    </row>
    <row r="4315" spans="1:9">
      <c r="A4315" s="1" t="str">
        <f>"411330200010122529"</f>
        <v>411330200010122529</v>
      </c>
      <c r="B4315" s="1" t="str">
        <f t="shared" si="2131"/>
        <v>共青团员</v>
      </c>
      <c r="C4315" s="1" t="str">
        <f t="shared" si="2130"/>
        <v>本科</v>
      </c>
      <c r="D4315" s="1" t="str">
        <f>"20240607"</f>
        <v>20240607</v>
      </c>
      <c r="E4315" s="1" t="str">
        <f>"南阳师范学院"</f>
        <v>南阳师范学院</v>
      </c>
      <c r="F4315" s="1" t="str">
        <f>"物流管理"</f>
        <v>物流管理</v>
      </c>
      <c r="G4315" s="1" t="str">
        <f>"河南省南阳市西峡县五里桥镇"</f>
        <v>河南省南阳市西峡县五里桥镇</v>
      </c>
      <c r="H4315" s="1" t="str">
        <f>"物流师 中级"</f>
        <v>物流师 中级</v>
      </c>
      <c r="I4315" s="1" t="str">
        <f>"202009-202406 在南阳师范学院经济与管理学院物流管理专业就读  是全日制学历"</f>
        <v>202009-202406 在南阳师范学院经济与管理学院物流管理专业就读  是全日制学历</v>
      </c>
    </row>
    <row r="4316" spans="1:9">
      <c r="A4316" s="1" t="str">
        <f>"411323199810270010"</f>
        <v>411323199810270010</v>
      </c>
      <c r="B4316" s="1" t="str">
        <f t="shared" si="2131"/>
        <v>共青团员</v>
      </c>
      <c r="C4316" s="1" t="str">
        <f t="shared" ref="C4316:C4321" si="2133">"专科"</f>
        <v>专科</v>
      </c>
      <c r="D4316" s="1" t="str">
        <f>"20190701"</f>
        <v>20190701</v>
      </c>
      <c r="E4316" s="1" t="str">
        <f>"郑州电子信息职业技术学院"</f>
        <v>郑州电子信息职业技术学院</v>
      </c>
      <c r="F4316" s="1" t="str">
        <f>"数控设备应用与维护"</f>
        <v>数控设备应用与维护</v>
      </c>
      <c r="G4316" s="1" t="str">
        <f>"河南省南阳市淅川县上集镇"</f>
        <v>河南省南阳市淅川县上集镇</v>
      </c>
      <c r="H4316" s="1" t="str">
        <f t="shared" ref="H4316:H4321" si="2134">"无"</f>
        <v>无</v>
      </c>
      <c r="I4316" s="1" t="str">
        <f>"2016年9月至2019年7月在郑州电子信息职业技术学院机电工程院系数控设备应用与维护专业就读，是全日制学历。2025年3月至今在南阳师范学院人工智能院系计算机科学与技术专业就读，非全日制学历"</f>
        <v>2016年9月至2019年7月在郑州电子信息职业技术学院机电工程院系数控设备应用与维护专业就读，是全日制学历。2025年3月至今在南阳师范学院人工智能院系计算机科学与技术专业就读，非全日制学历</v>
      </c>
    </row>
    <row r="4317" spans="1:9">
      <c r="A4317" s="1" t="str">
        <f>"420116199111060096"</f>
        <v>420116199111060096</v>
      </c>
      <c r="B4317" s="1" t="str">
        <f t="shared" si="2132"/>
        <v>群众</v>
      </c>
      <c r="C4317" s="1" t="str">
        <f t="shared" si="2133"/>
        <v>专科</v>
      </c>
      <c r="D4317" s="1" t="str">
        <f>"20211230"</f>
        <v>20211230</v>
      </c>
      <c r="E4317" s="1" t="str">
        <f>"荆州理工职业学院"</f>
        <v>荆州理工职业学院</v>
      </c>
      <c r="F4317" s="1" t="str">
        <f>"酒店管理"</f>
        <v>酒店管理</v>
      </c>
      <c r="G4317" s="1" t="str">
        <f>"湖北省武汉市洪山区和平街道金鹤园小区31"</f>
        <v>湖北省武汉市洪山区和平街道金鹤园小区31</v>
      </c>
      <c r="H4317" s="1" t="str">
        <f t="shared" si="2134"/>
        <v>无</v>
      </c>
      <c r="I4317" s="1" t="str">
        <f>"200809-201107  武重学校  就读  201108-201103  比亚迪股份有限公司  员工
201204-201808  兴鑫机电修理厂  修理员   201809-202112  荆州理工职业学院酒店管理大专   学习   202201-202407   楼兰（疆丫头）员工   202408-至今  武汉自由职业"</f>
        <v>200809-201107  武重学校  就读  201108-201103  比亚迪股份有限公司  员工
201204-201808  兴鑫机电修理厂  修理员   201809-202112  荆州理工职业学院酒店管理大专   学习   202201-202407   楼兰（疆丫头）员工   202408-至今  武汉自由职业</v>
      </c>
    </row>
    <row r="4318" spans="1:9">
      <c r="A4318" s="1" t="str">
        <f>"411326199604063650"</f>
        <v>411326199604063650</v>
      </c>
      <c r="B4318" s="1" t="str">
        <f t="shared" si="2132"/>
        <v>群众</v>
      </c>
      <c r="C4318" s="1" t="str">
        <f t="shared" ref="C4318:C4320" si="2135">"本科"</f>
        <v>本科</v>
      </c>
      <c r="D4318" s="1" t="str">
        <f>"20190701"</f>
        <v>20190701</v>
      </c>
      <c r="E4318" s="1" t="str">
        <f>"平顶山学院"</f>
        <v>平顶山学院</v>
      </c>
      <c r="F4318" s="1" t="str">
        <f>"会计学"</f>
        <v>会计学</v>
      </c>
      <c r="G4318" s="1" t="str">
        <f>"河南省南阳市南召县"</f>
        <v>河南省南阳市南召县</v>
      </c>
      <c r="H4318" s="1" t="str">
        <f>"初级会计师证"</f>
        <v>初级会计师证</v>
      </c>
      <c r="I4318" s="1" t="str">
        <f>"201509-201907 平顶山学院经济管理学院会计学专业就读 全日制本科学历。
201907-202203 南阳大友教育咨询有限公司数学教师。
202203-202312 黄石超颖电子电路股份有限公司初级技术师。
202312-202506 温州丰美海鲜储备店长。
202506-至今       南阳市南召县南河店镇韩店村小北组待业。"</f>
        <v>201509-201907 平顶山学院经济管理学院会计学专业就读 全日制本科学历。
201907-202203 南阳大友教育咨询有限公司数学教师。
202203-202312 黄石超颖电子电路股份有限公司初级技术师。
202312-202506 温州丰美海鲜储备店长。
202506-至今       南阳市南召县南河店镇韩店村小北组待业。</v>
      </c>
    </row>
    <row r="4319" spans="1:9">
      <c r="A4319" s="1" t="str">
        <f>"411324199803050032"</f>
        <v>411324199803050032</v>
      </c>
      <c r="B4319" s="1" t="str">
        <f t="shared" si="2132"/>
        <v>群众</v>
      </c>
      <c r="C4319" s="1" t="str">
        <f t="shared" si="2135"/>
        <v>本科</v>
      </c>
      <c r="D4319" s="1" t="str">
        <f>"2022.7.1"</f>
        <v>2022.7.1</v>
      </c>
      <c r="E4319" s="1" t="str">
        <f>"商丘师范学院"</f>
        <v>商丘师范学院</v>
      </c>
      <c r="F4319" s="1" t="str">
        <f>"绘画"</f>
        <v>绘画</v>
      </c>
      <c r="G4319" s="1" t="str">
        <f>"石佛寺镇老毕庄"</f>
        <v>石佛寺镇老毕庄</v>
      </c>
      <c r="H4319" s="1" t="str">
        <f t="shared" si="2134"/>
        <v>无</v>
      </c>
      <c r="I4319" s="1" t="str">
        <f>"201809-202207商丘师范学院 就读
202207-2025镇平县 待业"</f>
        <v>201809-202207商丘师范学院 就读
202207-2025镇平县 待业</v>
      </c>
    </row>
    <row r="4320" spans="1:9">
      <c r="A4320" s="1" t="str">
        <f>"411327199702061110"</f>
        <v>411327199702061110</v>
      </c>
      <c r="B4320" s="1" t="str">
        <f>"中共预备党员"</f>
        <v>中共预备党员</v>
      </c>
      <c r="C4320" s="1" t="str">
        <f t="shared" si="2135"/>
        <v>本科</v>
      </c>
      <c r="D4320" s="1" t="str">
        <f>"20200618"</f>
        <v>20200618</v>
      </c>
      <c r="E4320" s="1" t="str">
        <f>"天津大学仁爱学院"</f>
        <v>天津大学仁爱学院</v>
      </c>
      <c r="F4320" s="1" t="str">
        <f>"通信工程"</f>
        <v>通信工程</v>
      </c>
      <c r="G4320" s="1" t="str">
        <f>"河南省南阳市内乡县赤眉镇新新娘婚纱婚庆"</f>
        <v>河南省南阳市内乡县赤眉镇新新娘婚纱婚庆</v>
      </c>
      <c r="H4320" s="1" t="str">
        <f t="shared" si="2134"/>
        <v>无</v>
      </c>
      <c r="I4320" s="1" t="str">
        <f>"201609-202006天津大学仁爱学院就读
202006-202302在博和利统计大数据集团（天津）有限公司就业
202302-202507在南阳待业"</f>
        <v>201609-202006天津大学仁爱学院就读
202006-202302在博和利统计大数据集团（天津）有限公司就业
202302-202507在南阳待业</v>
      </c>
    </row>
    <row r="4321" spans="1:9">
      <c r="A4321" s="1" t="str">
        <f>"411327199501270012"</f>
        <v>411327199501270012</v>
      </c>
      <c r="B4321" s="1" t="str">
        <f t="shared" ref="B4321:B4324" si="2136">"群众"</f>
        <v>群众</v>
      </c>
      <c r="C4321" s="1" t="str">
        <f t="shared" si="2133"/>
        <v>专科</v>
      </c>
      <c r="D4321" s="1" t="str">
        <f>"20200110"</f>
        <v>20200110</v>
      </c>
      <c r="E4321" s="1" t="str">
        <f>"西北工业大学"</f>
        <v>西北工业大学</v>
      </c>
      <c r="F4321" s="1" t="str">
        <f>"计算机应用技术"</f>
        <v>计算机应用技术</v>
      </c>
      <c r="G4321" s="1" t="str">
        <f>"内乡县城关镇北园村"</f>
        <v>内乡县城关镇北园村</v>
      </c>
      <c r="H4321" s="1" t="str">
        <f t="shared" si="2134"/>
        <v>无</v>
      </c>
      <c r="I4321" s="1" t="str">
        <f>"2009至2012年在河南省农业广播电视学校就读，2013年至今在内乡县公安局从事辅警工作，期间2017年至2020年通过网络教育学习取得西北工业大学专科学历。"</f>
        <v>2009至2012年在河南省农业广播电视学校就读，2013年至今在内乡县公安局从事辅警工作，期间2017年至2020年通过网络教育学习取得西北工业大学专科学历。</v>
      </c>
    </row>
    <row r="4322" spans="1:9">
      <c r="A4322" s="1" t="str">
        <f>"411502200303240014"</f>
        <v>411502200303240014</v>
      </c>
      <c r="B4322" s="1" t="str">
        <f t="shared" ref="B4322:B4326" si="2137">"共青团员"</f>
        <v>共青团员</v>
      </c>
      <c r="C4322" s="1" t="str">
        <f>"本科"</f>
        <v>本科</v>
      </c>
      <c r="D4322" s="1" t="str">
        <f>"20250607"</f>
        <v>20250607</v>
      </c>
      <c r="E4322" s="1" t="str">
        <f>"中原科技学院"</f>
        <v>中原科技学院</v>
      </c>
      <c r="F4322" s="1" t="str">
        <f>"音乐学"</f>
        <v>音乐学</v>
      </c>
      <c r="G4322" s="1" t="str">
        <f>"信阳市浉河区中华胡同瑞丰园5号楼1单元602"</f>
        <v>信阳市浉河区中华胡同瑞丰园5号楼1单元602</v>
      </c>
      <c r="H4322" s="1" t="str">
        <f>"初级中学教师资格证"</f>
        <v>初级中学教师资格证</v>
      </c>
      <c r="I4322" s="1" t="str">
        <f>"202109-202506 在中原科技学院音乐与舞蹈学院音乐学专业就读，全日制学历"</f>
        <v>202109-202506 在中原科技学院音乐与舞蹈学院音乐学专业就读，全日制学历</v>
      </c>
    </row>
    <row r="4323" spans="1:9">
      <c r="A4323" s="1" t="str">
        <f>"411327199704191111"</f>
        <v>411327199704191111</v>
      </c>
      <c r="B4323" s="1" t="str">
        <f t="shared" si="2136"/>
        <v>群众</v>
      </c>
      <c r="C4323" s="1" t="str">
        <f t="shared" ref="C4323:C4327" si="2138">"专科"</f>
        <v>专科</v>
      </c>
      <c r="D4323" s="1" t="str">
        <f>"20180701"</f>
        <v>20180701</v>
      </c>
      <c r="E4323" s="1" t="str">
        <f>"河南理工大学万方科技学院"</f>
        <v>河南理工大学万方科技学院</v>
      </c>
      <c r="F4323" s="1" t="str">
        <f>"建筑工程技术"</f>
        <v>建筑工程技术</v>
      </c>
      <c r="G4323" s="1" t="str">
        <f>"河南省内乡县赤眉镇"</f>
        <v>河南省内乡县赤眉镇</v>
      </c>
      <c r="H4323" s="1" t="str">
        <f t="shared" ref="H4323:H4329" si="2139">"无"</f>
        <v>无</v>
      </c>
      <c r="I4323" s="1" t="str">
        <f>"201509-201807 河南理工大学万方科技学院  建筑工程技术就读 全日制
201807-202101 河南春晖集团
202101-至今      北京翔宇宏呈劳务有限公司"</f>
        <v>201509-201807 河南理工大学万方科技学院  建筑工程技术就读 全日制
201807-202101 河南春晖集团
202101-至今      北京翔宇宏呈劳务有限公司</v>
      </c>
    </row>
    <row r="4324" ht="121.5" spans="1:9">
      <c r="A4324" s="1" t="str">
        <f>"411303199404220012"</f>
        <v>411303199404220012</v>
      </c>
      <c r="B4324" s="1" t="str">
        <f t="shared" si="2136"/>
        <v>群众</v>
      </c>
      <c r="C4324" s="1" t="str">
        <f>"硕士研究生"</f>
        <v>硕士研究生</v>
      </c>
      <c r="D4324" s="1" t="str">
        <f>"2020-07-03"</f>
        <v>2020-07-03</v>
      </c>
      <c r="E4324" s="1" t="str">
        <f>"西安工程大学"</f>
        <v>西安工程大学</v>
      </c>
      <c r="F4324" s="1" t="str">
        <f>"供热、供燃气、通风及空调工程"</f>
        <v>供热、供燃气、通风及空调工程</v>
      </c>
      <c r="G4324" s="1" t="str">
        <f>"河南省郑州市管城回族区德风街20号华储佳苑2号楼1003"</f>
        <v>河南省郑州市管城回族区德风街20号华储佳苑2号楼1003</v>
      </c>
      <c r="H4324" s="1" t="str">
        <f t="shared" si="2139"/>
        <v>无</v>
      </c>
      <c r="I4324" s="3" t="s">
        <v>277</v>
      </c>
    </row>
    <row r="4325" spans="1:9">
      <c r="A4325" s="1" t="str">
        <f>"411325200209212037"</f>
        <v>411325200209212037</v>
      </c>
      <c r="B4325" s="1" t="str">
        <f t="shared" si="2137"/>
        <v>共青团员</v>
      </c>
      <c r="C4325" s="1" t="str">
        <f t="shared" si="2138"/>
        <v>专科</v>
      </c>
      <c r="D4325" s="1" t="str">
        <f>"20240610"</f>
        <v>20240610</v>
      </c>
      <c r="E4325" s="1" t="str">
        <f>"南阳医学高等专科学校"</f>
        <v>南阳医学高等专科学校</v>
      </c>
      <c r="F4325" s="1" t="str">
        <f>"医学影像技术"</f>
        <v>医学影像技术</v>
      </c>
      <c r="G4325" s="1" t="str">
        <f>"河南省内乡县师岗镇师岗村"</f>
        <v>河南省内乡县师岗镇师岗村</v>
      </c>
      <c r="H4325" s="1" t="str">
        <f t="shared" si="2139"/>
        <v>无</v>
      </c>
      <c r="I4325" s="1" t="str">
        <f>"20210901-20240610南阳医学高等专科学校国际教育学院医学影像技术专业就读全日制学历"</f>
        <v>20210901-20240610南阳医学高等专科学校国际教育学院医学影像技术专业就读全日制学历</v>
      </c>
    </row>
    <row r="4326" ht="121.5" spans="1:9">
      <c r="A4326" s="1" t="str">
        <f>"411324199402210015"</f>
        <v>411324199402210015</v>
      </c>
      <c r="B4326" s="1" t="str">
        <f t="shared" si="2137"/>
        <v>共青团员</v>
      </c>
      <c r="C4326" s="1" t="str">
        <f t="shared" ref="C4326:C4329" si="2140">"本科"</f>
        <v>本科</v>
      </c>
      <c r="D4326" s="1" t="str">
        <f>"20190701"</f>
        <v>20190701</v>
      </c>
      <c r="E4326" s="1" t="str">
        <f>"信阳学院"</f>
        <v>信阳学院</v>
      </c>
      <c r="F4326" s="1" t="str">
        <f>"美术学"</f>
        <v>美术学</v>
      </c>
      <c r="G4326" s="1" t="str">
        <f>"河南省南阳市镇平县工业路法制广场"</f>
        <v>河南省南阳市镇平县工业路法制广场</v>
      </c>
      <c r="H4326" s="1" t="str">
        <f t="shared" si="2139"/>
        <v>无</v>
      </c>
      <c r="I4326" s="3" t="s">
        <v>278</v>
      </c>
    </row>
    <row r="4327" spans="1:9">
      <c r="A4327" s="1" t="str">
        <f>"411327199409250027"</f>
        <v>411327199409250027</v>
      </c>
      <c r="B4327" s="1" t="str">
        <f t="shared" ref="B4327:B4332" si="2141">"群众"</f>
        <v>群众</v>
      </c>
      <c r="C4327" s="1" t="str">
        <f t="shared" si="2138"/>
        <v>专科</v>
      </c>
      <c r="D4327" s="1" t="str">
        <f>"20150701"</f>
        <v>20150701</v>
      </c>
      <c r="E4327" s="1" t="str">
        <f>"郑州财经学院"</f>
        <v>郑州财经学院</v>
      </c>
      <c r="F4327" s="1" t="str">
        <f>"艺术设计（平面设计方向）"</f>
        <v>艺术设计（平面设计方向）</v>
      </c>
      <c r="G4327" s="1" t="str">
        <f>"内乡县林场小区"</f>
        <v>内乡县林场小区</v>
      </c>
      <c r="H4327" s="1" t="str">
        <f t="shared" si="2139"/>
        <v>无</v>
      </c>
      <c r="I4327" s="1" t="str">
        <f>"201309-201507郑州财经学院 艺术设计专业就读 是全日制学历
201509-至今 在菊潭学校任教"</f>
        <v>201309-201507郑州财经学院 艺术设计专业就读 是全日制学历
201509-至今 在菊潭学校任教</v>
      </c>
    </row>
    <row r="4328" spans="1:9">
      <c r="A4328" s="1" t="str">
        <f>"411302200307300183"</f>
        <v>411302200307300183</v>
      </c>
      <c r="B4328" s="1" t="str">
        <f>"共青团员"</f>
        <v>共青团员</v>
      </c>
      <c r="C4328" s="1" t="str">
        <f t="shared" si="2140"/>
        <v>本科</v>
      </c>
      <c r="D4328" s="1" t="str">
        <f>"2025.06.17"</f>
        <v>2025.06.17</v>
      </c>
      <c r="E4328" s="1" t="str">
        <f>"商丘学院"</f>
        <v>商丘学院</v>
      </c>
      <c r="F4328" s="1" t="str">
        <f>"汉语言文学(师范）"</f>
        <v>汉语言文学(师范）</v>
      </c>
      <c r="G4328" s="1" t="str">
        <f>"河南省南阳市宛城区金桥水岸"</f>
        <v>河南省南阳市宛城区金桥水岸</v>
      </c>
      <c r="H4328" s="1" t="str">
        <f t="shared" si="2139"/>
        <v>无</v>
      </c>
      <c r="I4328" s="1" t="str">
        <f>"202109—202506商丘学院汉语言文学(师范)就读，全日制学历。"</f>
        <v>202109—202506商丘学院汉语言文学(师范)就读，全日制学历。</v>
      </c>
    </row>
    <row r="4329" spans="1:9">
      <c r="A4329" s="1" t="str">
        <f>"411324200112222427"</f>
        <v>411324200112222427</v>
      </c>
      <c r="B4329" s="1" t="str">
        <f>"中共党员"</f>
        <v>中共党员</v>
      </c>
      <c r="C4329" s="1" t="str">
        <f t="shared" si="2140"/>
        <v>本科</v>
      </c>
      <c r="D4329" s="1" t="str">
        <f>"20230607"</f>
        <v>20230607</v>
      </c>
      <c r="E4329" s="1" t="str">
        <f>"河南师范大学"</f>
        <v>河南师范大学</v>
      </c>
      <c r="F4329" s="1" t="str">
        <f>"旅游管理"</f>
        <v>旅游管理</v>
      </c>
      <c r="G4329" s="1" t="str">
        <f>"河南省南阳市镇平县御景华城小区"</f>
        <v>河南省南阳市镇平县御景华城小区</v>
      </c>
      <c r="H4329" s="1" t="str">
        <f t="shared" si="2139"/>
        <v>无</v>
      </c>
      <c r="I4329" s="1" t="str">
        <f>"201909-202306河南师范大学 旅游学院 旅游管理专业 就读
202306-202507开封清明上河园景区 工作"</f>
        <v>201909-202306河南师范大学 旅游学院 旅游管理专业 就读
202306-202507开封清明上河园景区 工作</v>
      </c>
    </row>
    <row r="4330" spans="1:9">
      <c r="A4330" s="1" t="str">
        <f>"411328200408111334"</f>
        <v>411328200408111334</v>
      </c>
      <c r="B4330" s="1" t="str">
        <f t="shared" si="2141"/>
        <v>群众</v>
      </c>
      <c r="C4330" s="1" t="str">
        <f t="shared" ref="C4330:C4335" si="2142">"专科"</f>
        <v>专科</v>
      </c>
      <c r="D4330" s="1" t="str">
        <f>"2025-06-15"</f>
        <v>2025-06-15</v>
      </c>
      <c r="E4330" s="1" t="str">
        <f>"南阳农业职业学院"</f>
        <v>南阳农业职业学院</v>
      </c>
      <c r="F4330" s="1" t="str">
        <f>"汽车制造与试验技术"</f>
        <v>汽车制造与试验技术</v>
      </c>
      <c r="G4330" s="1" t="str">
        <f>"河南省南阳市新野县歪子镇歪子村大常营15组"</f>
        <v>河南省南阳市新野县歪子镇歪子村大常营15组</v>
      </c>
      <c r="H4330" s="1" t="str">
        <f>"鉴定估价师  汽车维修检验工"</f>
        <v>鉴定估价师  汽车维修检验工</v>
      </c>
      <c r="I4330" s="1" t="str">
        <f>"2020年9月1日-2025年6月15日 在南阳农业职业学院  汽车工程学院  汽车制造与试验技术  是全日制学历"</f>
        <v>2020年9月1日-2025年6月15日 在南阳农业职业学院  汽车工程学院  汽车制造与试验技术  是全日制学历</v>
      </c>
    </row>
    <row r="4331" spans="1:9">
      <c r="A4331" s="1" t="str">
        <f>"411327200307294921"</f>
        <v>411327200307294921</v>
      </c>
      <c r="B4331" s="1" t="str">
        <f t="shared" si="2141"/>
        <v>群众</v>
      </c>
      <c r="C4331" s="1" t="str">
        <f t="shared" ref="C4331:C4334" si="2143">"本科"</f>
        <v>本科</v>
      </c>
      <c r="D4331" s="1" t="str">
        <f>"20250620"</f>
        <v>20250620</v>
      </c>
      <c r="E4331" s="1" t="str">
        <f>"安阳工学院"</f>
        <v>安阳工学院</v>
      </c>
      <c r="F4331" s="1" t="str">
        <f>"财务管理"</f>
        <v>财务管理</v>
      </c>
      <c r="G4331" s="1" t="str">
        <f>"河南省南阳市内乡县灌涨街"</f>
        <v>河南省南阳市内乡县灌涨街</v>
      </c>
      <c r="H4331" s="1" t="str">
        <f>"初级会计证"</f>
        <v>初级会计证</v>
      </c>
      <c r="I4331" s="1" t="str">
        <f>"202109-202506安阳工学院会计学院财务管理专业就读，全日制本科学历"</f>
        <v>202109-202506安阳工学院会计学院财务管理专业就读，全日制本科学历</v>
      </c>
    </row>
    <row r="4332" spans="1:9">
      <c r="A4332" s="1" t="str">
        <f>"411327199404030025"</f>
        <v>411327199404030025</v>
      </c>
      <c r="B4332" s="1" t="str">
        <f t="shared" si="2141"/>
        <v>群众</v>
      </c>
      <c r="C4332" s="1" t="str">
        <f t="shared" si="2143"/>
        <v>本科</v>
      </c>
      <c r="D4332" s="1" t="str">
        <f>"20170615"</f>
        <v>20170615</v>
      </c>
      <c r="E4332" s="1" t="str">
        <f>"河北师范大学汇华学院"</f>
        <v>河北师范大学汇华学院</v>
      </c>
      <c r="F4332" s="1" t="str">
        <f>"生物科学"</f>
        <v>生物科学</v>
      </c>
      <c r="G4332" s="1" t="str">
        <f>"河南省内乡县南园村"</f>
        <v>河南省内乡县南园村</v>
      </c>
      <c r="H4332" s="1" t="str">
        <f>"中小学二级教师"</f>
        <v>中小学二级教师</v>
      </c>
      <c r="I4332" s="1" t="str">
        <f>"201309-201706 河北师范大学汇华学院生物科学专业就读全日制；201707-201803 待业；
201804-201808 内乡县商务局公益岗；
201809-202309 唐河县大河屯镇第一初级中学任职教师；
202309-至今 内乡县赤眉镇第一初级中学任职教师。"</f>
        <v>201309-201706 河北师范大学汇华学院生物科学专业就读全日制；201707-201803 待业；
201804-201808 内乡县商务局公益岗；
201809-202309 唐河县大河屯镇第一初级中学任职教师；
202309-至今 内乡县赤眉镇第一初级中学任职教师。</v>
      </c>
    </row>
    <row r="4333" spans="1:9">
      <c r="A4333" s="1" t="str">
        <f>"130724200201281713"</f>
        <v>130724200201281713</v>
      </c>
      <c r="B4333" s="1" t="str">
        <f t="shared" ref="B4333:B4338" si="2144">"共青团员"</f>
        <v>共青团员</v>
      </c>
      <c r="C4333" s="1" t="str">
        <f t="shared" si="2142"/>
        <v>专科</v>
      </c>
      <c r="D4333" s="1" t="str">
        <f>"2023-07-01"</f>
        <v>2023-07-01</v>
      </c>
      <c r="E4333" s="1" t="str">
        <f>"河南水利与环境职业学院"</f>
        <v>河南水利与环境职业学院</v>
      </c>
      <c r="F4333" s="1" t="str">
        <f>"机电一体化技术"</f>
        <v>机电一体化技术</v>
      </c>
      <c r="G4333" s="1" t="str">
        <f>"南阳市内乡县"</f>
        <v>南阳市内乡县</v>
      </c>
      <c r="H4333" s="1" t="str">
        <f t="shared" ref="H4333:H4340" si="2145">"无"</f>
        <v>无</v>
      </c>
      <c r="I4333" s="1" t="str">
        <f>"201909-202307在河南水利与环境职业学院机电工程系机电一体化技术专业就读是全日制学历"</f>
        <v>201909-202307在河南水利与环境职业学院机电工程系机电一体化技术专业就读是全日制学历</v>
      </c>
    </row>
    <row r="4334" spans="1:9">
      <c r="A4334" s="1" t="str">
        <f>"411324200112301424"</f>
        <v>411324200112301424</v>
      </c>
      <c r="B4334" s="1" t="str">
        <f>"中共党员"</f>
        <v>中共党员</v>
      </c>
      <c r="C4334" s="1" t="str">
        <f t="shared" si="2143"/>
        <v>本科</v>
      </c>
      <c r="D4334" s="1" t="str">
        <f>"20240701"</f>
        <v>20240701</v>
      </c>
      <c r="E4334" s="1" t="str">
        <f>"商丘工学院"</f>
        <v>商丘工学院</v>
      </c>
      <c r="F4334" s="1" t="str">
        <f>"市场营销"</f>
        <v>市场营销</v>
      </c>
      <c r="G4334" s="1" t="str">
        <f>"河南省南阳市镇平县五里岗"</f>
        <v>河南省南阳市镇平县五里岗</v>
      </c>
      <c r="H4334" s="1" t="str">
        <f t="shared" si="2145"/>
        <v>无</v>
      </c>
      <c r="I4334" s="1" t="str">
        <f>"202009-202407商丘工学院学校市场营销专业就读，全日制学历。"</f>
        <v>202009-202407商丘工学院学校市场营销专业就读，全日制学历。</v>
      </c>
    </row>
    <row r="4335" spans="1:9">
      <c r="A4335" s="1" t="str">
        <f>"410324199809282810"</f>
        <v>410324199809282810</v>
      </c>
      <c r="B4335" s="1" t="str">
        <f t="shared" si="2144"/>
        <v>共青团员</v>
      </c>
      <c r="C4335" s="1" t="str">
        <f t="shared" si="2142"/>
        <v>专科</v>
      </c>
      <c r="D4335" s="1" t="str">
        <f>"20200701"</f>
        <v>20200701</v>
      </c>
      <c r="E4335" s="1" t="str">
        <f>"河南工业大学中英国际学院"</f>
        <v>河南工业大学中英国际学院</v>
      </c>
      <c r="F4335" s="1" t="str">
        <f>"艺术设计"</f>
        <v>艺术设计</v>
      </c>
      <c r="G4335" s="1" t="str">
        <f>"河南省洛阳市栾川县锦绣家园"</f>
        <v>河南省洛阳市栾川县锦绣家园</v>
      </c>
      <c r="H4335" s="1" t="str">
        <f t="shared" si="2145"/>
        <v>无</v>
      </c>
      <c r="I4335" s="1" t="str">
        <f>"201709-202007河南工业大学中英国际学院艺术设计专业就读，全日制专科。
202007-202203在栾川待业。
202203-202407河南工业大学工程管理专业，非全日制本科。
202407-202507在栾川待业。"</f>
        <v>201709-202007河南工业大学中英国际学院艺术设计专业就读，全日制专科。
202007-202203在栾川待业。
202203-202407河南工业大学工程管理专业，非全日制本科。
202407-202507在栾川待业。</v>
      </c>
    </row>
    <row r="4336" spans="1:9">
      <c r="A4336" s="1" t="str">
        <f>"411330199910231557"</f>
        <v>411330199910231557</v>
      </c>
      <c r="B4336" s="1" t="str">
        <f t="shared" ref="B4336:B4339" si="2146">"群众"</f>
        <v>群众</v>
      </c>
      <c r="C4336" s="1" t="str">
        <f t="shared" ref="C4336:C4339" si="2147">"本科"</f>
        <v>本科</v>
      </c>
      <c r="D4336" s="1" t="str">
        <f>"20230701"</f>
        <v>20230701</v>
      </c>
      <c r="E4336" s="1" t="str">
        <f>"黄河交通学院"</f>
        <v>黄河交通学院</v>
      </c>
      <c r="F4336" s="1" t="str">
        <f>"财务管理"</f>
        <v>财务管理</v>
      </c>
      <c r="G4336" s="1" t="str">
        <f>"河南省南阳市西峡县北二环新兴路152-5"</f>
        <v>河南省南阳市西峡县北二环新兴路152-5</v>
      </c>
      <c r="H4336" s="1" t="str">
        <f t="shared" si="2145"/>
        <v>无</v>
      </c>
      <c r="I4336" s="1" t="str">
        <f>"2018.9-2021.6 河南财政金融学院  韦伯国际学院中美会计专业 全日制专科
2021.9-2023.6 黄河交通学院   经济管理学院财务管理专业        全日制本科
2023.6-2025.3西峡县总工会实习
2025.3-至今   南阳职业学院任职"</f>
        <v>2018.9-2021.6 河南财政金融学院  韦伯国际学院中美会计专业 全日制专科
2021.9-2023.6 黄河交通学院   经济管理学院财务管理专业        全日制本科
2023.6-2025.3西峡县总工会实习
2025.3-至今   南阳职业学院任职</v>
      </c>
    </row>
    <row r="4337" spans="1:9">
      <c r="A4337" s="1" t="str">
        <f>"412822199708062719"</f>
        <v>412822199708062719</v>
      </c>
      <c r="B4337" s="1" t="str">
        <f t="shared" si="2146"/>
        <v>群众</v>
      </c>
      <c r="C4337" s="1" t="str">
        <f>"专科"</f>
        <v>专科</v>
      </c>
      <c r="D4337" s="1" t="str">
        <f>"20160701"</f>
        <v>20160701</v>
      </c>
      <c r="E4337" s="1" t="str">
        <f>"焦作师范高等专科学校"</f>
        <v>焦作师范高等专科学校</v>
      </c>
      <c r="F4337" s="1" t="str">
        <f>"综合文科教育"</f>
        <v>综合文科教育</v>
      </c>
      <c r="G4337" s="1" t="str">
        <f>"河南省驻马店市泌阳县羊册镇羊东"</f>
        <v>河南省驻马店市泌阳县羊册镇羊东</v>
      </c>
      <c r="H4337" s="1" t="str">
        <f t="shared" si="2145"/>
        <v>无</v>
      </c>
      <c r="I4337" s="1" t="str">
        <f>"201309-201607 焦作师范高等专科学校综合文科教育专业就读   全日制学历
201609-至今在羊册镇任教"</f>
        <v>201309-201607 焦作师范高等专科学校综合文科教育专业就读   全日制学历
201609-至今在羊册镇任教</v>
      </c>
    </row>
    <row r="4338" spans="1:9">
      <c r="A4338" s="1" t="str">
        <f>"411722200512149125"</f>
        <v>411722200512149125</v>
      </c>
      <c r="B4338" s="1" t="str">
        <f t="shared" si="2144"/>
        <v>共青团员</v>
      </c>
      <c r="C4338" s="1" t="str">
        <f t="shared" si="2147"/>
        <v>本科</v>
      </c>
      <c r="D4338" s="1" t="str">
        <f t="shared" ref="D4338:D4343" si="2148">"20250701"</f>
        <v>20250701</v>
      </c>
      <c r="E4338" s="1" t="str">
        <f>"南阳师范学院"</f>
        <v>南阳师范学院</v>
      </c>
      <c r="F4338" s="1" t="str">
        <f>"金融工程"</f>
        <v>金融工程</v>
      </c>
      <c r="G4338" s="1" t="str">
        <f>"河南省上蔡县锦绣新村"</f>
        <v>河南省上蔡县锦绣新村</v>
      </c>
      <c r="H4338" s="1" t="str">
        <f t="shared" si="2145"/>
        <v>无</v>
      </c>
      <c r="I4338" s="1" t="str">
        <f>"202109-202507 南阳师范学院 经济与管理学院 金融工程专业就读，全日制本科"</f>
        <v>202109-202507 南阳师范学院 经济与管理学院 金融工程专业就读，全日制本科</v>
      </c>
    </row>
    <row r="4339" spans="1:9">
      <c r="A4339" s="1" t="str">
        <f>"411327199804060063"</f>
        <v>411327199804060063</v>
      </c>
      <c r="B4339" s="1" t="str">
        <f t="shared" si="2146"/>
        <v>群众</v>
      </c>
      <c r="C4339" s="1" t="str">
        <f t="shared" si="2147"/>
        <v>本科</v>
      </c>
      <c r="D4339" s="1" t="str">
        <f>"20200607"</f>
        <v>20200607</v>
      </c>
      <c r="E4339" s="1" t="str">
        <f>"郑州工商学院"</f>
        <v>郑州工商学院</v>
      </c>
      <c r="F4339" s="1" t="str">
        <f>"舞蹈表演（体育舞蹈）"</f>
        <v>舞蹈表演（体育舞蹈）</v>
      </c>
      <c r="G4339" s="1" t="str">
        <f>"河南省内乡县黄金花园3号楼1单元3楼东"</f>
        <v>河南省内乡县黄金花园3号楼1单元3楼东</v>
      </c>
      <c r="H4339" s="1" t="str">
        <f t="shared" si="2145"/>
        <v>无</v>
      </c>
      <c r="I4339" s="1" t="str">
        <f>"201609-202006 郑州工商学院就读 全日制本科学历"</f>
        <v>201609-202006 郑州工商学院就读 全日制本科学历</v>
      </c>
    </row>
    <row r="4340" spans="1:9">
      <c r="A4340" s="1" t="str">
        <f>"411325200310295535"</f>
        <v>411325200310295535</v>
      </c>
      <c r="B4340" s="1" t="str">
        <f>"共青团员"</f>
        <v>共青团员</v>
      </c>
      <c r="C4340" s="1" t="str">
        <f t="shared" ref="C4340:C4345" si="2149">"专科"</f>
        <v>专科</v>
      </c>
      <c r="D4340" s="1" t="str">
        <f>"2024.6.16"</f>
        <v>2024.6.16</v>
      </c>
      <c r="E4340" s="1" t="str">
        <f>"周口文理职业学院"</f>
        <v>周口文理职业学院</v>
      </c>
      <c r="F4340" s="1" t="str">
        <f>"计算机应用技术"</f>
        <v>计算机应用技术</v>
      </c>
      <c r="G4340" s="1" t="str">
        <f>"河南省南阳市唐河县黑龙镇黄泥沟粮油店"</f>
        <v>河南省南阳市唐河县黑龙镇黄泥沟粮油店</v>
      </c>
      <c r="H4340" s="1" t="str">
        <f t="shared" si="2145"/>
        <v>无</v>
      </c>
      <c r="I4340" s="1" t="str">
        <f>"202110-202406周口文理职业学院就读是全日制学历"</f>
        <v>202110-202406周口文理职业学院就读是全日制学历</v>
      </c>
    </row>
    <row r="4341" spans="1:9">
      <c r="A4341" s="1" t="str">
        <f>"411330200101144811"</f>
        <v>411330200101144811</v>
      </c>
      <c r="B4341" s="1" t="str">
        <f>"共青团员"</f>
        <v>共青团员</v>
      </c>
      <c r="C4341" s="1" t="str">
        <f t="shared" ref="C4341:C4347" si="2150">"本科"</f>
        <v>本科</v>
      </c>
      <c r="D4341" s="1" t="str">
        <f t="shared" si="2148"/>
        <v>20250701</v>
      </c>
      <c r="E4341" s="1" t="str">
        <f>"黄河交通学院"</f>
        <v>黄河交通学院</v>
      </c>
      <c r="F4341" s="1" t="str">
        <f>"计算机科学与技术"</f>
        <v>计算机科学与技术</v>
      </c>
      <c r="G4341" s="1" t="str">
        <f>"河南省南阳市西峡县军马河镇鱼库村"</f>
        <v>河南省南阳市西峡县军马河镇鱼库村</v>
      </c>
      <c r="H4341" s="1" t="str">
        <f>"信息通信网络运行管理员   三级/高级工"</f>
        <v>信息通信网络运行管理员   三级/高级工</v>
      </c>
      <c r="I4341" s="1" t="str">
        <f>"201909-202006  黄河交通学院智能工程学院计算机科学与技术专业    全日制学历      就读
202009-202209   武警第一机动总队        服役
202209-202507  黄河交通学院智能工程学院计算机科学与技术专业 
全日制学历     就读"</f>
        <v>201909-202006  黄河交通学院智能工程学院计算机科学与技术专业    全日制学历      就读
202009-202209   武警第一机动总队        服役
202209-202507  黄河交通学院智能工程学院计算机科学与技术专业 
全日制学历     就读</v>
      </c>
    </row>
    <row r="4342" spans="1:9">
      <c r="A4342" s="1" t="str">
        <f>"411327199905010014"</f>
        <v>411327199905010014</v>
      </c>
      <c r="B4342" s="1" t="str">
        <f t="shared" ref="B4342:B4346" si="2151">"群众"</f>
        <v>群众</v>
      </c>
      <c r="C4342" s="1" t="str">
        <f t="shared" si="2150"/>
        <v>本科</v>
      </c>
      <c r="D4342" s="1" t="str">
        <f>"20210701"</f>
        <v>20210701</v>
      </c>
      <c r="E4342" s="1" t="str">
        <f>"安阳学院"</f>
        <v>安阳学院</v>
      </c>
      <c r="F4342" s="1" t="str">
        <f>"机械电子工程"</f>
        <v>机械电子工程</v>
      </c>
      <c r="G4342" s="1" t="str">
        <f>"内乡县赤眉镇赤眉村杨洼组"</f>
        <v>内乡县赤眉镇赤眉村杨洼组</v>
      </c>
      <c r="H4342" s="1" t="str">
        <f t="shared" ref="H4342:H4347" si="2152">"无"</f>
        <v>无</v>
      </c>
      <c r="I4342" s="1" t="str">
        <f>"201709-202107安院学院航空工程学院机械电子工程就读，全日制学历
202109-至今内乡郦都学校任教"</f>
        <v>201709-202107安院学院航空工程学院机械电子工程就读，全日制学历
202109-至今内乡郦都学校任教</v>
      </c>
    </row>
    <row r="4343" spans="1:9">
      <c r="A4343" s="1" t="str">
        <f>"411330200311251519"</f>
        <v>411330200311251519</v>
      </c>
      <c r="B4343" s="1" t="str">
        <f>"中共预备党员"</f>
        <v>中共预备党员</v>
      </c>
      <c r="C4343" s="1" t="str">
        <f t="shared" si="2149"/>
        <v>专科</v>
      </c>
      <c r="D4343" s="1" t="str">
        <f t="shared" si="2148"/>
        <v>20250701</v>
      </c>
      <c r="E4343" s="1" t="str">
        <f>"河南工业职业技术学院"</f>
        <v>河南工业职业技术学院</v>
      </c>
      <c r="F4343" s="1" t="str">
        <f>"电子信息工程技术"</f>
        <v>电子信息工程技术</v>
      </c>
      <c r="G4343" s="1" t="str">
        <f>"河南省南阳市西峡县莲花街道幸福巷58号"</f>
        <v>河南省南阳市西峡县莲花街道幸福巷58号</v>
      </c>
      <c r="H4343" s="1" t="str">
        <f>"计算机及外部设备装备调试员三级"</f>
        <v>计算机及外部设备装备调试员三级</v>
      </c>
      <c r="I4343" s="1" t="str">
        <f>"202209-202507 河南工业职业技术学院 就读"</f>
        <v>202209-202507 河南工业职业技术学院 就读</v>
      </c>
    </row>
    <row r="4344" spans="1:9">
      <c r="A4344" s="1" t="str">
        <f>"411381199901104863"</f>
        <v>411381199901104863</v>
      </c>
      <c r="B4344" s="1" t="str">
        <f t="shared" si="2151"/>
        <v>群众</v>
      </c>
      <c r="C4344" s="1" t="str">
        <f t="shared" si="2149"/>
        <v>专科</v>
      </c>
      <c r="D4344" s="1" t="str">
        <f>"2020-07-01"</f>
        <v>2020-07-01</v>
      </c>
      <c r="E4344" s="1" t="str">
        <f>"三门峡职业技术学院"</f>
        <v>三门峡职业技术学院</v>
      </c>
      <c r="F4344" s="1" t="str">
        <f>"旅游管理（高铁乘务）"</f>
        <v>旅游管理（高铁乘务）</v>
      </c>
      <c r="G4344" s="1" t="str">
        <f>"河南省邓州市南一环丰泽苑1号楼二单元16楼1601"</f>
        <v>河南省邓州市南一环丰泽苑1号楼二单元16楼1601</v>
      </c>
      <c r="H4344" s="1" t="str">
        <f t="shared" si="2152"/>
        <v>无</v>
      </c>
      <c r="I4344" s="1" t="str">
        <f>"2017.09-2020.07 三门峡职业技术学院
2020.10-2022.08 待业
2022.09-至今   河南金马国际经济技术合作有限公司"</f>
        <v>2017.09-2020.07 三门峡职业技术学院
2020.10-2022.08 待业
2022.09-至今   河南金马国际经济技术合作有限公司</v>
      </c>
    </row>
    <row r="4345" spans="1:9">
      <c r="A4345" s="1" t="str">
        <f>"41132119960217032X"</f>
        <v>41132119960217032X</v>
      </c>
      <c r="B4345" s="1" t="str">
        <f t="shared" si="2151"/>
        <v>群众</v>
      </c>
      <c r="C4345" s="1" t="str">
        <f t="shared" si="2149"/>
        <v>专科</v>
      </c>
      <c r="D4345" s="1" t="str">
        <f>"2018.07"</f>
        <v>2018.07</v>
      </c>
      <c r="E4345" s="1" t="str">
        <f>"河南林业职业学院"</f>
        <v>河南林业职业学院</v>
      </c>
      <c r="F4345" s="1" t="str">
        <f>"计算机网络技术  "</f>
        <v>计算机网络技术  </v>
      </c>
      <c r="G4345" s="1" t="str">
        <f>"河南省南阳市桐柏县"</f>
        <v>河南省南阳市桐柏县</v>
      </c>
      <c r="H4345" s="1" t="str">
        <f t="shared" si="2152"/>
        <v>无</v>
      </c>
      <c r="I4345" s="1" t="str">
        <f>"2012年9月-2015年7月	桐柏一高
2015年9月-2018年7月	河南林业职业学院
2018.6-2019.01    洛阳科技中专    p s老师
2019.01-2019.07   桐柏盘古学校    初一数学老师
2023.02-2024.12       荆紫关第一中心小学   一年级数学老师
2025.01-至今  待业"</f>
        <v>2012年9月-2015年7月	桐柏一高
2015年9月-2018年7月	河南林业职业学院
2018.6-2019.01    洛阳科技中专    p s老师
2019.01-2019.07   桐柏盘古学校    初一数学老师
2023.02-2024.12       荆紫关第一中心小学   一年级数学老师
2025.01-至今  待业</v>
      </c>
    </row>
    <row r="4346" spans="1:9">
      <c r="A4346" s="1" t="str">
        <f>"411327199406160034"</f>
        <v>411327199406160034</v>
      </c>
      <c r="B4346" s="1" t="str">
        <f t="shared" si="2151"/>
        <v>群众</v>
      </c>
      <c r="C4346" s="1" t="str">
        <f t="shared" si="2150"/>
        <v>本科</v>
      </c>
      <c r="D4346" s="1" t="str">
        <f>"2022-07-01"</f>
        <v>2022-07-01</v>
      </c>
      <c r="E4346" s="1" t="str">
        <f>"南阳理工学院"</f>
        <v>南阳理工学院</v>
      </c>
      <c r="F4346" s="1" t="str">
        <f>"土木工程 "</f>
        <v>土木工程 </v>
      </c>
      <c r="G4346" s="1" t="str">
        <f>"内乡县城关镇清心路二巷一号"</f>
        <v>内乡县城关镇清心路二巷一号</v>
      </c>
      <c r="H4346" s="1" t="str">
        <f t="shared" si="2152"/>
        <v>无</v>
      </c>
      <c r="I4346" s="1" t="str">
        <f>"2013年9月至2016年7月就读于南阳职业学院数控技术专业，是全日制学历；2017年至今就职于内乡县金光公路养护工程有限公司；2020年3月至2022年7月就读于南阳理工学院土木工程专业，是成人高等教育学历。"</f>
        <v>2013年9月至2016年7月就读于南阳职业学院数控技术专业，是全日制学历；2017年至今就职于内乡县金光公路养护工程有限公司；2020年3月至2022年7月就读于南阳理工学院土木工程专业，是成人高等教育学历。</v>
      </c>
    </row>
    <row r="4347" spans="1:9">
      <c r="A4347" s="1" t="str">
        <f>"411327200201172942"</f>
        <v>411327200201172942</v>
      </c>
      <c r="B4347" s="1" t="str">
        <f>"共青团员"</f>
        <v>共青团员</v>
      </c>
      <c r="C4347" s="1" t="str">
        <f t="shared" si="2150"/>
        <v>本科</v>
      </c>
      <c r="D4347" s="1" t="str">
        <f>"20240620"</f>
        <v>20240620</v>
      </c>
      <c r="E4347" s="1" t="str">
        <f>"郑州科技学院"</f>
        <v>郑州科技学院</v>
      </c>
      <c r="F4347" s="1" t="str">
        <f>"英语"</f>
        <v>英语</v>
      </c>
      <c r="G4347" s="1" t="str">
        <f>"河南省南阳市内乡县公园西里"</f>
        <v>河南省南阳市内乡县公园西里</v>
      </c>
      <c r="H4347" s="1" t="str">
        <f t="shared" si="2152"/>
        <v>无</v>
      </c>
      <c r="I4347" s="1" t="str">
        <f>"202009-202406郑州科技学院学校英语系英语专业就读，是 全日制"</f>
        <v>202009-202406郑州科技学院学校英语系英语专业就读，是 全日制</v>
      </c>
    </row>
    <row r="4348" spans="1:9">
      <c r="A4348" s="1" t="str">
        <f>"411327199704130626"</f>
        <v>411327199704130626</v>
      </c>
      <c r="B4348" s="1" t="str">
        <f t="shared" ref="B4348:B4352" si="2153">"群众"</f>
        <v>群众</v>
      </c>
      <c r="C4348" s="1" t="str">
        <f t="shared" ref="C4348:C4353" si="2154">"专科"</f>
        <v>专科</v>
      </c>
      <c r="D4348" s="1" t="str">
        <f>"20180601"</f>
        <v>20180601</v>
      </c>
      <c r="E4348" s="1" t="str">
        <f>"河南工业职业技术学院"</f>
        <v>河南工业职业技术学院</v>
      </c>
      <c r="F4348" s="1" t="str">
        <f>"会计电算化"</f>
        <v>会计电算化</v>
      </c>
      <c r="G4348" s="1" t="str">
        <f>"河南省南阳市内乡县民政局对面小巷"</f>
        <v>河南省南阳市内乡县民政局对面小巷</v>
      </c>
      <c r="H4348" s="1" t="str">
        <f>"初级会计师证书"</f>
        <v>初级会计师证书</v>
      </c>
      <c r="I4348" s="1" t="str">
        <f>"201306—201806  河南工业职业技术学院就读，全日制学历
201807—202406  河南多大贵工艺品有限公司，就业
202407—202507  河南惜水机械设备有限公司，就业"</f>
        <v>201306—201806  河南工业职业技术学院就读，全日制学历
201807—202406  河南多大贵工艺品有限公司，就业
202407—202507  河南惜水机械设备有限公司，就业</v>
      </c>
    </row>
    <row r="4349" spans="1:9">
      <c r="A4349" s="1" t="str">
        <f>"411525200004094816"</f>
        <v>411525200004094816</v>
      </c>
      <c r="B4349" s="1" t="str">
        <f>"共青团员"</f>
        <v>共青团员</v>
      </c>
      <c r="C4349" s="1" t="str">
        <f t="shared" ref="C4349:C4352" si="2155">"本科"</f>
        <v>本科</v>
      </c>
      <c r="D4349" s="1" t="str">
        <f>"20240701"</f>
        <v>20240701</v>
      </c>
      <c r="E4349" s="1" t="str">
        <f>"河南工业大学"</f>
        <v>河南工业大学</v>
      </c>
      <c r="F4349" s="1" t="str">
        <f>"人工智能"</f>
        <v>人工智能</v>
      </c>
      <c r="G4349" s="1" t="str">
        <f>"河南省固始县段集镇"</f>
        <v>河南省固始县段集镇</v>
      </c>
      <c r="H4349" s="1" t="str">
        <f t="shared" ref="H4349:H4351" si="2156">"无"</f>
        <v>无</v>
      </c>
      <c r="I4349" s="1" t="str">
        <f>"201909-202207 郑州职业技术学院 软件工程系 虚拟现实应用技术 就读 全日制
202209-202407 河南工业大学 明德书院 人工智能 就读 全日制"</f>
        <v>201909-202207 郑州职业技术学院 软件工程系 虚拟现实应用技术 就读 全日制
202209-202407 河南工业大学 明德书院 人工智能 就读 全日制</v>
      </c>
    </row>
    <row r="4350" spans="1:9">
      <c r="A4350" s="1" t="str">
        <f>"411327199502264925"</f>
        <v>411327199502264925</v>
      </c>
      <c r="B4350" s="1" t="str">
        <f t="shared" si="2153"/>
        <v>群众</v>
      </c>
      <c r="C4350" s="1" t="str">
        <f t="shared" si="2154"/>
        <v>专科</v>
      </c>
      <c r="D4350" s="1" t="str">
        <f>"20170701"</f>
        <v>20170701</v>
      </c>
      <c r="E4350" s="1" t="str">
        <f>"安阳幼儿师范高等专科学校"</f>
        <v>安阳幼儿师范高等专科学校</v>
      </c>
      <c r="F4350" s="1" t="str">
        <f>"学前教育"</f>
        <v>学前教育</v>
      </c>
      <c r="G4350" s="1" t="str">
        <f>"河南省南阳市信臣西路龙悦城"</f>
        <v>河南省南阳市信臣西路龙悦城</v>
      </c>
      <c r="H4350" s="1" t="str">
        <f t="shared" si="2156"/>
        <v>无</v>
      </c>
      <c r="I4350" s="1" t="str">
        <f>"201409-201707就读于安阳幼儿师范高等专科学校学前教育专业。
201709-201907就业于内乡菊潭学校小学部。
201909-202405就业于南阳建业小学。"</f>
        <v>201409-201707就读于安阳幼儿师范高等专科学校学前教育专业。
201709-201907就业于内乡菊潭学校小学部。
201909-202405就业于南阳建业小学。</v>
      </c>
    </row>
    <row r="4351" spans="1:9">
      <c r="A4351" s="1" t="str">
        <f>"411327199805163128"</f>
        <v>411327199805163128</v>
      </c>
      <c r="B4351" s="1" t="str">
        <f>"中共党员"</f>
        <v>中共党员</v>
      </c>
      <c r="C4351" s="1" t="str">
        <f t="shared" si="2155"/>
        <v>本科</v>
      </c>
      <c r="D4351" s="1" t="str">
        <f>"20210701"</f>
        <v>20210701</v>
      </c>
      <c r="E4351" s="1" t="str">
        <f>"河南师范大学"</f>
        <v>河南师范大学</v>
      </c>
      <c r="F4351" s="1" t="str">
        <f>"电子信息工程"</f>
        <v>电子信息工程</v>
      </c>
      <c r="G4351" s="1" t="str">
        <f>"河南省南阳市内乡县湍东镇"</f>
        <v>河南省南阳市内乡县湍东镇</v>
      </c>
      <c r="H4351" s="1" t="str">
        <f t="shared" si="2156"/>
        <v>无</v>
      </c>
      <c r="I4351" s="1" t="str">
        <f>"201709-202107 在河南师范大学电子与电气工程学院电子信息工程专业就读  全日制本科学历；202108-至今在内乡县菊潭高中任职"</f>
        <v>201709-202107 在河南师范大学电子与电气工程学院电子信息工程专业就读  全日制本科学历；202108-至今在内乡县菊潭高中任职</v>
      </c>
    </row>
    <row r="4352" ht="108" spans="1:9">
      <c r="A4352" s="1" t="str">
        <f>"411327199506063717"</f>
        <v>411327199506063717</v>
      </c>
      <c r="B4352" s="1" t="str">
        <f t="shared" si="2153"/>
        <v>群众</v>
      </c>
      <c r="C4352" s="1" t="str">
        <f t="shared" si="2155"/>
        <v>本科</v>
      </c>
      <c r="D4352" s="1" t="str">
        <f>"20170630"</f>
        <v>20170630</v>
      </c>
      <c r="E4352" s="1" t="str">
        <f>"广西科技大学"</f>
        <v>广西科技大学</v>
      </c>
      <c r="F4352" s="1" t="str">
        <f>"社会工作"</f>
        <v>社会工作</v>
      </c>
      <c r="G4352" s="1" t="str">
        <f>"河南省南阳市内乡县桃溪镇吴沟村"</f>
        <v>河南省南阳市内乡县桃溪镇吴沟村</v>
      </c>
      <c r="H4352" s="1" t="str">
        <f>"助理社会工作师"</f>
        <v>助理社会工作师</v>
      </c>
      <c r="I4352" s="3" t="s">
        <v>279</v>
      </c>
    </row>
    <row r="4353" spans="1:9">
      <c r="A4353" s="1" t="str">
        <f>"411381200008040815"</f>
        <v>411381200008040815</v>
      </c>
      <c r="B4353" s="1" t="str">
        <f t="shared" ref="B4353:B4358" si="2157">"共青团员"</f>
        <v>共青团员</v>
      </c>
      <c r="C4353" s="1" t="str">
        <f t="shared" si="2154"/>
        <v>专科</v>
      </c>
      <c r="D4353" s="1" t="str">
        <f>"2025120"</f>
        <v>2025120</v>
      </c>
      <c r="E4353" s="1" t="str">
        <f>"国家开放大学"</f>
        <v>国家开放大学</v>
      </c>
      <c r="F4353" s="1" t="str">
        <f>"工商企业管理"</f>
        <v>工商企业管理</v>
      </c>
      <c r="G4353" s="1" t="str">
        <f>"河南省邓州市舒心园蓝猫鞋店"</f>
        <v>河南省邓州市舒心园蓝猫鞋店</v>
      </c>
      <c r="H4353" s="1" t="str">
        <f t="shared" ref="H4353:H4356" si="2158">"无"</f>
        <v>无</v>
      </c>
      <c r="I4353" s="1" t="str">
        <f>"20190901-20240901在陆军防化第四旅服兵役
20220301-20250120 在国家开放大学工商企业管理专业就读，非全日制"</f>
        <v>20190901-20240901在陆军防化第四旅服兵役
20220301-20250120 在国家开放大学工商企业管理专业就读，非全日制</v>
      </c>
    </row>
    <row r="4354" spans="1:9">
      <c r="A4354" s="1" t="str">
        <f>"411324200002090558"</f>
        <v>411324200002090558</v>
      </c>
      <c r="B4354" s="1" t="str">
        <f>"群众"</f>
        <v>群众</v>
      </c>
      <c r="C4354" s="1" t="str">
        <f t="shared" ref="C4354:C4360" si="2159">"本科"</f>
        <v>本科</v>
      </c>
      <c r="D4354" s="1" t="str">
        <f>"20230701"</f>
        <v>20230701</v>
      </c>
      <c r="E4354" s="1" t="str">
        <f>"郑州商学院"</f>
        <v>郑州商学院</v>
      </c>
      <c r="F4354" s="1" t="str">
        <f>"会计学（管理会计方向）"</f>
        <v>会计学（管理会计方向）</v>
      </c>
      <c r="G4354" s="1" t="str">
        <f>"河南省南阳市镇平县"</f>
        <v>河南省南阳市镇平县</v>
      </c>
      <c r="H4354" s="1" t="str">
        <f t="shared" si="2158"/>
        <v>无</v>
      </c>
      <c r="I4354" s="1" t="str">
        <f>"20190901-20230701 郑州商学院 就读"</f>
        <v>20190901-20230701 郑州商学院 就读</v>
      </c>
    </row>
    <row r="4355" spans="1:9">
      <c r="A4355" s="1" t="str">
        <f>"411327199801191527"</f>
        <v>411327199801191527</v>
      </c>
      <c r="B4355" s="1" t="str">
        <f t="shared" si="2157"/>
        <v>共青团员</v>
      </c>
      <c r="C4355" s="1" t="str">
        <f>"专科"</f>
        <v>专科</v>
      </c>
      <c r="D4355" s="1" t="str">
        <f>"2021-07-01"</f>
        <v>2021-07-01</v>
      </c>
      <c r="E4355" s="1" t="str">
        <f>"南阳农业职业学院"</f>
        <v>南阳农业职业学院</v>
      </c>
      <c r="F4355" s="1" t="str">
        <f>"会计"</f>
        <v>会计</v>
      </c>
      <c r="G4355" s="1" t="str">
        <f>"河南省南阳市内乡县城关镇公园南路"</f>
        <v>河南省南阳市内乡县城关镇公园南路</v>
      </c>
      <c r="H4355" s="1" t="str">
        <f t="shared" si="2158"/>
        <v>无</v>
      </c>
      <c r="I4355" s="1" t="str">
        <f>"201809-202106，南阳农业职业学院就读，商学院会计专业就读，是全日制学历
2021年7月-至今，待业"</f>
        <v>201809-202106，南阳农业职业学院就读，商学院会计专业就读，是全日制学历
2021年7月-至今，待业</v>
      </c>
    </row>
    <row r="4356" spans="1:9">
      <c r="A4356" s="1" t="str">
        <f>"411381200202100316"</f>
        <v>411381200202100316</v>
      </c>
      <c r="B4356" s="1" t="str">
        <f t="shared" si="2157"/>
        <v>共青团员</v>
      </c>
      <c r="C4356" s="1" t="str">
        <f>"专科"</f>
        <v>专科</v>
      </c>
      <c r="D4356" s="1" t="str">
        <f>"20230701"</f>
        <v>20230701</v>
      </c>
      <c r="E4356" s="1" t="str">
        <f>"许昌电气职业学院"</f>
        <v>许昌电气职业学院</v>
      </c>
      <c r="F4356" s="1" t="str">
        <f>"移动互联应用技术"</f>
        <v>移动互联应用技术</v>
      </c>
      <c r="G4356" s="1" t="str">
        <f>"邓州市湍河派出所"</f>
        <v>邓州市湍河派出所</v>
      </c>
      <c r="H4356" s="1" t="str">
        <f t="shared" si="2158"/>
        <v>无</v>
      </c>
      <c r="I4356" s="1" t="str">
        <f>"202010-202303 许昌电气职业学院  电子信息系移动互联应用技术专业就读
202303-202503 部队服役"</f>
        <v>202010-202303 许昌电气职业学院  电子信息系移动互联应用技术专业就读
202303-202503 部队服役</v>
      </c>
    </row>
    <row r="4357" spans="1:9">
      <c r="A4357" s="1" t="str">
        <f>"411327200307233926"</f>
        <v>411327200307233926</v>
      </c>
      <c r="B4357" s="1" t="str">
        <f t="shared" si="2157"/>
        <v>共青团员</v>
      </c>
      <c r="C4357" s="1" t="str">
        <f t="shared" si="2159"/>
        <v>本科</v>
      </c>
      <c r="D4357" s="1" t="str">
        <f>"20250701"</f>
        <v>20250701</v>
      </c>
      <c r="E4357" s="1" t="str">
        <f>"河南工程学院"</f>
        <v>河南工程学院</v>
      </c>
      <c r="F4357" s="1" t="str">
        <f>"会计学"</f>
        <v>会计学</v>
      </c>
      <c r="G4357" s="1" t="str">
        <f>"河南省南阳市内乡县乍曲镇红庙村南郭洼"</f>
        <v>河南省南阳市内乡县乍曲镇红庙村南郭洼</v>
      </c>
      <c r="H4357" s="1" t="str">
        <f>"初级会计资格证"</f>
        <v>初级会计资格证</v>
      </c>
      <c r="I4357" s="1" t="str">
        <f>"202109-202506 河南工程学院会计学院会计学就读 全日制学历"</f>
        <v>202109-202506 河南工程学院会计学院会计学就读 全日制学历</v>
      </c>
    </row>
    <row r="4358" spans="1:9">
      <c r="A4358" s="1" t="str">
        <f>"500101200002128806"</f>
        <v>500101200002128806</v>
      </c>
      <c r="B4358" s="1" t="str">
        <f t="shared" si="2157"/>
        <v>共青团员</v>
      </c>
      <c r="C4358" s="1" t="str">
        <f t="shared" si="2159"/>
        <v>本科</v>
      </c>
      <c r="D4358" s="1" t="str">
        <f>"20220618"</f>
        <v>20220618</v>
      </c>
      <c r="E4358" s="1" t="str">
        <f>"重庆文理学院"</f>
        <v>重庆文理学院</v>
      </c>
      <c r="F4358" s="1" t="str">
        <f>"计算机科学与技术"</f>
        <v>计算机科学与技术</v>
      </c>
      <c r="G4358" s="1" t="str">
        <f>"重庆市万州区走马镇双流"</f>
        <v>重庆市万州区走马镇双流</v>
      </c>
      <c r="H4358" s="1" t="str">
        <f t="shared" ref="H4358:H4360" si="2160">"无"</f>
        <v>无</v>
      </c>
      <c r="I4358" s="1" t="str">
        <f>"201809-202206 重庆文理学院就读计算机科学与技术专业 全日制
202206至今 工作于金龙铜管铜管集团股份有限公司 信息中心管理员"</f>
        <v>201809-202206 重庆文理学院就读计算机科学与技术专业 全日制
202206至今 工作于金龙铜管铜管集团股份有限公司 信息中心管理员</v>
      </c>
    </row>
    <row r="4359" spans="1:9">
      <c r="A4359" s="1" t="str">
        <f>"410928199003143334"</f>
        <v>410928199003143334</v>
      </c>
      <c r="B4359" s="1" t="str">
        <f>"群众"</f>
        <v>群众</v>
      </c>
      <c r="C4359" s="1" t="str">
        <f t="shared" si="2159"/>
        <v>本科</v>
      </c>
      <c r="D4359" s="1" t="str">
        <f>"20130701"</f>
        <v>20130701</v>
      </c>
      <c r="E4359" s="1" t="str">
        <f>"洛阳师范学院"</f>
        <v>洛阳师范学院</v>
      </c>
      <c r="F4359" s="1" t="str">
        <f>"应用心理学"</f>
        <v>应用心理学</v>
      </c>
      <c r="G4359" s="1" t="str">
        <f>"河南省濮阳市华龙区金堤中路570号人行家属院3单元2楼西户"</f>
        <v>河南省濮阳市华龙区金堤中路570号人行家属院3单元2楼西户</v>
      </c>
      <c r="H4359" s="1" t="str">
        <f t="shared" si="2160"/>
        <v>无</v>
      </c>
      <c r="I4359" s="1" t="str">
        <f>"2005.9-2008.6 华龙区高级中学；
2008.9-2009.6 油田第三高级中学；
2009.9-2013.7 洛阳师范学院；
2013.10-2018.9 深圳趣课教育科技有限公司；
2019.1-至今 河南趣课教育科技有限公司。"</f>
        <v>2005.9-2008.6 华龙区高级中学；
2008.9-2009.6 油田第三高级中学；
2009.9-2013.7 洛阳师范学院；
2013.10-2018.9 深圳趣课教育科技有限公司；
2019.1-至今 河南趣课教育科技有限公司。</v>
      </c>
    </row>
    <row r="4360" spans="1:9">
      <c r="A4360" s="1" t="str">
        <f>"41132720010605151X"</f>
        <v>41132720010605151X</v>
      </c>
      <c r="B4360" s="1" t="str">
        <f t="shared" ref="B4360:B4364" si="2161">"共青团员"</f>
        <v>共青团员</v>
      </c>
      <c r="C4360" s="1" t="str">
        <f t="shared" si="2159"/>
        <v>本科</v>
      </c>
      <c r="D4360" s="1" t="str">
        <f>"20240701"</f>
        <v>20240701</v>
      </c>
      <c r="E4360" s="1" t="str">
        <f>"郑州财经学院"</f>
        <v>郑州财经学院</v>
      </c>
      <c r="F4360" s="1" t="str">
        <f>"数据科学与大数据技术"</f>
        <v>数据科学与大数据技术</v>
      </c>
      <c r="G4360" s="1" t="str">
        <f>"河南省南阳市内乡县湍东镇龙湖壹号"</f>
        <v>河南省南阳市内乡县湍东镇龙湖壹号</v>
      </c>
      <c r="H4360" s="1" t="str">
        <f t="shared" si="2160"/>
        <v>无</v>
      </c>
      <c r="I4360" s="1" t="str">
        <f>"202009-202407 郑州财经学院数据科学与大数据技术专业就读 ，全日制本科学历
202407-至今 待业"</f>
        <v>202009-202407 郑州财经学院数据科学与大数据技术专业就读 ，全日制本科学历
202407-至今 待业</v>
      </c>
    </row>
    <row r="4361" spans="1:9">
      <c r="A4361" s="1" t="str">
        <f>"411327199802074912"</f>
        <v>411327199802074912</v>
      </c>
      <c r="B4361" s="1" t="str">
        <f>"群众"</f>
        <v>群众</v>
      </c>
      <c r="C4361" s="1" t="str">
        <f>"硕士研究生"</f>
        <v>硕士研究生</v>
      </c>
      <c r="D4361" s="1" t="str">
        <f>"20230630"</f>
        <v>20230630</v>
      </c>
      <c r="E4361" s="1" t="str">
        <f>"青海大学"</f>
        <v>青海大学</v>
      </c>
      <c r="F4361" s="1" t="str">
        <f>"植物营养学"</f>
        <v>植物营养学</v>
      </c>
      <c r="G4361" s="1" t="str">
        <f>"河南省南阳市内乡县湍东镇菊韵花园"</f>
        <v>河南省南阳市内乡县湍东镇菊韵花园</v>
      </c>
      <c r="H4361" s="1" t="str">
        <f>"农作物植保员"</f>
        <v>农作物植保员</v>
      </c>
      <c r="I4361" s="1" t="str">
        <f>"201609-202006河南科技学院资源与环境学院农业资源与环境专业就读
202009-202306青海大学农牧学院植物营养学就读全日制学历"</f>
        <v>201609-202006河南科技学院资源与环境学院农业资源与环境专业就读
202009-202306青海大学农牧学院植物营养学就读全日制学历</v>
      </c>
    </row>
    <row r="4362" spans="1:9">
      <c r="A4362" s="1" t="str">
        <f>"410223199912155607"</f>
        <v>410223199912155607</v>
      </c>
      <c r="B4362" s="1" t="str">
        <f>"中共预备党员"</f>
        <v>中共预备党员</v>
      </c>
      <c r="C4362" s="1" t="str">
        <f t="shared" ref="C4362:C4365" si="2162">"本科"</f>
        <v>本科</v>
      </c>
      <c r="D4362" s="1" t="str">
        <f>"20250301"</f>
        <v>20250301</v>
      </c>
      <c r="E4362" s="1" t="str">
        <f>"郑州大学"</f>
        <v>郑州大学</v>
      </c>
      <c r="F4362" s="1" t="str">
        <f>"教育学"</f>
        <v>教育学</v>
      </c>
      <c r="G4362" s="1" t="str">
        <f>"河南省开封市尉氏县永兴镇"</f>
        <v>河南省开封市尉氏县永兴镇</v>
      </c>
      <c r="H4362" s="1" t="str">
        <f t="shared" ref="H4362:H4373" si="2163">"无"</f>
        <v>无</v>
      </c>
      <c r="I4362" s="1" t="str">
        <f>"大学专科 201809-202107郑州财经学院 建筑室内设计 全日制
大学本科 202203-202501郑州大学  教育学  非全日制
202108-202202在郑州华南城实习
"</f>
        <v>大学专科 201809-202107郑州财经学院 建筑室内设计 全日制
大学本科 202203-202501郑州大学  教育学  非全日制
202108-202202在郑州华南城实习
</v>
      </c>
    </row>
    <row r="4363" spans="1:9">
      <c r="A4363" s="1" t="str">
        <f>"410426200308233520"</f>
        <v>410426200308233520</v>
      </c>
      <c r="B4363" s="1" t="str">
        <f t="shared" si="2161"/>
        <v>共青团员</v>
      </c>
      <c r="C4363" s="1" t="str">
        <f>"专科"</f>
        <v>专科</v>
      </c>
      <c r="D4363" s="1" t="str">
        <f>"20240701"</f>
        <v>20240701</v>
      </c>
      <c r="E4363" s="1" t="str">
        <f>"海南经贸职业技术学院"</f>
        <v>海南经贸职业技术学院</v>
      </c>
      <c r="F4363" s="1" t="str">
        <f>"商务英语"</f>
        <v>商务英语</v>
      </c>
      <c r="G4363" s="1" t="str">
        <f>"河南省许昌市"</f>
        <v>河南省许昌市</v>
      </c>
      <c r="H4363" s="1" t="str">
        <f>"计算机一级证书"</f>
        <v>计算机一级证书</v>
      </c>
      <c r="I4363" s="1" t="str">
        <f>"20210901-20240701 海南经贸职业技术学院 商务英语专业 全日制学历"</f>
        <v>20210901-20240701 海南经贸职业技术学院 商务英语专业 全日制学历</v>
      </c>
    </row>
    <row r="4364" spans="1:9">
      <c r="A4364" s="1" t="str">
        <f>"411303199806020021"</f>
        <v>411303199806020021</v>
      </c>
      <c r="B4364" s="1" t="str">
        <f t="shared" si="2161"/>
        <v>共青团员</v>
      </c>
      <c r="C4364" s="1" t="str">
        <f t="shared" si="2162"/>
        <v>本科</v>
      </c>
      <c r="D4364" s="1" t="str">
        <f>"2021.07"</f>
        <v>2021.07</v>
      </c>
      <c r="E4364" s="1" t="str">
        <f>"南阳师范学院"</f>
        <v>南阳师范学院</v>
      </c>
      <c r="F4364" s="1" t="str">
        <f>"环境设计"</f>
        <v>环境设计</v>
      </c>
      <c r="G4364" s="1" t="str">
        <f>"河南省南阳市"</f>
        <v>河南省南阳市</v>
      </c>
      <c r="H4364" s="1" t="str">
        <f t="shared" si="2163"/>
        <v>无</v>
      </c>
      <c r="I4364" s="1" t="str">
        <f>"2017.09-2021.07南阳师范学院就读
2021.08-2023.08西蒙美术
2023.08-至今南阳市第九小学校代课"</f>
        <v>2017.09-2021.07南阳师范学院就读
2021.08-2023.08西蒙美术
2023.08-至今南阳市第九小学校代课</v>
      </c>
    </row>
    <row r="4365" spans="1:9">
      <c r="A4365" s="1" t="str">
        <f>"411327200302210047"</f>
        <v>411327200302210047</v>
      </c>
      <c r="B4365" s="1" t="str">
        <f t="shared" ref="B4365:B4369" si="2164">"群众"</f>
        <v>群众</v>
      </c>
      <c r="C4365" s="1" t="str">
        <f t="shared" si="2162"/>
        <v>本科</v>
      </c>
      <c r="D4365" s="1" t="str">
        <f>"20250607"</f>
        <v>20250607</v>
      </c>
      <c r="E4365" s="1" t="str">
        <f>"中原科技学院"</f>
        <v>中原科技学院</v>
      </c>
      <c r="F4365" s="1" t="str">
        <f>"学前教育"</f>
        <v>学前教育</v>
      </c>
      <c r="G4365" s="1" t="str">
        <f>"河南省南阳市内乡县城关镇教育路"</f>
        <v>河南省南阳市内乡县城关镇教育路</v>
      </c>
      <c r="H4365" s="1" t="str">
        <f t="shared" si="2163"/>
        <v>无</v>
      </c>
      <c r="I4365" s="1" t="str">
        <f>"2021509-202506中原科技学院学前教育就读"</f>
        <v>2021509-202506中原科技学院学前教育就读</v>
      </c>
    </row>
    <row r="4366" spans="1:9">
      <c r="A4366" s="1" t="str">
        <f>"411381199911023944"</f>
        <v>411381199911023944</v>
      </c>
      <c r="B4366" s="1" t="str">
        <f t="shared" ref="B4366:B4371" si="2165">"共青团员"</f>
        <v>共青团员</v>
      </c>
      <c r="C4366" s="1" t="str">
        <f>"硕士研究生"</f>
        <v>硕士研究生</v>
      </c>
      <c r="D4366" s="1" t="str">
        <f>"2025.06"</f>
        <v>2025.06</v>
      </c>
      <c r="E4366" s="1" t="str">
        <f>"喀什大学"</f>
        <v>喀什大学</v>
      </c>
      <c r="F4366" s="1" t="str">
        <f>"学科教学（英语）"</f>
        <v>学科教学（英语）</v>
      </c>
      <c r="G4366" s="1" t="str">
        <f>"河南省南阳市内乡县大成相府5号楼2单元802"</f>
        <v>河南省南阳市内乡县大成相府5号楼2单元802</v>
      </c>
      <c r="H4366" s="1" t="str">
        <f t="shared" si="2163"/>
        <v>无</v>
      </c>
      <c r="I4366" s="1" t="str">
        <f>"201809-202206 洛阳师范学院英语专业就读，为全日制；
202209-202506 喀什大学学科教学（英语）专业就读，为全日制。"</f>
        <v>201809-202206 洛阳师范学院英语专业就读，为全日制；
202209-202506 喀什大学学科教学（英语）专业就读，为全日制。</v>
      </c>
    </row>
    <row r="4367" spans="1:9">
      <c r="A4367" s="1" t="str">
        <f>"411326200311056129"</f>
        <v>411326200311056129</v>
      </c>
      <c r="B4367" s="1" t="str">
        <f t="shared" si="2165"/>
        <v>共青团员</v>
      </c>
      <c r="C4367" s="1" t="str">
        <f t="shared" ref="C4367:C4370" si="2166">"本科"</f>
        <v>本科</v>
      </c>
      <c r="D4367" s="1" t="str">
        <f>"20250701"</f>
        <v>20250701</v>
      </c>
      <c r="E4367" s="1" t="str">
        <f>"大连民族大学"</f>
        <v>大连民族大学</v>
      </c>
      <c r="F4367" s="1" t="str">
        <f>"国际经济与贸易"</f>
        <v>国际经济与贸易</v>
      </c>
      <c r="G4367" s="1" t="str">
        <f>"河南省南阳市南召县云阳镇当中庄村"</f>
        <v>河南省南阳市南召县云阳镇当中庄村</v>
      </c>
      <c r="H4367" s="1" t="str">
        <f t="shared" si="2163"/>
        <v>无</v>
      </c>
      <c r="I4367" s="1" t="str">
        <f>"202109-202507在大连民族大学国际经济与贸易专业国际商学院就读，是全日制学历
201809-202107在南召县第一高级中学就读
201509-201807在南召县第一初级中学就读"</f>
        <v>202109-202507在大连民族大学国际经济与贸易专业国际商学院就读，是全日制学历
201809-202107在南召县第一高级中学就读
201509-201807在南召县第一初级中学就读</v>
      </c>
    </row>
    <row r="4368" spans="1:9">
      <c r="A4368" s="1" t="str">
        <f>"411323199304100553"</f>
        <v>411323199304100553</v>
      </c>
      <c r="B4368" s="1" t="str">
        <f t="shared" si="2164"/>
        <v>群众</v>
      </c>
      <c r="C4368" s="1" t="str">
        <f t="shared" ref="C4368:C4372" si="2167">"专科"</f>
        <v>专科</v>
      </c>
      <c r="D4368" s="1" t="str">
        <f>"20160701"</f>
        <v>20160701</v>
      </c>
      <c r="E4368" s="1" t="str">
        <f>"河南交通职业技术学院"</f>
        <v>河南交通职业技术学院</v>
      </c>
      <c r="F4368" s="1" t="str">
        <f>"汽车制造与装配"</f>
        <v>汽车制造与装配</v>
      </c>
      <c r="G4368" s="1" t="str">
        <f>"淅川县上集镇朝阳社区"</f>
        <v>淅川县上集镇朝阳社区</v>
      </c>
      <c r="H4368" s="1" t="str">
        <f t="shared" si="2163"/>
        <v>无</v>
      </c>
      <c r="I4368" s="1" t="str">
        <f>"20130901-20160701 河南交通职业技术学院汽车制造与装配专业就读，是全日制"</f>
        <v>20130901-20160701 河南交通职业技术学院汽车制造与装配专业就读，是全日制</v>
      </c>
    </row>
    <row r="4369" spans="1:9">
      <c r="A4369" s="1" t="str">
        <f>"411622200303160832"</f>
        <v>411622200303160832</v>
      </c>
      <c r="B4369" s="1" t="str">
        <f t="shared" si="2164"/>
        <v>群众</v>
      </c>
      <c r="C4369" s="1" t="str">
        <f t="shared" si="2166"/>
        <v>本科</v>
      </c>
      <c r="D4369" s="1" t="str">
        <f>"20250610"</f>
        <v>20250610</v>
      </c>
      <c r="E4369" s="1" t="str">
        <f>"中原科技学院"</f>
        <v>中原科技学院</v>
      </c>
      <c r="F4369" s="1" t="str">
        <f>"汉语言文学"</f>
        <v>汉语言文学</v>
      </c>
      <c r="G4369" s="1" t="str">
        <f>"郑州市建业新天地桂园"</f>
        <v>郑州市建业新天地桂园</v>
      </c>
      <c r="H4369" s="1" t="str">
        <f t="shared" si="2163"/>
        <v>无</v>
      </c>
      <c r="I4369" s="1" t="str">
        <f>"202109-20250610在中原科技学院文学与传媒学院汉语言文学专业就读全日制学历"</f>
        <v>202109-20250610在中原科技学院文学与传媒学院汉语言文学专业就读全日制学历</v>
      </c>
    </row>
    <row r="4370" spans="1:9">
      <c r="A4370" s="1" t="str">
        <f>"411327200202010312"</f>
        <v>411327200202010312</v>
      </c>
      <c r="B4370" s="1" t="str">
        <f>"中共党员"</f>
        <v>中共党员</v>
      </c>
      <c r="C4370" s="1" t="str">
        <f t="shared" si="2166"/>
        <v>本科</v>
      </c>
      <c r="D4370" s="1" t="str">
        <f>"20240701"</f>
        <v>20240701</v>
      </c>
      <c r="E4370" s="1" t="str">
        <f>"华北水利水电大学"</f>
        <v>华北水利水电大学</v>
      </c>
      <c r="F4370" s="1" t="str">
        <f>"土木工程"</f>
        <v>土木工程</v>
      </c>
      <c r="G4370" s="1" t="str">
        <f>"河南省内乡县大成明珠小区"</f>
        <v>河南省内乡县大成明珠小区</v>
      </c>
      <c r="H4370" s="1" t="str">
        <f t="shared" si="2163"/>
        <v>无</v>
      </c>
      <c r="I4370" s="1" t="str">
        <f>"202009-202407华北水利水电大学就读
202408至今参加驻马店泌阳县西部计划"</f>
        <v>202009-202407华北水利水电大学就读
202408至今参加驻马店泌阳县西部计划</v>
      </c>
    </row>
    <row r="4371" spans="1:9">
      <c r="A4371" s="1" t="str">
        <f>"411327200112081125"</f>
        <v>411327200112081125</v>
      </c>
      <c r="B4371" s="1" t="str">
        <f t="shared" si="2165"/>
        <v>共青团员</v>
      </c>
      <c r="C4371" s="1" t="str">
        <f t="shared" si="2167"/>
        <v>专科</v>
      </c>
      <c r="D4371" s="1" t="str">
        <f>"20230630"</f>
        <v>20230630</v>
      </c>
      <c r="E4371" s="1" t="str">
        <f>"平顶山职业技术学院"</f>
        <v>平顶山职业技术学院</v>
      </c>
      <c r="F4371" s="1" t="str">
        <f>"美术教育"</f>
        <v>美术教育</v>
      </c>
      <c r="G4371" s="1" t="str">
        <f>"河南省南阳市内乡县湍东镇鹏翔雅苑"</f>
        <v>河南省南阳市内乡县湍东镇鹏翔雅苑</v>
      </c>
      <c r="H4371" s="1" t="str">
        <f t="shared" si="2163"/>
        <v>无</v>
      </c>
      <c r="I4371" s="1" t="str">
        <f>"2020年9月-2023年6月平顶山职业技术学院，就读美术教育专业是全日制学历。2023年6月以后一直在家待业"</f>
        <v>2020年9月-2023年6月平顶山职业技术学院，就读美术教育专业是全日制学历。2023年6月以后一直在家待业</v>
      </c>
    </row>
    <row r="4372" spans="1:9">
      <c r="A4372" s="1" t="str">
        <f>"411324199702110059"</f>
        <v>411324199702110059</v>
      </c>
      <c r="B4372" s="1" t="str">
        <f>"群众"</f>
        <v>群众</v>
      </c>
      <c r="C4372" s="1" t="str">
        <f t="shared" si="2167"/>
        <v>专科</v>
      </c>
      <c r="D4372" s="1" t="str">
        <f>"20140701"</f>
        <v>20140701</v>
      </c>
      <c r="E4372" s="1" t="str">
        <f>"郑州大学"</f>
        <v>郑州大学</v>
      </c>
      <c r="F4372" s="1" t="str">
        <f>"工商企业管理"</f>
        <v>工商企业管理</v>
      </c>
      <c r="G4372" s="1" t="str">
        <f>"镇平县桂花苑小区"</f>
        <v>镇平县桂花苑小区</v>
      </c>
      <c r="H4372" s="1" t="str">
        <f t="shared" si="2163"/>
        <v>无</v>
      </c>
      <c r="I4372" s="1" t="str">
        <f>"201409-201707郑州大学西亚斯国际学院工商企业管理就读，全日制专科"</f>
        <v>201409-201707郑州大学西亚斯国际学院工商企业管理就读，全日制专科</v>
      </c>
    </row>
    <row r="4373" spans="1:9">
      <c r="A4373" s="1" t="str">
        <f>"411327200405083781"</f>
        <v>411327200405083781</v>
      </c>
      <c r="B4373" s="1" t="str">
        <f>"中共党员"</f>
        <v>中共党员</v>
      </c>
      <c r="C4373" s="1" t="str">
        <f t="shared" ref="C4373:C4375" si="2168">"本科"</f>
        <v>本科</v>
      </c>
      <c r="D4373" s="1" t="str">
        <f>"2025年6月30日"</f>
        <v>2025年6月30日</v>
      </c>
      <c r="E4373" s="1" t="str">
        <f>"河南财经政法大学"</f>
        <v>河南财经政法大学</v>
      </c>
      <c r="F4373" s="1" t="str">
        <f>"法学"</f>
        <v>法学</v>
      </c>
      <c r="G4373" s="1" t="str">
        <f>"河南省南阳市内乡县"</f>
        <v>河南省南阳市内乡县</v>
      </c>
      <c r="H4373" s="1" t="str">
        <f t="shared" si="2163"/>
        <v>无</v>
      </c>
      <c r="I4373" s="1" t="str">
        <f>"202109-202506在河南财经政法大学财政税务学院财政学类专业以及法学院法学专业就读"</f>
        <v>202109-202506在河南财经政法大学财政税务学院财政学类专业以及法学院法学专业就读</v>
      </c>
    </row>
    <row r="4374" spans="1:9">
      <c r="A4374" s="1" t="str">
        <f>"411327199903243316"</f>
        <v>411327199903243316</v>
      </c>
      <c r="B4374" s="1" t="str">
        <f>"群众"</f>
        <v>群众</v>
      </c>
      <c r="C4374" s="1" t="str">
        <f t="shared" si="2168"/>
        <v>本科</v>
      </c>
      <c r="D4374" s="1" t="str">
        <f>"20210701"</f>
        <v>20210701</v>
      </c>
      <c r="E4374" s="1" t="str">
        <f>"郑州工程技术学院"</f>
        <v>郑州工程技术学院</v>
      </c>
      <c r="F4374" s="1" t="str">
        <f>"财务管理"</f>
        <v>财务管理</v>
      </c>
      <c r="G4374" s="1" t="str">
        <f>"河南省郑州市中原区小岗刘新城4号楼一单元2612"</f>
        <v>河南省郑州市中原区小岗刘新城4号楼一单元2612</v>
      </c>
      <c r="H4374" s="1" t="str">
        <f>"英语四级"</f>
        <v>英语四级</v>
      </c>
      <c r="I4374" s="1" t="str">
        <f>"201709-202107 郑州工程技术学院 管理学院就读，是全日制学历。"</f>
        <v>201709-202107 郑州工程技术学院 管理学院就读，是全日制学历。</v>
      </c>
    </row>
    <row r="4375" spans="1:9">
      <c r="A4375" s="1" t="str">
        <f>"411321199802271520"</f>
        <v>411321199802271520</v>
      </c>
      <c r="B4375" s="1" t="str">
        <f>"中共预备党员"</f>
        <v>中共预备党员</v>
      </c>
      <c r="C4375" s="1" t="str">
        <f t="shared" si="2168"/>
        <v>本科</v>
      </c>
      <c r="D4375" s="1" t="str">
        <f>"202107"</f>
        <v>202107</v>
      </c>
      <c r="E4375" s="1" t="str">
        <f>"河南财经政法大学"</f>
        <v>河南财经政法大学</v>
      </c>
      <c r="F4375" s="1" t="str">
        <f>"汉语言文学"</f>
        <v>汉语言文学</v>
      </c>
      <c r="G4375" s="1" t="str">
        <f>"河南省内乡县建业三期6号楼-2-1301"</f>
        <v>河南省内乡县建业三期6号楼-2-1301</v>
      </c>
      <c r="H4375" s="1" t="str">
        <f t="shared" ref="H4375:H4386" si="2169">"无"</f>
        <v>无</v>
      </c>
      <c r="I4375" s="1" t="str">
        <f>"201709-202107河南财经政法大学汉语言文学专业就读
202107-202204在河南省内乡县待业
202204-至今在内乡县公路事业发展中心就业"</f>
        <v>201709-202107河南财经政法大学汉语言文学专业就读
202107-202204在河南省内乡县待业
202204-至今在内乡县公路事业发展中心就业</v>
      </c>
    </row>
    <row r="4376" spans="1:9">
      <c r="A4376" s="1" t="str">
        <f>"411381199701291238"</f>
        <v>411381199701291238</v>
      </c>
      <c r="B4376" s="1" t="str">
        <f t="shared" ref="B4376:B4379" si="2170">"共青团员"</f>
        <v>共青团员</v>
      </c>
      <c r="C4376" s="1" t="str">
        <f>"专科"</f>
        <v>专科</v>
      </c>
      <c r="D4376" s="1" t="str">
        <f>"20200701"</f>
        <v>20200701</v>
      </c>
      <c r="E4376" s="1" t="str">
        <f>"安阳师范学院"</f>
        <v>安阳师范学院</v>
      </c>
      <c r="F4376" s="1" t="str">
        <f>"计算机应用技术"</f>
        <v>计算机应用技术</v>
      </c>
      <c r="G4376" s="1" t="str">
        <f>"河南省邓州市"</f>
        <v>河南省邓州市</v>
      </c>
      <c r="H4376" s="1" t="str">
        <f t="shared" si="2169"/>
        <v>无</v>
      </c>
      <c r="I4376" s="1" t="str">
        <f>"2018年9月-2020年7月 安阳师范学院 计算机应用技术
2020年8月-2021年6月 北京首信科技有限公司前端工程师
2021年7月-2022年11月 北京华讯科技有限公司前端工程师
2022年12月-2023年1月 邓州市恒信众和汽车销售
2022年6月-至今 邓州市应急管理局应急救援队队员"</f>
        <v>2018年9月-2020年7月 安阳师范学院 计算机应用技术
2020年8月-2021年6月 北京首信科技有限公司前端工程师
2021年7月-2022年11月 北京华讯科技有限公司前端工程师
2022年12月-2023年1月 邓州市恒信众和汽车销售
2022年6月-至今 邓州市应急管理局应急救援队队员</v>
      </c>
    </row>
    <row r="4377" spans="1:9">
      <c r="A4377" s="1" t="str">
        <f>"411327200101081111"</f>
        <v>411327200101081111</v>
      </c>
      <c r="B4377" s="1" t="str">
        <f t="shared" si="2170"/>
        <v>共青团员</v>
      </c>
      <c r="C4377" s="1" t="str">
        <f t="shared" ref="C4377:C4381" si="2171">"本科"</f>
        <v>本科</v>
      </c>
      <c r="D4377" s="1" t="str">
        <f>"20230701"</f>
        <v>20230701</v>
      </c>
      <c r="E4377" s="1" t="str">
        <f>"商丘工学院"</f>
        <v>商丘工学院</v>
      </c>
      <c r="F4377" s="1" t="str">
        <f>"机器人工程专业"</f>
        <v>机器人工程专业</v>
      </c>
      <c r="G4377" s="1" t="str">
        <f>"15038795693"</f>
        <v>15038795693</v>
      </c>
      <c r="H4377" s="1" t="str">
        <f t="shared" si="2169"/>
        <v>无</v>
      </c>
      <c r="I4377" s="1" t="str">
        <f>"201909-202307 商丘工学院机器人工程就读 是全日制
202308-202501 南阳威奥斯图车辆减振器有限公司工艺工程师
202501-202507 河南盛达专用车辆有限公司 工艺工程师
202507-至今 待业"</f>
        <v>201909-202307 商丘工学院机器人工程就读 是全日制
202308-202501 南阳威奥斯图车辆减振器有限公司工艺工程师
202501-202507 河南盛达专用车辆有限公司 工艺工程师
202507-至今 待业</v>
      </c>
    </row>
    <row r="4378" spans="1:9">
      <c r="A4378" s="1" t="str">
        <f>"411327199708273712"</f>
        <v>411327199708273712</v>
      </c>
      <c r="B4378" s="1" t="str">
        <f t="shared" ref="B4378:B4382" si="2172">"群众"</f>
        <v>群众</v>
      </c>
      <c r="C4378" s="1" t="str">
        <f t="shared" si="2171"/>
        <v>本科</v>
      </c>
      <c r="D4378" s="1" t="str">
        <f>"2019.7.1"</f>
        <v>2019.7.1</v>
      </c>
      <c r="E4378" s="1" t="str">
        <f>"河南科技学院"</f>
        <v>河南科技学院</v>
      </c>
      <c r="F4378" s="1" t="str">
        <f>"市场营销"</f>
        <v>市场营销</v>
      </c>
      <c r="G4378" s="1" t="str">
        <f>"河南省南阳市内乡县安泰荣盛公馆"</f>
        <v>河南省南阳市内乡县安泰荣盛公馆</v>
      </c>
      <c r="H4378" s="1" t="str">
        <f t="shared" si="2169"/>
        <v>无</v>
      </c>
      <c r="I4378" s="1" t="str">
        <f>"201509--201907    河南科技学院 经济与管理学院市场营销专业 就读
201909---至今      南阳市内乡县岞曲镇中心小学"</f>
        <v>201509--201907    河南科技学院 经济与管理学院市场营销专业 就读
201909---至今      南阳市内乡县岞曲镇中心小学</v>
      </c>
    </row>
    <row r="4379" spans="1:9">
      <c r="A4379" s="1" t="str">
        <f>"341203199710050919"</f>
        <v>341203199710050919</v>
      </c>
      <c r="B4379" s="1" t="str">
        <f t="shared" si="2170"/>
        <v>共青团员</v>
      </c>
      <c r="C4379" s="1" t="str">
        <f t="shared" si="2171"/>
        <v>本科</v>
      </c>
      <c r="D4379" s="1" t="str">
        <f>"20220610"</f>
        <v>20220610</v>
      </c>
      <c r="E4379" s="1" t="str">
        <f>"南昌工学院"</f>
        <v>南昌工学院</v>
      </c>
      <c r="F4379" s="1" t="str">
        <f>"思想政治教育"</f>
        <v>思想政治教育</v>
      </c>
      <c r="G4379" s="1" t="str">
        <f>"安徽省阜阳市颍东区致富路社区铁二处汪庄168户"</f>
        <v>安徽省阜阳市颍东区致富路社区铁二处汪庄168户</v>
      </c>
      <c r="H4379" s="1" t="str">
        <f t="shared" si="2169"/>
        <v>无</v>
      </c>
      <c r="I4379" s="1" t="str">
        <f>"201709-202006 江西司法警官职业学院刑事侦查技术专业就读（全日制大专）
202009-202206 南昌工学院思想政治教育专业就读（全日制专升本）
202206-至今 待业"</f>
        <v>201709-202006 江西司法警官职业学院刑事侦查技术专业就读（全日制大专）
202009-202206 南昌工学院思想政治教育专业就读（全日制专升本）
202206-至今 待业</v>
      </c>
    </row>
    <row r="4380" spans="1:9">
      <c r="A4380" s="1" t="str">
        <f>"342225199506171034"</f>
        <v>342225199506171034</v>
      </c>
      <c r="B4380" s="1" t="str">
        <f t="shared" si="2172"/>
        <v>群众</v>
      </c>
      <c r="C4380" s="1" t="str">
        <f t="shared" si="2171"/>
        <v>本科</v>
      </c>
      <c r="D4380" s="1" t="str">
        <f>"20220607"</f>
        <v>20220607</v>
      </c>
      <c r="E4380" s="1" t="str">
        <f>"安徽理工大学"</f>
        <v>安徽理工大学</v>
      </c>
      <c r="F4380" s="1" t="str">
        <f>"工程管理"</f>
        <v>工程管理</v>
      </c>
      <c r="G4380" s="1" t="str">
        <f>"安徽省宿州市泗县城市之光中区2栋1602"</f>
        <v>安徽省宿州市泗县城市之光中区2栋1602</v>
      </c>
      <c r="H4380" s="1" t="str">
        <f t="shared" si="2169"/>
        <v>无</v>
      </c>
      <c r="I4380" s="1" t="str">
        <f>"2016.09-2019.07  安徽水利水电职业技术学院  市政工程技术专业就读  全日制
2019.07-2021.01  待业
2021.02-2021.12  泗县草沟镇大张村               后备干部
2020.02-2022.07  安徽理工大学                     工程管理专业就读  非全日制
2022.01-至今       待业"</f>
        <v>2016.09-2019.07  安徽水利水电职业技术学院  市政工程技术专业就读  全日制
2019.07-2021.01  待业
2021.02-2021.12  泗县草沟镇大张村               后备干部
2020.02-2022.07  安徽理工大学                     工程管理专业就读  非全日制
2022.01-至今       待业</v>
      </c>
    </row>
    <row r="4381" spans="1:9">
      <c r="A4381" s="1" t="str">
        <f>"411327199802141134"</f>
        <v>411327199802141134</v>
      </c>
      <c r="B4381" s="1" t="str">
        <f>"共青团员"</f>
        <v>共青团员</v>
      </c>
      <c r="C4381" s="1" t="str">
        <f t="shared" si="2171"/>
        <v>本科</v>
      </c>
      <c r="D4381" s="1" t="str">
        <f>"20200701"</f>
        <v>20200701</v>
      </c>
      <c r="E4381" s="1" t="str">
        <f>"河南牧业经济学院"</f>
        <v>河南牧业经济学院</v>
      </c>
      <c r="F4381" s="1" t="str">
        <f>"食品科学与工程"</f>
        <v>食品科学与工程</v>
      </c>
      <c r="G4381" s="1" t="str">
        <f>"河南省南阳市宛城区"</f>
        <v>河南省南阳市宛城区</v>
      </c>
      <c r="H4381" s="1" t="str">
        <f t="shared" si="2169"/>
        <v>无</v>
      </c>
      <c r="I4381" s="1" t="str">
        <f>"201609-202007在河南牧业经济学院食品与生物工程学院（酒业学院）食品科学与工程专业就读；
202007-202103在河南三乐元食品有限公司就职；
202103-202204在牧原食品有限公司就职；
202204-202304在家休息；
202304-202404在浙江九玖企业管理有限公司就职；
202404-至今做电商。
"</f>
        <v>201609-202007在河南牧业经济学院食品与生物工程学院（酒业学院）食品科学与工程专业就读；
202007-202103在河南三乐元食品有限公司就职；
202103-202204在牧原食品有限公司就职；
202204-202304在家休息；
202304-202404在浙江九玖企业管理有限公司就职；
202404-至今做电商。
</v>
      </c>
    </row>
    <row r="4382" spans="1:9">
      <c r="A4382" s="1" t="str">
        <f>"41132719990116354X"</f>
        <v>41132719990116354X</v>
      </c>
      <c r="B4382" s="1" t="str">
        <f t="shared" si="2172"/>
        <v>群众</v>
      </c>
      <c r="C4382" s="1" t="str">
        <f>"专科"</f>
        <v>专科</v>
      </c>
      <c r="D4382" s="1" t="str">
        <f>"20210607"</f>
        <v>20210607</v>
      </c>
      <c r="E4382" s="1" t="str">
        <f>"河南林业职业学院"</f>
        <v>河南林业职业学院</v>
      </c>
      <c r="F4382" s="1" t="str">
        <f>"酒店管理"</f>
        <v>酒店管理</v>
      </c>
      <c r="G4382" s="1" t="str">
        <f>"河南省南阳市"</f>
        <v>河南省南阳市</v>
      </c>
      <c r="H4382" s="1" t="str">
        <f t="shared" si="2169"/>
        <v>无</v>
      </c>
      <c r="I4382" s="1" t="str">
        <f>"201809-202106河南林业职业学院生态系家酒店管理专业就读是全日制本科学历；2021年-2022年8月在洛阳钼都利豪国际饭店（现在叫洛阳国际大酒店）财务部工作，2022年9月-2024年3月在家备考教师资格证，2024年4月在板场乡财政所工作至今。"</f>
        <v>201809-202106河南林业职业学院生态系家酒店管理专业就读是全日制本科学历；2021年-2022年8月在洛阳钼都利豪国际饭店（现在叫洛阳国际大酒店）财务部工作，2022年9月-2024年3月在家备考教师资格证，2024年4月在板场乡财政所工作至今。</v>
      </c>
    </row>
    <row r="4383" spans="1:9">
      <c r="A4383" s="1" t="str">
        <f>"410526199712036414"</f>
        <v>410526199712036414</v>
      </c>
      <c r="B4383" s="1" t="str">
        <f>"中共党员"</f>
        <v>中共党员</v>
      </c>
      <c r="C4383" s="1" t="str">
        <f>"硕士研究生"</f>
        <v>硕士研究生</v>
      </c>
      <c r="D4383" s="1" t="str">
        <f>"20240617"</f>
        <v>20240617</v>
      </c>
      <c r="E4383" s="1" t="str">
        <f>"山西农业大学"</f>
        <v>山西农业大学</v>
      </c>
      <c r="F4383" s="1" t="str">
        <f>"公共管理"</f>
        <v>公共管理</v>
      </c>
      <c r="G4383" s="1" t="str">
        <f>"河南省滑县老店镇张庄村"</f>
        <v>河南省滑县老店镇张庄村</v>
      </c>
      <c r="H4383" s="1" t="str">
        <f t="shared" si="2169"/>
        <v>无</v>
      </c>
      <c r="I4383" s="1" t="str">
        <f>"201609-202006  在河南理工大学测绘与国土信息工程学院就读土地资源管理专业
202009-202106 在焦作市备考研究生
202109-202406 在山西农业大学资源环境学院就读公共管理专业全日制学术型研究生
202409-至今 在 安阳市待业"</f>
        <v>201609-202006  在河南理工大学测绘与国土信息工程学院就读土地资源管理专业
202009-202106 在焦作市备考研究生
202109-202406 在山西农业大学资源环境学院就读公共管理专业全日制学术型研究生
202409-至今 在 安阳市待业</v>
      </c>
    </row>
    <row r="4384" spans="1:9">
      <c r="A4384" s="1" t="str">
        <f>"411327199510010036"</f>
        <v>411327199510010036</v>
      </c>
      <c r="B4384" s="1" t="str">
        <f t="shared" ref="B4384:B4387" si="2173">"群众"</f>
        <v>群众</v>
      </c>
      <c r="C4384" s="1" t="str">
        <f t="shared" ref="C4384:C4387" si="2174">"本科"</f>
        <v>本科</v>
      </c>
      <c r="D4384" s="1" t="str">
        <f>"20180701"</f>
        <v>20180701</v>
      </c>
      <c r="E4384" s="1" t="str">
        <f>"郑州升达经贸管理学院"</f>
        <v>郑州升达经贸管理学院</v>
      </c>
      <c r="F4384" s="1" t="str">
        <f>"环境设计"</f>
        <v>环境设计</v>
      </c>
      <c r="G4384" s="1" t="str">
        <f>"内乡县新民路291号"</f>
        <v>内乡县新民路291号</v>
      </c>
      <c r="H4384" s="1" t="str">
        <f t="shared" si="2169"/>
        <v>无</v>
      </c>
      <c r="I4384" s="1" t="str">
        <f>"201409-201807 郑州升达经贸管理学院艺术院环境设计专业就读，全日制本科；201807-202308杭州无相设计有限公司；202308至今内乡县师岗镇人民政府项目办工作人员
"</f>
        <v>201409-201807 郑州升达经贸管理学院艺术院环境设计专业就读，全日制本科；201807-202308杭州无相设计有限公司；202308至今内乡县师岗镇人民政府项目办工作人员
</v>
      </c>
    </row>
    <row r="4385" spans="1:9">
      <c r="A4385" s="1" t="str">
        <f>"411422199801096910"</f>
        <v>411422199801096910</v>
      </c>
      <c r="B4385" s="1" t="str">
        <f>"中共党员"</f>
        <v>中共党员</v>
      </c>
      <c r="C4385" s="1" t="str">
        <f>"硕士研究生"</f>
        <v>硕士研究生</v>
      </c>
      <c r="D4385" s="1" t="str">
        <f>"20240611"</f>
        <v>20240611</v>
      </c>
      <c r="E4385" s="1" t="str">
        <f>"河南大学"</f>
        <v>河南大学</v>
      </c>
      <c r="F4385" s="1" t="str">
        <f>"马克思主义理论"</f>
        <v>马克思主义理论</v>
      </c>
      <c r="G4385" s="1" t="str">
        <f>"河南省商丘市睢县城郊乡汤庙村123号"</f>
        <v>河南省商丘市睢县城郊乡汤庙村123号</v>
      </c>
      <c r="H4385" s="1" t="str">
        <f t="shared" si="2169"/>
        <v>无</v>
      </c>
      <c r="I4385" s="1" t="str">
        <f>"201709-202107 河南财经政法大学公共管理学院行政管理专业就读 全日制
202109-202406 河南大学马克思主义学院马克思主义理论专业就读 全日制"</f>
        <v>201709-202107 河南财经政法大学公共管理学院行政管理专业就读 全日制
202109-202406 河南大学马克思主义学院马克思主义理论专业就读 全日制</v>
      </c>
    </row>
    <row r="4386" spans="1:9">
      <c r="A4386" s="1" t="str">
        <f>"411327199108063738"</f>
        <v>411327199108063738</v>
      </c>
      <c r="B4386" s="1" t="str">
        <f t="shared" si="2173"/>
        <v>群众</v>
      </c>
      <c r="C4386" s="1" t="str">
        <f t="shared" si="2174"/>
        <v>本科</v>
      </c>
      <c r="D4386" s="1" t="str">
        <f>"20160701"</f>
        <v>20160701</v>
      </c>
      <c r="E4386" s="1" t="str">
        <f>"郑州大学西亚斯国际学院"</f>
        <v>郑州大学西亚斯国际学院</v>
      </c>
      <c r="F4386" s="1" t="str">
        <f>"金融学"</f>
        <v>金融学</v>
      </c>
      <c r="G4386" s="1" t="str">
        <f>"河南省南阳市内乡县桃溪镇寺河村"</f>
        <v>河南省南阳市内乡县桃溪镇寺河村</v>
      </c>
      <c r="H4386" s="1" t="str">
        <f t="shared" si="2169"/>
        <v>无</v>
      </c>
      <c r="I4386" s="1" t="str">
        <f>"201209-201607 在郑州大学西亚斯国际学院就读  金融学专业 全日制
201609-201912  在想念食品股份有限公司上班
201912-202403  在南阳村镇银行股份有限公司上班
202403-202501  在牧原股份食品股份有限公司上班
202502-至今  在家待业"</f>
        <v>201209-201607 在郑州大学西亚斯国际学院就读  金融学专业 全日制
201609-201912  在想念食品股份有限公司上班
201912-202403  在南阳村镇银行股份有限公司上班
202403-202501  在牧原股份食品股份有限公司上班
202502-至今  在家待业</v>
      </c>
    </row>
    <row r="4387" spans="1:9">
      <c r="A4387" s="1" t="str">
        <f>"411327199611160631"</f>
        <v>411327199611160631</v>
      </c>
      <c r="B4387" s="1" t="str">
        <f t="shared" si="2173"/>
        <v>群众</v>
      </c>
      <c r="C4387" s="1" t="str">
        <f t="shared" si="2174"/>
        <v>本科</v>
      </c>
      <c r="D4387" s="1" t="str">
        <f>"20180615"</f>
        <v>20180615</v>
      </c>
      <c r="E4387" s="1" t="str">
        <f>"郑州科技学院"</f>
        <v>郑州科技学院</v>
      </c>
      <c r="F4387" s="1" t="str">
        <f>"材料成型及控制工程"</f>
        <v>材料成型及控制工程</v>
      </c>
      <c r="G4387" s="1" t="str">
        <f>"河南省内乡县马山口镇老庄村"</f>
        <v>河南省内乡县马山口镇老庄村</v>
      </c>
      <c r="H4387" s="1" t="str">
        <f>"高级制图员证、高级焊工证"</f>
        <v>高级制图员证、高级焊工证</v>
      </c>
      <c r="I4387" s="1" t="str">
        <f>"201409-201806 郑州科技学院 机械工程学院材料成型及控制工程专业就读，是全日制学历
201806-202005 郑州旭飞光电科技有限公司 就业
202006至今 牧原食品有限公司 就业
"</f>
        <v>201409-201806 郑州科技学院 机械工程学院材料成型及控制工程专业就读，是全日制学历
201806-202005 郑州旭飞光电科技有限公司 就业
202006至今 牧原食品有限公司 就业
</v>
      </c>
    </row>
    <row r="4388" spans="1:9">
      <c r="A4388" s="1" t="str">
        <f>"411381199204282613"</f>
        <v>411381199204282613</v>
      </c>
      <c r="B4388" s="1" t="str">
        <f t="shared" ref="B4388:B4392" si="2175">"共青团员"</f>
        <v>共青团员</v>
      </c>
      <c r="C4388" s="1" t="str">
        <f>"专科"</f>
        <v>专科</v>
      </c>
      <c r="D4388" s="1" t="str">
        <f>"201506"</f>
        <v>201506</v>
      </c>
      <c r="E4388" s="1" t="str">
        <f>"湖北交通职业技术学院"</f>
        <v>湖北交通职业技术学院</v>
      </c>
      <c r="F4388" s="1" t="str">
        <f>"轮机工程技术"</f>
        <v>轮机工程技术</v>
      </c>
      <c r="G4388" s="1" t="str">
        <f>"河南省南阳市邓州市花洲街道锦绣花园"</f>
        <v>河南省南阳市邓州市花洲街道锦绣花园</v>
      </c>
      <c r="H4388" s="1" t="str">
        <f>"国际海员无限航区甲类二管轮证书"</f>
        <v>国际海员无限航区甲类二管轮证书</v>
      </c>
      <c r="I4388" s="1" t="str">
        <f>"本人姓名卢露，生于19920428.201209-201506就读于湖北交通职业技术学院港口与航运系轮机工程技术专业，属于全日制专科毕业。"</f>
        <v>本人姓名卢露，生于19920428.201209-201506就读于湖北交通职业技术学院港口与航运系轮机工程技术专业，属于全日制专科毕业。</v>
      </c>
    </row>
    <row r="4389" spans="1:9">
      <c r="A4389" s="1" t="str">
        <f>"412722199508263668"</f>
        <v>412722199508263668</v>
      </c>
      <c r="B4389" s="1" t="str">
        <f t="shared" si="2175"/>
        <v>共青团员</v>
      </c>
      <c r="C4389" s="1" t="str">
        <f t="shared" ref="C4389:C4396" si="2176">"本科"</f>
        <v>本科</v>
      </c>
      <c r="D4389" s="1" t="str">
        <f>"20190701"</f>
        <v>20190701</v>
      </c>
      <c r="E4389" s="1" t="str">
        <f>"河南城建学院"</f>
        <v>河南城建学院</v>
      </c>
      <c r="F4389" s="1" t="str">
        <f>"市场营销"</f>
        <v>市场营销</v>
      </c>
      <c r="G4389" s="1" t="str">
        <f>"河南省南阳市西峡县回车镇屈原岗"</f>
        <v>河南省南阳市西峡县回车镇屈原岗</v>
      </c>
      <c r="H4389" s="1" t="str">
        <f t="shared" ref="H4389:H4394" si="2177">"无"</f>
        <v>无</v>
      </c>
      <c r="I4389" s="1" t="str">
        <f>"201509-201907 河南城建学院管理学院市场营销专业就读
是全日制学历"</f>
        <v>201509-201907 河南城建学院管理学院市场营销专业就读
是全日制学历</v>
      </c>
    </row>
    <row r="4390" spans="1:9">
      <c r="A4390" s="1" t="str">
        <f>"411327200108250029"</f>
        <v>411327200108250029</v>
      </c>
      <c r="B4390" s="1" t="str">
        <f>"中共党员"</f>
        <v>中共党员</v>
      </c>
      <c r="C4390" s="1" t="str">
        <f t="shared" si="2176"/>
        <v>本科</v>
      </c>
      <c r="D4390" s="1" t="str">
        <f>"20240605"</f>
        <v>20240605</v>
      </c>
      <c r="E4390" s="1" t="str">
        <f>"安阳学院"</f>
        <v>安阳学院</v>
      </c>
      <c r="F4390" s="1" t="str">
        <f>"英语"</f>
        <v>英语</v>
      </c>
      <c r="G4390" s="1" t="str">
        <f>"河南省内乡县城关镇郦都大道73号书院一组44号"</f>
        <v>河南省内乡县城关镇郦都大道73号书院一组44号</v>
      </c>
      <c r="H4390" s="1" t="str">
        <f t="shared" si="2177"/>
        <v>无</v>
      </c>
      <c r="I4390" s="1" t="str">
        <f>"202009-202406 安阳学院外国语学院英语专业 就读；
202406至今 在南阳市内乡县待业。"</f>
        <v>202009-202406 安阳学院外国语学院英语专业 就读；
202406至今 在南阳市内乡县待业。</v>
      </c>
    </row>
    <row r="4391" spans="1:9">
      <c r="A4391" s="1" t="str">
        <f>"411327199808160037"</f>
        <v>411327199808160037</v>
      </c>
      <c r="B4391" s="1" t="str">
        <f>"群众"</f>
        <v>群众</v>
      </c>
      <c r="C4391" s="1" t="str">
        <f>"专科"</f>
        <v>专科</v>
      </c>
      <c r="D4391" s="1" t="str">
        <f>"20200701"</f>
        <v>20200701</v>
      </c>
      <c r="E4391" s="1" t="str">
        <f>"三门峡职业技术学院"</f>
        <v>三门峡职业技术学院</v>
      </c>
      <c r="F4391" s="1" t="str">
        <f>"汽车检测与维修技术"</f>
        <v>汽车检测与维修技术</v>
      </c>
      <c r="G4391" s="1" t="str">
        <f>"南阳内乡"</f>
        <v>南阳内乡</v>
      </c>
      <c r="H4391" s="1" t="str">
        <f t="shared" si="2177"/>
        <v>无</v>
      </c>
      <c r="I4391" s="1" t="str">
        <f>"20170901-20200701三门峡职业技术学院就读机电系汽车检测与维修技术学院全日制"</f>
        <v>20170901-20200701三门峡职业技术学院就读机电系汽车检测与维修技术学院全日制</v>
      </c>
    </row>
    <row r="4392" spans="1:9">
      <c r="A4392" s="1" t="str">
        <f>"41050419990228500X"</f>
        <v>41050419990228500X</v>
      </c>
      <c r="B4392" s="1" t="str">
        <f t="shared" si="2175"/>
        <v>共青团员</v>
      </c>
      <c r="C4392" s="1" t="str">
        <f t="shared" si="2176"/>
        <v>本科</v>
      </c>
      <c r="D4392" s="1" t="str">
        <f>"20210601"</f>
        <v>20210601</v>
      </c>
      <c r="E4392" s="1" t="str">
        <f>"河南大学"</f>
        <v>河南大学</v>
      </c>
      <c r="F4392" s="1" t="str">
        <f>"视觉传达设计"</f>
        <v>视觉传达设计</v>
      </c>
      <c r="G4392" s="1" t="str">
        <f>"河南省安阳市殷都区相台街道枫林水郡e区"</f>
        <v>河南省安阳市殷都区相台街道枫林水郡e区</v>
      </c>
      <c r="H4392" s="1" t="str">
        <f t="shared" si="2177"/>
        <v>无</v>
      </c>
      <c r="I4392" s="1" t="str">
        <f>"2017.9—2021.6就读于河南大学全日制本科视觉传达设计专业
2021.7—2021.12于品牌设计公司担任平面设计师
2022.1—2022.2待业
2022.3—2023.3于安阳市职业介绍服务中心担任线上服务工作（编外）
2023.4—至今 自由职业"</f>
        <v>2017.9—2021.6就读于河南大学全日制本科视觉传达设计专业
2021.7—2021.12于品牌设计公司担任平面设计师
2022.1—2022.2待业
2022.3—2023.3于安阳市职业介绍服务中心担任线上服务工作（编外）
2023.4—至今 自由职业</v>
      </c>
    </row>
    <row r="4393" spans="1:9">
      <c r="A4393" s="1" t="str">
        <f>"411528199706132657"</f>
        <v>411528199706132657</v>
      </c>
      <c r="B4393" s="1" t="str">
        <f>"中共党员"</f>
        <v>中共党员</v>
      </c>
      <c r="C4393" s="1" t="str">
        <f t="shared" si="2176"/>
        <v>本科</v>
      </c>
      <c r="D4393" s="1" t="str">
        <f>"20190701"</f>
        <v>20190701</v>
      </c>
      <c r="E4393" s="1" t="str">
        <f>"郑州大学西亚斯国际学院"</f>
        <v>郑州大学西亚斯国际学院</v>
      </c>
      <c r="F4393" s="1" t="str">
        <f>"金融学"</f>
        <v>金融学</v>
      </c>
      <c r="G4393" s="1" t="str">
        <f>"河南省信阳市息县县直幼儿园家属院"</f>
        <v>河南省信阳市息县县直幼儿园家属院</v>
      </c>
      <c r="H4393" s="1" t="str">
        <f t="shared" si="2177"/>
        <v>无</v>
      </c>
      <c r="I4393" s="1" t="str">
        <f>"201509-201906 郑州大学西亚斯国际学院 金融学 全日制
201907-202010 河南省信阳市息县待业
202011-202107 重庆市言吾教育信息咨询有限公司 咨询师
202108-至今  河南省信阳市息县待业"</f>
        <v>201509-201906 郑州大学西亚斯国际学院 金融学 全日制
201907-202010 河南省信阳市息县待业
202011-202107 重庆市言吾教育信息咨询有限公司 咨询师
202108-至今  河南省信阳市息县待业</v>
      </c>
    </row>
    <row r="4394" spans="1:9">
      <c r="A4394" s="1" t="str">
        <f>"411302200305070249"</f>
        <v>411302200305070249</v>
      </c>
      <c r="B4394" s="1" t="str">
        <f>"共青团员"</f>
        <v>共青团员</v>
      </c>
      <c r="C4394" s="1" t="str">
        <f t="shared" si="2176"/>
        <v>本科</v>
      </c>
      <c r="D4394" s="1" t="str">
        <f>"20250624"</f>
        <v>20250624</v>
      </c>
      <c r="E4394" s="1" t="str">
        <f>"长春中医药大学"</f>
        <v>长春中医药大学</v>
      </c>
      <c r="F4394" s="1" t="str">
        <f>"药学"</f>
        <v>药学</v>
      </c>
      <c r="G4394" s="1" t="str">
        <f>"河南省南阳市汉冶路689号"</f>
        <v>河南省南阳市汉冶路689号</v>
      </c>
      <c r="H4394" s="1" t="str">
        <f t="shared" si="2177"/>
        <v>无</v>
      </c>
      <c r="I4394" s="1" t="str">
        <f>"202109-202506 长春中医药大学药学院药学专业就读"</f>
        <v>202109-202506 长春中医药大学药学院药学专业就读</v>
      </c>
    </row>
    <row r="4395" spans="1:9">
      <c r="A4395" s="1" t="str">
        <f>"411327200211234545"</f>
        <v>411327200211234545</v>
      </c>
      <c r="B4395" s="1" t="str">
        <f>"共青团员"</f>
        <v>共青团员</v>
      </c>
      <c r="C4395" s="1" t="str">
        <f t="shared" si="2176"/>
        <v>本科</v>
      </c>
      <c r="D4395" s="1" t="str">
        <f>"20250628"</f>
        <v>20250628</v>
      </c>
      <c r="E4395" s="1" t="str">
        <f>"内蒙古科技大学"</f>
        <v>内蒙古科技大学</v>
      </c>
      <c r="F4395" s="1" t="str">
        <f>"工程造价"</f>
        <v>工程造价</v>
      </c>
      <c r="G4395" s="1" t="str">
        <f>"河南省南阳市内乡县赵店乡袁寨村"</f>
        <v>河南省南阳市内乡县赵店乡袁寨村</v>
      </c>
      <c r="H4395" s="1" t="str">
        <f>"教师资格证 C1驾驶证"</f>
        <v>教师资格证 C1驾驶证</v>
      </c>
      <c r="I4395" s="1" t="str">
        <f>"202108-202507   内蒙古科技大学"</f>
        <v>202108-202507   内蒙古科技大学</v>
      </c>
    </row>
    <row r="4396" spans="1:9">
      <c r="A4396" s="1" t="str">
        <f>"410225199412152656"</f>
        <v>410225199412152656</v>
      </c>
      <c r="B4396" s="1" t="str">
        <f t="shared" ref="B4396:B4402" si="2178">"群众"</f>
        <v>群众</v>
      </c>
      <c r="C4396" s="1" t="str">
        <f t="shared" si="2176"/>
        <v>本科</v>
      </c>
      <c r="D4396" s="1" t="str">
        <f>"20180701"</f>
        <v>20180701</v>
      </c>
      <c r="E4396" s="1" t="str">
        <f>"中原工学院信息商务学院"</f>
        <v>中原工学院信息商务学院</v>
      </c>
      <c r="F4396" s="1" t="str">
        <f>"土木工程"</f>
        <v>土木工程</v>
      </c>
      <c r="G4396" s="1" t="str">
        <f>"河南省开封市兰考县谷营镇"</f>
        <v>河南省开封市兰考县谷营镇</v>
      </c>
      <c r="H4396" s="1" t="str">
        <f t="shared" ref="H4396:H4408" si="2179">"无"</f>
        <v>无</v>
      </c>
      <c r="I4396" s="1" t="str">
        <f>"201309-201607 黄淮学院建筑工程技术专业就读；
201609-201807中原工学院信息商务学院土木工程专业就读；
201808-202111待业；
202112-202203在河南今典物业服务有限公司任职；
202204-202507待业"</f>
        <v>201309-201607 黄淮学院建筑工程技术专业就读；
201609-201807中原工学院信息商务学院土木工程专业就读；
201808-202111待业；
202112-202203在河南今典物业服务有限公司任职；
202204-202507待业</v>
      </c>
    </row>
    <row r="4397" spans="1:9">
      <c r="A4397" s="1" t="str">
        <f>"411327200101260064"</f>
        <v>411327200101260064</v>
      </c>
      <c r="B4397" s="1" t="str">
        <f t="shared" si="2178"/>
        <v>群众</v>
      </c>
      <c r="C4397" s="1" t="str">
        <f>"硕士研究生"</f>
        <v>硕士研究生</v>
      </c>
      <c r="D4397" s="1" t="str">
        <f>"20250630"</f>
        <v>20250630</v>
      </c>
      <c r="E4397" s="1" t="str">
        <f>"华中农业大学"</f>
        <v>华中农业大学</v>
      </c>
      <c r="F4397" s="1" t="str">
        <f>"资源利用与植物保护"</f>
        <v>资源利用与植物保护</v>
      </c>
      <c r="G4397" s="1" t="str">
        <f>"河南省南阳市内乡县城关镇大成西路八巷16号"</f>
        <v>河南省南阳市内乡县城关镇大成西路八巷16号</v>
      </c>
      <c r="H4397" s="1" t="str">
        <f t="shared" si="2179"/>
        <v>无</v>
      </c>
      <c r="I4397" s="1" t="str">
        <f>"2018.09-2022.07	河南科技学院新科学院  生物与化学工程系园林专业  是全日制
2023.09-2025.06	华中农业大学  资源与环境学院资源利用与植物保护专业  是全日制
"</f>
        <v>2018.09-2022.07	河南科技学院新科学院  生物与化学工程系园林专业  是全日制
2023.09-2025.06	华中农业大学  资源与环境学院资源利用与植物保护专业  是全日制
</v>
      </c>
    </row>
    <row r="4398" spans="1:9">
      <c r="A4398" s="1" t="str">
        <f>"411327200303122946"</f>
        <v>411327200303122946</v>
      </c>
      <c r="B4398" s="1" t="str">
        <f t="shared" si="2178"/>
        <v>群众</v>
      </c>
      <c r="C4398" s="1" t="str">
        <f>"专科"</f>
        <v>专科</v>
      </c>
      <c r="D4398" s="1" t="str">
        <f>"20220607"</f>
        <v>20220607</v>
      </c>
      <c r="E4398" s="1" t="str">
        <f>"河南检察职业学院"</f>
        <v>河南检察职业学院</v>
      </c>
      <c r="F4398" s="1" t="str">
        <f>"法律事务"</f>
        <v>法律事务</v>
      </c>
      <c r="G4398" s="1" t="str">
        <f>"河南省南阳市内乡县北关海天楼"</f>
        <v>河南省南阳市内乡县北关海天楼</v>
      </c>
      <c r="H4398" s="1" t="str">
        <f>"普通话证书二级甲等"</f>
        <v>普通话证书二级甲等</v>
      </c>
      <c r="I4398" s="1" t="str">
        <f>"201909-202206在河南检察职业学院法律系法律事务专业就读，是全日制学历"</f>
        <v>201909-202206在河南检察职业学院法律系法律事务专业就读，是全日制学历</v>
      </c>
    </row>
    <row r="4399" ht="94.5" spans="1:9">
      <c r="A4399" s="1" t="str">
        <f>"411381199104204239"</f>
        <v>411381199104204239</v>
      </c>
      <c r="B4399" s="1" t="str">
        <f t="shared" si="2178"/>
        <v>群众</v>
      </c>
      <c r="C4399" s="1" t="str">
        <f>"专科"</f>
        <v>专科</v>
      </c>
      <c r="D4399" s="1" t="str">
        <f>"20140701"</f>
        <v>20140701</v>
      </c>
      <c r="E4399" s="1" t="str">
        <f>"南阳理工学院"</f>
        <v>南阳理工学院</v>
      </c>
      <c r="F4399" s="1" t="str">
        <f>"机械制造与自动化"</f>
        <v>机械制造与自动化</v>
      </c>
      <c r="G4399" s="1" t="str">
        <f>"河南省南阳市七里园乡四季花城一期"</f>
        <v>河南省南阳市七里园乡四季花城一期</v>
      </c>
      <c r="H4399" s="1" t="str">
        <f>"钳工资格证"</f>
        <v>钳工资格证</v>
      </c>
      <c r="I4399" s="3" t="s">
        <v>280</v>
      </c>
    </row>
    <row r="4400" spans="1:9">
      <c r="A4400" s="1" t="str">
        <f>"411330200202045732"</f>
        <v>411330200202045732</v>
      </c>
      <c r="B4400" s="1" t="str">
        <f t="shared" si="2178"/>
        <v>群众</v>
      </c>
      <c r="C4400" s="1" t="str">
        <f t="shared" ref="C4400:C4405" si="2180">"本科"</f>
        <v>本科</v>
      </c>
      <c r="D4400" s="1" t="str">
        <f>"2025-07-01"</f>
        <v>2025-07-01</v>
      </c>
      <c r="E4400" s="1" t="str">
        <f>"郑州航空工业管理学院"</f>
        <v>郑州航空工业管理学院</v>
      </c>
      <c r="F4400" s="1" t="str">
        <f>"土木工程"</f>
        <v>土木工程</v>
      </c>
      <c r="G4400" s="1" t="str">
        <f>"河南省南阳市西峡县金地花园"</f>
        <v>河南省南阳市西峡县金地花园</v>
      </c>
      <c r="H4400" s="1" t="str">
        <f t="shared" si="2179"/>
        <v>无</v>
      </c>
      <c r="I4400" s="1" t="str">
        <f>"2021年9月-2025年7月 郑州航空工业管理学院 就读 是全日制学历"</f>
        <v>2021年9月-2025年7月 郑州航空工业管理学院 就读 是全日制学历</v>
      </c>
    </row>
    <row r="4401" spans="1:9">
      <c r="A4401" s="1" t="str">
        <f>"412827199605016121"</f>
        <v>412827199605016121</v>
      </c>
      <c r="B4401" s="1" t="str">
        <f t="shared" si="2178"/>
        <v>群众</v>
      </c>
      <c r="C4401" s="1" t="str">
        <f t="shared" si="2180"/>
        <v>本科</v>
      </c>
      <c r="D4401" s="1" t="str">
        <f>"20210701"</f>
        <v>20210701</v>
      </c>
      <c r="E4401" s="1" t="str">
        <f>"周口师范学院"</f>
        <v>周口师范学院</v>
      </c>
      <c r="F4401" s="1" t="str">
        <f>"食品质量与安全"</f>
        <v>食品质量与安全</v>
      </c>
      <c r="G4401" s="1" t="str">
        <f>"河南省驻马店市驿城区十三香路"</f>
        <v>河南省驻马店市驿城区十三香路</v>
      </c>
      <c r="H4401" s="1" t="str">
        <f t="shared" si="2179"/>
        <v>无</v>
      </c>
      <c r="I4401" s="1" t="str">
        <f>"201709-202107 周口师范学院就读 生命科学与农学院 食品质量与安全 全日制学历
202107-202203 深圳勤劳人力 品控
202203-202301 河南省驻马店市 待业
202301-202501 河南省驻马店市驿城区十三香社区 社工
202501-至今 河南省驻马店市驿城区政务中心 职工"</f>
        <v>201709-202107 周口师范学院就读 生命科学与农学院 食品质量与安全 全日制学历
202107-202203 深圳勤劳人力 品控
202203-202301 河南省驻马店市 待业
202301-202501 河南省驻马店市驿城区十三香社区 社工
202501-至今 河南省驻马店市驿城区政务中心 职工</v>
      </c>
    </row>
    <row r="4402" spans="1:9">
      <c r="A4402" s="1" t="str">
        <f>"411526199412283211"</f>
        <v>411526199412283211</v>
      </c>
      <c r="B4402" s="1" t="str">
        <f t="shared" si="2178"/>
        <v>群众</v>
      </c>
      <c r="C4402" s="1" t="str">
        <f t="shared" si="2180"/>
        <v>本科</v>
      </c>
      <c r="D4402" s="1" t="str">
        <f>"20180701"</f>
        <v>20180701</v>
      </c>
      <c r="E4402" s="1" t="str">
        <f>"河南科技学院"</f>
        <v>河南科技学院</v>
      </c>
      <c r="F4402" s="1" t="str">
        <f>"汉语国际教育"</f>
        <v>汉语国际教育</v>
      </c>
      <c r="G4402" s="1" t="str">
        <f>"河南省信阳市潢川县桃园新村A区"</f>
        <v>河南省信阳市潢川县桃园新村A区</v>
      </c>
      <c r="H4402" s="1" t="str">
        <f t="shared" si="2179"/>
        <v>无</v>
      </c>
      <c r="I4402" s="1" t="str">
        <f>"201409-201807河南科技学院文法学院汉语国际教育专业就读全日制
201807-202009工作于博天环境集团股份有限公司任职商务主管
202009-202011工作于徐州泽众环境科技有限公司任职现场施工员
202011-202405工作与江苏众川生态环境有限公司任职施工经理
202406起在河南省信阳市待业至今"</f>
        <v>201409-201807河南科技学院文法学院汉语国际教育专业就读全日制
201807-202009工作于博天环境集团股份有限公司任职商务主管
202009-202011工作于徐州泽众环境科技有限公司任职现场施工员
202011-202405工作与江苏众川生态环境有限公司任职施工经理
202406起在河南省信阳市待业至今</v>
      </c>
    </row>
    <row r="4403" spans="1:9">
      <c r="A4403" s="1" t="str">
        <f>"411524200001070038"</f>
        <v>411524200001070038</v>
      </c>
      <c r="B4403" s="1" t="str">
        <f t="shared" ref="B4403:B4408" si="2181">"共青团员"</f>
        <v>共青团员</v>
      </c>
      <c r="C4403" s="1" t="str">
        <f t="shared" si="2180"/>
        <v>本科</v>
      </c>
      <c r="D4403" s="1" t="str">
        <f>"20230701"</f>
        <v>20230701</v>
      </c>
      <c r="E4403" s="1" t="str">
        <f>"黄淮学院"</f>
        <v>黄淮学院</v>
      </c>
      <c r="F4403" s="1" t="str">
        <f>"城乡规划"</f>
        <v>城乡规划</v>
      </c>
      <c r="G4403" s="1" t="str">
        <f>"河南省信阳市商城县城关镇崇福社区"</f>
        <v>河南省信阳市商城县城关镇崇福社区</v>
      </c>
      <c r="H4403" s="1" t="str">
        <f t="shared" si="2179"/>
        <v>无</v>
      </c>
      <c r="I4403" s="1" t="str">
        <f>"2018.9.1——2023.7.1 黄淮学院 建筑工程学院 城乡规划专业就读
2023.7.1至今 信阳市待业"</f>
        <v>2018.9.1——2023.7.1 黄淮学院 建筑工程学院 城乡规划专业就读
2023.7.1至今 信阳市待业</v>
      </c>
    </row>
    <row r="4404" spans="1:9">
      <c r="A4404" s="1" t="str">
        <f>"411330199711022517"</f>
        <v>411330199711022517</v>
      </c>
      <c r="B4404" s="1" t="str">
        <f t="shared" ref="B4404:B4407" si="2182">"群众"</f>
        <v>群众</v>
      </c>
      <c r="C4404" s="1" t="str">
        <f t="shared" si="2180"/>
        <v>本科</v>
      </c>
      <c r="D4404" s="1" t="str">
        <f>"2021.07"</f>
        <v>2021.07</v>
      </c>
      <c r="E4404" s="1" t="str">
        <f>"南阳师范学院"</f>
        <v>南阳师范学院</v>
      </c>
      <c r="F4404" s="1" t="str">
        <f>"汉语言文学"</f>
        <v>汉语言文学</v>
      </c>
      <c r="G4404" s="1" t="str">
        <f>"河南省南阳市西峡县丁河镇"</f>
        <v>河南省南阳市西峡县丁河镇</v>
      </c>
      <c r="H4404" s="1" t="str">
        <f t="shared" si="2179"/>
        <v>无</v>
      </c>
      <c r="I4404" s="1" t="str">
        <f>"201709-202107 南阳师范学院就读文史学院汉语言文学专业 是全日制学历
202108-202207 禹州南区学校 担任高一语文教师及班主任
202208-202502 宛南枫桥学校 担任高中语文教师及班主任"</f>
        <v>201709-202107 南阳师范学院就读文史学院汉语言文学专业 是全日制学历
202108-202207 禹州南区学校 担任高一语文教师及班主任
202208-202502 宛南枫桥学校 担任高中语文教师及班主任</v>
      </c>
    </row>
    <row r="4405" spans="1:9">
      <c r="A4405" s="1" t="str">
        <f>"411327200105113723"</f>
        <v>411327200105113723</v>
      </c>
      <c r="B4405" s="1" t="str">
        <f t="shared" si="2181"/>
        <v>共青团员</v>
      </c>
      <c r="C4405" s="1" t="str">
        <f t="shared" si="2180"/>
        <v>本科</v>
      </c>
      <c r="D4405" s="1" t="str">
        <f>"2024.06"</f>
        <v>2024.06</v>
      </c>
      <c r="E4405" s="1" t="str">
        <f>"大连艺术学院"</f>
        <v>大连艺术学院</v>
      </c>
      <c r="F4405" s="1" t="str">
        <f>"旅游管理"</f>
        <v>旅游管理</v>
      </c>
      <c r="G4405" s="1" t="str">
        <f>"河南省南阳市内乡县新都花苑4号楼1802"</f>
        <v>河南省南阳市内乡县新都花苑4号楼1802</v>
      </c>
      <c r="H4405" s="1" t="str">
        <f t="shared" si="2179"/>
        <v>无</v>
      </c>
      <c r="I4405" s="1" t="str">
        <f>"2017年9月-2013年7月  在河南省南阳市内乡县第五小学就读
2013年9月-2016年7月  在河南省南阳市内乡县实验初中就读
2016年9月-2019年7月   在河南省南阳市内乡县第一高中就读
2019年9月-2022年6月   在辽宁省大连市金州区大连财经学院就读
2022年9月-2024年6月   在辽宁省大连市金州区大连艺术学院就读"</f>
        <v>2017年9月-2013年7月  在河南省南阳市内乡县第五小学就读
2013年9月-2016年7月  在河南省南阳市内乡县实验初中就读
2016年9月-2019年7月   在河南省南阳市内乡县第一高中就读
2019年9月-2022年6月   在辽宁省大连市金州区大连财经学院就读
2022年9月-2024年6月   在辽宁省大连市金州区大连艺术学院就读</v>
      </c>
    </row>
    <row r="4406" spans="1:9">
      <c r="A4406" s="1" t="str">
        <f>"411327200312160039"</f>
        <v>411327200312160039</v>
      </c>
      <c r="B4406" s="1" t="str">
        <f t="shared" si="2182"/>
        <v>群众</v>
      </c>
      <c r="C4406" s="1" t="str">
        <f>"专科"</f>
        <v>专科</v>
      </c>
      <c r="D4406" s="1" t="str">
        <f>"20250617"</f>
        <v>20250617</v>
      </c>
      <c r="E4406" s="1" t="str">
        <f>"信阳职业技术学院"</f>
        <v>信阳职业技术学院</v>
      </c>
      <c r="F4406" s="1" t="str">
        <f>"中药学"</f>
        <v>中药学</v>
      </c>
      <c r="G4406" s="1" t="str">
        <f>"河南省南阳市内乡县"</f>
        <v>河南省南阳市内乡县</v>
      </c>
      <c r="H4406" s="1" t="str">
        <f t="shared" si="2179"/>
        <v>无</v>
      </c>
      <c r="I4406" s="1" t="str">
        <f>"202209-202506信阳职业技术学院就读 全日制学历"</f>
        <v>202209-202506信阳职业技术学院就读 全日制学历</v>
      </c>
    </row>
    <row r="4407" spans="1:9">
      <c r="A4407" s="1" t="str">
        <f>"411327199111270658"</f>
        <v>411327199111270658</v>
      </c>
      <c r="B4407" s="1" t="str">
        <f t="shared" si="2182"/>
        <v>群众</v>
      </c>
      <c r="C4407" s="1" t="str">
        <f t="shared" ref="C4407:C4409" si="2183">"本科"</f>
        <v>本科</v>
      </c>
      <c r="D4407" s="1" t="str">
        <f>"20150701"</f>
        <v>20150701</v>
      </c>
      <c r="E4407" s="1" t="str">
        <f>"河南师范大学"</f>
        <v>河南师范大学</v>
      </c>
      <c r="F4407" s="1" t="str">
        <f>"电子信息工程"</f>
        <v>电子信息工程</v>
      </c>
      <c r="G4407" s="1" t="str">
        <f>"河南省南阳市内乡县南湖湾小区1号楼4单元602"</f>
        <v>河南省南阳市内乡县南湖湾小区1号楼4单元602</v>
      </c>
      <c r="H4407" s="1" t="str">
        <f t="shared" si="2179"/>
        <v>无</v>
      </c>
      <c r="I4407" s="1" t="str">
        <f>"2011.09-2015.07 河南师范大学物理与电子信息工程 就读 全日制
2015.07-2020.06 南阳市待业
2020.06-2021.07 内乡县菊潭学校 初一数学代课老师
2020.06-2022.04 南阳市待业 
2022.04-2022.11 南阳市卧龙牧原养殖有限公司 担任卧龙6分场财务
2022.11-至今       南阳市待业"</f>
        <v>2011.09-2015.07 河南师范大学物理与电子信息工程 就读 全日制
2015.07-2020.06 南阳市待业
2020.06-2021.07 内乡县菊潭学校 初一数学代课老师
2020.06-2022.04 南阳市待业 
2022.04-2022.11 南阳市卧龙牧原养殖有限公司 担任卧龙6分场财务
2022.11-至今       南阳市待业</v>
      </c>
    </row>
    <row r="4408" spans="1:9">
      <c r="A4408" s="1" t="str">
        <f>"411327199710014568"</f>
        <v>411327199710014568</v>
      </c>
      <c r="B4408" s="1" t="str">
        <f t="shared" si="2181"/>
        <v>共青团员</v>
      </c>
      <c r="C4408" s="1" t="str">
        <f t="shared" si="2183"/>
        <v>本科</v>
      </c>
      <c r="D4408" s="1" t="str">
        <f>"20200701"</f>
        <v>20200701</v>
      </c>
      <c r="E4408" s="1" t="str">
        <f>"河南科技学院"</f>
        <v>河南科技学院</v>
      </c>
      <c r="F4408" s="1" t="str">
        <f>"农业资源与环境"</f>
        <v>农业资源与环境</v>
      </c>
      <c r="G4408" s="1" t="str">
        <f>"河南省南阳市内乡县永和清华园"</f>
        <v>河南省南阳市内乡县永和清华园</v>
      </c>
      <c r="H4408" s="1" t="str">
        <f t="shared" si="2179"/>
        <v>无</v>
      </c>
      <c r="I4408" s="1" t="str">
        <f>"201609-202007 河南科技学院 资源与环境学院 农业资源与环境专业 就读 全日制学历"</f>
        <v>201609-202007 河南科技学院 资源与环境学院 农业资源与环境专业 就读 全日制学历</v>
      </c>
    </row>
    <row r="4409" spans="1:9">
      <c r="A4409" s="1" t="str">
        <f>"411327199402151122"</f>
        <v>411327199402151122</v>
      </c>
      <c r="B4409" s="1" t="str">
        <f t="shared" ref="B4409:B4413" si="2184">"群众"</f>
        <v>群众</v>
      </c>
      <c r="C4409" s="1" t="str">
        <f t="shared" si="2183"/>
        <v>本科</v>
      </c>
      <c r="D4409" s="1" t="str">
        <f>"20180626"</f>
        <v>20180626</v>
      </c>
      <c r="E4409" s="1" t="str">
        <f>"吉林农业大学"</f>
        <v>吉林农业大学</v>
      </c>
      <c r="F4409" s="1" t="str">
        <f>"财务管理"</f>
        <v>财务管理</v>
      </c>
      <c r="G4409" s="1" t="str">
        <f>"河南省南阳市内乡县"</f>
        <v>河南省南阳市内乡县</v>
      </c>
      <c r="H4409" s="1" t="str">
        <f>"会计从业资格证、初级会计师证、理财规划师证三级、英语四级"</f>
        <v>会计从业资格证、初级会计师证、理财规划师证三级、英语四级</v>
      </c>
      <c r="I4409" s="1" t="str">
        <f>"2014年9月-2018年6月就读于吉林农业大学经济管理学院财务管理专业，是全日制学历；
2018年7月至今在牧原集团子公司担任财务负责人，统筹财务相关工作。"</f>
        <v>2014年9月-2018年6月就读于吉林农业大学经济管理学院财务管理专业，是全日制学历；
2018年7月至今在牧原集团子公司担任财务负责人，统筹财务相关工作。</v>
      </c>
    </row>
    <row r="4410" spans="1:9">
      <c r="A4410" s="1" t="str">
        <f>"411321199812110712"</f>
        <v>411321199812110712</v>
      </c>
      <c r="B4410" s="1" t="str">
        <f t="shared" si="2184"/>
        <v>群众</v>
      </c>
      <c r="C4410" s="1" t="str">
        <f t="shared" ref="C4410:C4413" si="2185">"专科"</f>
        <v>专科</v>
      </c>
      <c r="D4410" s="1" t="str">
        <f>"20210701"</f>
        <v>20210701</v>
      </c>
      <c r="E4410" s="1" t="str">
        <f>"河南工业职业技术学院"</f>
        <v>河南工业职业技术学院</v>
      </c>
      <c r="F4410" s="1" t="str">
        <f>"无人机应用技术"</f>
        <v>无人机应用技术</v>
      </c>
      <c r="G4410" s="1" t="str">
        <f>"河南省南阳市南召县留山镇黄楝村"</f>
        <v>河南省南阳市南召县留山镇黄楝村</v>
      </c>
      <c r="H4410" s="1" t="str">
        <f t="shared" ref="H4410:H4412" si="2186">"无"</f>
        <v>无</v>
      </c>
      <c r="I4410" s="1" t="str">
        <f>"201809——202107，在河南工业职业技术学院就读，学院是自动化工程学院，学习的专业是无人机应用技术。全日制学历。"</f>
        <v>201809——202107，在河南工业职业技术学院就读，学院是自动化工程学院，学习的专业是无人机应用技术。全日制学历。</v>
      </c>
    </row>
    <row r="4411" spans="1:9">
      <c r="A4411" s="1" t="str">
        <f>"411303199805024514"</f>
        <v>411303199805024514</v>
      </c>
      <c r="B4411" s="1" t="str">
        <f t="shared" si="2184"/>
        <v>群众</v>
      </c>
      <c r="C4411" s="1" t="str">
        <f t="shared" ref="C4411:C4415" si="2187">"本科"</f>
        <v>本科</v>
      </c>
      <c r="D4411" s="1" t="str">
        <f>"20220701"</f>
        <v>20220701</v>
      </c>
      <c r="E4411" s="1" t="str">
        <f>"南阳理工学院"</f>
        <v>南阳理工学院</v>
      </c>
      <c r="F4411" s="1" t="str">
        <f>"财务管理"</f>
        <v>财务管理</v>
      </c>
      <c r="G4411" s="1" t="str">
        <f>"河南省南阳市建设路138号"</f>
        <v>河南省南阳市建设路138号</v>
      </c>
      <c r="H4411" s="1" t="str">
        <f t="shared" si="2186"/>
        <v>无</v>
      </c>
      <c r="I4411" s="1" t="str">
        <f>"201609-201909福建对外经济贸易职业技术学院全日制就读。
202003-202207南阳理工学院函授就读
"</f>
        <v>201609-201909福建对外经济贸易职业技术学院全日制就读。
202003-202207南阳理工学院函授就读
</v>
      </c>
    </row>
    <row r="4412" spans="1:9">
      <c r="A4412" s="1" t="str">
        <f>"420684199910061523"</f>
        <v>420684199910061523</v>
      </c>
      <c r="B4412" s="1" t="str">
        <f t="shared" si="2184"/>
        <v>群众</v>
      </c>
      <c r="C4412" s="1" t="str">
        <f t="shared" si="2185"/>
        <v>专科</v>
      </c>
      <c r="D4412" s="1" t="str">
        <f>"2021.06.19"</f>
        <v>2021.06.19</v>
      </c>
      <c r="E4412" s="1" t="str">
        <f>"武昌职业学院"</f>
        <v>武昌职业学院</v>
      </c>
      <c r="F4412" s="1" t="str">
        <f>"学前教育"</f>
        <v>学前教育</v>
      </c>
      <c r="G4412" s="1" t="str">
        <f>"湖北省襄阳市襄城区金色营盘"</f>
        <v>湖北省襄阳市襄城区金色营盘</v>
      </c>
      <c r="H4412" s="1" t="str">
        <f t="shared" si="2186"/>
        <v>无</v>
      </c>
      <c r="I4412" s="1" t="str">
        <f>"2018.09-2021.06 武昌职业学院就读（全日制学历）
2021.06-2022.01 九集中心幼儿园（实习）
2022.04-至今 襄城区行政审批局工作人员"</f>
        <v>2018.09-2021.06 武昌职业学院就读（全日制学历）
2021.06-2022.01 九集中心幼儿园（实习）
2022.04-至今 襄城区行政审批局工作人员</v>
      </c>
    </row>
    <row r="4413" spans="1:9">
      <c r="A4413" s="1" t="str">
        <f>"411327200407190011"</f>
        <v>411327200407190011</v>
      </c>
      <c r="B4413" s="1" t="str">
        <f t="shared" si="2184"/>
        <v>群众</v>
      </c>
      <c r="C4413" s="1" t="str">
        <f t="shared" si="2185"/>
        <v>专科</v>
      </c>
      <c r="D4413" s="1" t="str">
        <f>"2025-07-01"</f>
        <v>2025-07-01</v>
      </c>
      <c r="E4413" s="1" t="str">
        <f>"平顶山工业职业技术学院"</f>
        <v>平顶山工业职业技术学院</v>
      </c>
      <c r="F4413" s="1" t="str">
        <f>"大数据与会计"</f>
        <v>大数据与会计</v>
      </c>
      <c r="G4413" s="1" t="str">
        <f>"南阳市内乡县"</f>
        <v>南阳市内乡县</v>
      </c>
      <c r="H4413" s="1" t="str">
        <f>"供应链管理师三级"</f>
        <v>供应链管理师三级</v>
      </c>
      <c r="I4413" s="1" t="str">
        <f>"2022.09——2025.06在平顶山工业职业技术学院大数据与会计专业就读"</f>
        <v>2022.09——2025.06在平顶山工业职业技术学院大数据与会计专业就读</v>
      </c>
    </row>
    <row r="4414" spans="1:9">
      <c r="A4414" s="1" t="str">
        <f>"411325200109166029"</f>
        <v>411325200109166029</v>
      </c>
      <c r="B4414" s="1" t="str">
        <f t="shared" ref="B4414:B4417" si="2188">"共青团员"</f>
        <v>共青团员</v>
      </c>
      <c r="C4414" s="1" t="str">
        <f t="shared" si="2187"/>
        <v>本科</v>
      </c>
      <c r="D4414" s="1" t="str">
        <f>"20240701"</f>
        <v>20240701</v>
      </c>
      <c r="E4414" s="1" t="str">
        <f>"河南财经政法大学"</f>
        <v>河南财经政法大学</v>
      </c>
      <c r="F4414" s="1" t="str">
        <f>"汉语言文学"</f>
        <v>汉语言文学</v>
      </c>
      <c r="G4414" s="1" t="str">
        <f>"河南省南阳市唐河县上屯镇官庄村穆庄8组147号"</f>
        <v>河南省南阳市唐河县上屯镇官庄村穆庄8组147号</v>
      </c>
      <c r="H4414" s="1" t="str">
        <f>"英语六级"</f>
        <v>英语六级</v>
      </c>
      <c r="I4414" s="1" t="str">
        <f>"202009-202407   河南财经政法大学  文化传播学院  汉语言文学专业   全日制"</f>
        <v>202009-202407   河南财经政法大学  文化传播学院  汉语言文学专业   全日制</v>
      </c>
    </row>
    <row r="4415" spans="1:9">
      <c r="A4415" s="1" t="str">
        <f>"412724200304280368"</f>
        <v>412724200304280368</v>
      </c>
      <c r="B4415" s="1" t="str">
        <f t="shared" si="2188"/>
        <v>共青团员</v>
      </c>
      <c r="C4415" s="1" t="str">
        <f t="shared" si="2187"/>
        <v>本科</v>
      </c>
      <c r="D4415" s="1" t="str">
        <f>"20240617"</f>
        <v>20240617</v>
      </c>
      <c r="E4415" s="1" t="str">
        <f>"天津科技大学"</f>
        <v>天津科技大学</v>
      </c>
      <c r="F4415" s="1" t="str">
        <f>"计算机科学与技术"</f>
        <v>计算机科学与技术</v>
      </c>
      <c r="G4415" s="1" t="str">
        <f>"河南省周口市太康县"</f>
        <v>河南省周口市太康县</v>
      </c>
      <c r="H4415" s="1" t="str">
        <f t="shared" ref="H4415:H4418" si="2189">"无"</f>
        <v>无</v>
      </c>
      <c r="I4415" s="1" t="str">
        <f>"202009-202406 天津科技大学人工智能学院计算机科学与技术专业 就读 全日制学历 ；202406至今在河南省周口市太康县待业"</f>
        <v>202009-202406 天津科技大学人工智能学院计算机科学与技术专业 就读 全日制学历 ；202406至今在河南省周口市太康县待业</v>
      </c>
    </row>
    <row r="4416" spans="1:9">
      <c r="A4416" s="1" t="str">
        <f>"411324200312203247"</f>
        <v>411324200312203247</v>
      </c>
      <c r="B4416" s="1" t="str">
        <f>"群众"</f>
        <v>群众</v>
      </c>
      <c r="C4416" s="1" t="str">
        <f t="shared" ref="C4416:C4420" si="2190">"专科"</f>
        <v>专科</v>
      </c>
      <c r="D4416" s="1" t="str">
        <f>"2024.06"</f>
        <v>2024.06</v>
      </c>
      <c r="E4416" s="1" t="str">
        <f>"新乡学院"</f>
        <v>新乡学院</v>
      </c>
      <c r="F4416" s="1" t="str">
        <f>"小学数学教育专业"</f>
        <v>小学数学教育专业</v>
      </c>
      <c r="G4416" s="1" t="str">
        <f>"河南省南阳市镇平县中科幼儿园南200米"</f>
        <v>河南省南阳市镇平县中科幼儿园南200米</v>
      </c>
      <c r="H4416" s="1" t="str">
        <f t="shared" si="2189"/>
        <v>无</v>
      </c>
      <c r="I4416" s="1" t="str">
        <f>"2021.09-2024.06 毕业于新乡学院 全日制
2025.09-至今  南阳师范学院就读  非全日制"</f>
        <v>2021.09-2024.06 毕业于新乡学院 全日制
2025.09-至今  南阳师范学院就读  非全日制</v>
      </c>
    </row>
    <row r="4417" spans="1:9">
      <c r="A4417" s="1" t="str">
        <f>"411330200308230012"</f>
        <v>411330200308230012</v>
      </c>
      <c r="B4417" s="1" t="str">
        <f t="shared" si="2188"/>
        <v>共青团员</v>
      </c>
      <c r="C4417" s="1" t="str">
        <f t="shared" ref="C4417:C4424" si="2191">"本科"</f>
        <v>本科</v>
      </c>
      <c r="D4417" s="1" t="str">
        <f>"2025-06-08"</f>
        <v>2025-06-08</v>
      </c>
      <c r="E4417" s="1" t="str">
        <f>"河南科技大学"</f>
        <v>河南科技大学</v>
      </c>
      <c r="F4417" s="1" t="str">
        <f>"数据科学与大数据技术"</f>
        <v>数据科学与大数据技术</v>
      </c>
      <c r="G4417" s="1" t="str">
        <f>"2170753477@qq.com"</f>
        <v>2170753477@qq.com</v>
      </c>
      <c r="H4417" s="1" t="str">
        <f t="shared" si="2189"/>
        <v>无</v>
      </c>
      <c r="I4417" s="1" t="str">
        <f>"202109-202506 在河南科技大学数学与统计学院数据科学与大数据技术专业就读，是全日制学历"</f>
        <v>202109-202506 在河南科技大学数学与统计学院数据科学与大数据技术专业就读，是全日制学历</v>
      </c>
    </row>
    <row r="4418" spans="1:9">
      <c r="A4418" s="1" t="str">
        <f>"411327200312082018"</f>
        <v>411327200312082018</v>
      </c>
      <c r="B4418" s="1" t="str">
        <f>"群众"</f>
        <v>群众</v>
      </c>
      <c r="C4418" s="1" t="str">
        <f t="shared" si="2190"/>
        <v>专科</v>
      </c>
      <c r="D4418" s="1" t="str">
        <f>"20260607"</f>
        <v>20260607</v>
      </c>
      <c r="E4418" s="1" t="str">
        <f>"郑州轨道工程职业学院"</f>
        <v>郑州轨道工程职业学院</v>
      </c>
      <c r="F4418" s="1" t="str">
        <f>"城市轨道交通通信信号技术"</f>
        <v>城市轨道交通通信信号技术</v>
      </c>
      <c r="G4418" s="1" t="str">
        <f>"河南省内乡县湍东镇建业龙城"</f>
        <v>河南省内乡县湍东镇建业龙城</v>
      </c>
      <c r="H4418" s="1" t="str">
        <f t="shared" si="2189"/>
        <v>无</v>
      </c>
      <c r="I4418" s="1" t="str">
        <f>"202309-202606 郑州轨道工程职业学院 信息工程系 城市轨道交通通信信号技术专业就读 全日制学历 无中断 "</f>
        <v>202309-202606 郑州轨道工程职业学院 信息工程系 城市轨道交通通信信号技术专业就读 全日制学历 无中断 </v>
      </c>
    </row>
    <row r="4419" spans="1:9">
      <c r="A4419" s="1" t="str">
        <f>"411327200312020060"</f>
        <v>411327200312020060</v>
      </c>
      <c r="B4419" s="1" t="str">
        <f>"中共党员"</f>
        <v>中共党员</v>
      </c>
      <c r="C4419" s="1" t="str">
        <f t="shared" si="2190"/>
        <v>专科</v>
      </c>
      <c r="D4419" s="1" t="str">
        <f>"20250615"</f>
        <v>20250615</v>
      </c>
      <c r="E4419" s="1" t="str">
        <f>"南阳农业职业学院"</f>
        <v>南阳农业职业学院</v>
      </c>
      <c r="F4419" s="1" t="str">
        <f>"动物防疫与检疫"</f>
        <v>动物防疫与检疫</v>
      </c>
      <c r="G4419" s="1" t="str">
        <f>"河南省南阳市内乡县城关镇菊园小区北区466号"</f>
        <v>河南省南阳市内乡县城关镇菊园小区北区466号</v>
      </c>
      <c r="H4419" s="1" t="str">
        <f>"动物疫病防治员 高级工"</f>
        <v>动物疫病防治员 高级工</v>
      </c>
      <c r="I4419" s="1" t="str">
        <f>"201009-201606 内乡县五小学校就读
201609-201906 内乡县实验中学学校就读
201909-202206 内乡职专学校就读
202209-202506 南阳农业职业学院学校牧医工程学院动物防疫与检疫专业就读"</f>
        <v>201009-201606 内乡县五小学校就读
201609-201906 内乡县实验中学学校就读
201909-202206 内乡职专学校就读
202209-202506 南阳农业职业学院学校牧医工程学院动物防疫与检疫专业就读</v>
      </c>
    </row>
    <row r="4420" spans="1:9">
      <c r="A4420" s="1" t="str">
        <f>"411330200203242017"</f>
        <v>411330200203242017</v>
      </c>
      <c r="B4420" s="1" t="str">
        <f t="shared" ref="B4420:B4423" si="2192">"共青团员"</f>
        <v>共青团员</v>
      </c>
      <c r="C4420" s="1" t="str">
        <f t="shared" si="2190"/>
        <v>专科</v>
      </c>
      <c r="D4420" s="1" t="str">
        <f t="shared" ref="D4420:D4424" si="2193">"20230701"</f>
        <v>20230701</v>
      </c>
      <c r="E4420" s="1" t="str">
        <f>"郑州商学院"</f>
        <v>郑州商学院</v>
      </c>
      <c r="F4420" s="1" t="str">
        <f>"酒店管理"</f>
        <v>酒店管理</v>
      </c>
      <c r="G4420" s="1" t="str">
        <f>"河南省南阳市西峡县五里桥镇封店村"</f>
        <v>河南省南阳市西峡县五里桥镇封店村</v>
      </c>
      <c r="H4420" s="1" t="str">
        <f t="shared" ref="H4420:H4422" si="2194">"无"</f>
        <v>无</v>
      </c>
      <c r="I4420" s="1" t="str">
        <f>"202010-202307郑州商学院就读工商管理学院酒店管理专业全日制"</f>
        <v>202010-202307郑州商学院就读工商管理学院酒店管理专业全日制</v>
      </c>
    </row>
    <row r="4421" spans="1:9">
      <c r="A4421" s="1" t="str">
        <f>"411330200210250015"</f>
        <v>411330200210250015</v>
      </c>
      <c r="B4421" s="1" t="str">
        <f t="shared" si="2192"/>
        <v>共青团员</v>
      </c>
      <c r="C4421" s="1" t="str">
        <f t="shared" si="2191"/>
        <v>本科</v>
      </c>
      <c r="D4421" s="1" t="str">
        <f>"20250620"</f>
        <v>20250620</v>
      </c>
      <c r="E4421" s="1" t="str">
        <f>"郑州航空工业管理学院"</f>
        <v>郑州航空工业管理学院</v>
      </c>
      <c r="F4421" s="1" t="str">
        <f>"电子信息工程"</f>
        <v>电子信息工程</v>
      </c>
      <c r="G4421" s="1" t="str">
        <f>"河南省南阳市西峡县白羽北路金玫瑰花苑"</f>
        <v>河南省南阳市西峡县白羽北路金玫瑰花苑</v>
      </c>
      <c r="H4421" s="1" t="str">
        <f t="shared" si="2194"/>
        <v>无</v>
      </c>
      <c r="I4421" s="1" t="str">
        <f>"202109-202506 郑州航空工业管理学院电子信息学院电子信息工程就读 全日制学历"</f>
        <v>202109-202506 郑州航空工业管理学院电子信息学院电子信息工程就读 全日制学历</v>
      </c>
    </row>
    <row r="4422" spans="1:9">
      <c r="A4422" s="1" t="str">
        <f>"411326199006192815"</f>
        <v>411326199006192815</v>
      </c>
      <c r="B4422" s="1" t="str">
        <f t="shared" ref="B4422:B4425" si="2195">"群众"</f>
        <v>群众</v>
      </c>
      <c r="C4422" s="1" t="str">
        <f t="shared" si="2191"/>
        <v>本科</v>
      </c>
      <c r="D4422" s="1" t="str">
        <f>"20140701"</f>
        <v>20140701</v>
      </c>
      <c r="E4422" s="1" t="str">
        <f>"东北林业大学"</f>
        <v>东北林业大学</v>
      </c>
      <c r="F4422" s="1" t="str">
        <f>"计算机科学与技术"</f>
        <v>计算机科学与技术</v>
      </c>
      <c r="G4422" s="1" t="str">
        <f>"河南省南阳市卧龙区张衡街道茹楼社区"</f>
        <v>河南省南阳市卧龙区张衡街道茹楼社区</v>
      </c>
      <c r="H4422" s="1" t="str">
        <f t="shared" si="2194"/>
        <v>无</v>
      </c>
      <c r="I4422" s="1" t="str">
        <f>"201009-201406 东北林业大学 信息技术学院 计算机科学与技术 全日制本科"</f>
        <v>201009-201406 东北林业大学 信息技术学院 计算机科学与技术 全日制本科</v>
      </c>
    </row>
    <row r="4423" spans="1:9">
      <c r="A4423" s="1" t="str">
        <f>"411303200108236787"</f>
        <v>411303200108236787</v>
      </c>
      <c r="B4423" s="1" t="str">
        <f t="shared" si="2192"/>
        <v>共青团员</v>
      </c>
      <c r="C4423" s="1" t="str">
        <f t="shared" si="2191"/>
        <v>本科</v>
      </c>
      <c r="D4423" s="1" t="str">
        <f t="shared" si="2193"/>
        <v>20230701</v>
      </c>
      <c r="E4423" s="1" t="str">
        <f>"河南理工大学"</f>
        <v>河南理工大学</v>
      </c>
      <c r="F4423" s="1" t="str">
        <f>"数学与应用数学"</f>
        <v>数学与应用数学</v>
      </c>
      <c r="G4423" s="1" t="str">
        <f>"河南省南阳市卧龙区茅岗屯183号"</f>
        <v>河南省南阳市卧龙区茅岗屯183号</v>
      </c>
      <c r="H4423" s="1" t="str">
        <f>"计算机三级"</f>
        <v>计算机三级</v>
      </c>
      <c r="I4423" s="1" t="str">
        <f>"201909-202307 河南理工大学数学与信息科学学院数学与应用数学专业就读  全日制"</f>
        <v>201909-202307 河南理工大学数学与信息科学学院数学与应用数学专业就读  全日制</v>
      </c>
    </row>
    <row r="4424" spans="1:9">
      <c r="A4424" s="1" t="str">
        <f>"411326200110134426"</f>
        <v>411326200110134426</v>
      </c>
      <c r="B4424" s="1" t="str">
        <f t="shared" si="2195"/>
        <v>群众</v>
      </c>
      <c r="C4424" s="1" t="str">
        <f t="shared" si="2191"/>
        <v>本科</v>
      </c>
      <c r="D4424" s="1" t="str">
        <f t="shared" si="2193"/>
        <v>20230701</v>
      </c>
      <c r="E4424" s="1" t="str">
        <f>"河南工程学院"</f>
        <v>河南工程学院</v>
      </c>
      <c r="F4424" s="1" t="str">
        <f>"环境工程"</f>
        <v>环境工程</v>
      </c>
      <c r="G4424" s="1" t="str">
        <f>"河南省南阳市南召县光明路口凯旋城北门斜岔路口向下"</f>
        <v>河南省南阳市南召县光明路口凯旋城北门斜岔路口向下</v>
      </c>
      <c r="H4424" s="1" t="str">
        <f t="shared" ref="H4424:H4428" si="2196">"无"</f>
        <v>无</v>
      </c>
      <c r="I4424" s="1" t="str">
        <f>"201909-202307河南工程学院环境与生物工程学院环境工程专业就读
202307至今待业"</f>
        <v>201909-202307河南工程学院环境与生物工程学院环境工程专业就读
202307至今待业</v>
      </c>
    </row>
    <row r="4425" spans="1:9">
      <c r="A4425" s="1" t="str">
        <f>"411422199005061661"</f>
        <v>411422199005061661</v>
      </c>
      <c r="B4425" s="1" t="str">
        <f t="shared" si="2195"/>
        <v>群众</v>
      </c>
      <c r="C4425" s="1" t="str">
        <f>"专科"</f>
        <v>专科</v>
      </c>
      <c r="D4425" s="1" t="str">
        <f>"2022年07月20日"</f>
        <v>2022年07月20日</v>
      </c>
      <c r="E4425" s="1" t="str">
        <f>"国家开放大学"</f>
        <v>国家开放大学</v>
      </c>
      <c r="F4425" s="1" t="str">
        <f>"小学教育"</f>
        <v>小学教育</v>
      </c>
      <c r="G4425" s="1" t="str">
        <f>"河南商丘睢县"</f>
        <v>河南商丘睢县</v>
      </c>
      <c r="H4425" s="1" t="str">
        <f t="shared" si="2196"/>
        <v>无</v>
      </c>
      <c r="I4425" s="1" t="str">
        <f>"2020年03月—2022年07月 国家开放大学  小学教育专业"</f>
        <v>2020年03月—2022年07月 国家开放大学  小学教育专业</v>
      </c>
    </row>
    <row r="4426" spans="1:9">
      <c r="A4426" s="1" t="str">
        <f>"411325199908131521"</f>
        <v>411325199908131521</v>
      </c>
      <c r="B4426" s="1" t="str">
        <f>"中共党员"</f>
        <v>中共党员</v>
      </c>
      <c r="C4426" s="1" t="str">
        <f>"硕士研究生"</f>
        <v>硕士研究生</v>
      </c>
      <c r="D4426" s="1" t="str">
        <f>"20250612"</f>
        <v>20250612</v>
      </c>
      <c r="E4426" s="1" t="str">
        <f>"福建农林大学"</f>
        <v>福建农林大学</v>
      </c>
      <c r="F4426" s="1" t="str">
        <f>"生物学"</f>
        <v>生物学</v>
      </c>
      <c r="G4426" s="1" t="str">
        <f>"河南省南阳市内乡县湍东镇张岗村"</f>
        <v>河南省南阳市内乡县湍东镇张岗村</v>
      </c>
      <c r="H4426" s="1" t="str">
        <f t="shared" si="2196"/>
        <v>无</v>
      </c>
      <c r="I4426" s="1" t="str">
        <f>"201809-202206 河南科技学院生命科学学院生物技术专业就读，全日制本科
202209-202506 福建农林大学生命科学学院生物学就读，全日制硕士
202506-202507 在河南省南阳市内乡县待业"</f>
        <v>201809-202206 河南科技学院生命科学学院生物技术专业就读，全日制本科
202209-202506 福建农林大学生命科学学院生物学就读，全日制硕士
202506-202507 在河南省南阳市内乡县待业</v>
      </c>
    </row>
    <row r="4427" spans="1:9">
      <c r="A4427" s="1" t="str">
        <f>"411327199802250023"</f>
        <v>411327199802250023</v>
      </c>
      <c r="B4427" s="1" t="str">
        <f t="shared" ref="B4427:B4429" si="2197">"群众"</f>
        <v>群众</v>
      </c>
      <c r="C4427" s="1" t="str">
        <f>"专科"</f>
        <v>专科</v>
      </c>
      <c r="D4427" s="1" t="str">
        <f>"20230630"</f>
        <v>20230630</v>
      </c>
      <c r="E4427" s="1" t="str">
        <f>"开封大学"</f>
        <v>开封大学</v>
      </c>
      <c r="F4427" s="1" t="str">
        <f>"口腔医学"</f>
        <v>口腔医学</v>
      </c>
      <c r="G4427" s="1" t="str">
        <f>"河南省南阳市内乡县"</f>
        <v>河南省南阳市内乡县</v>
      </c>
      <c r="H4427" s="1" t="str">
        <f t="shared" si="2196"/>
        <v>无</v>
      </c>
      <c r="I4427" s="1" t="str">
        <f>"202010-202306开封大学口腔医学专业，全日制"</f>
        <v>202010-202306开封大学口腔医学专业，全日制</v>
      </c>
    </row>
    <row r="4428" spans="1:9">
      <c r="A4428" s="1" t="str">
        <f>"142702199305053045"</f>
        <v>142702199305053045</v>
      </c>
      <c r="B4428" s="1" t="str">
        <f t="shared" si="2197"/>
        <v>群众</v>
      </c>
      <c r="C4428" s="1" t="str">
        <f t="shared" ref="C4428:C4434" si="2198">"本科"</f>
        <v>本科</v>
      </c>
      <c r="D4428" s="1" t="str">
        <f>"20180619"</f>
        <v>20180619</v>
      </c>
      <c r="E4428" s="1" t="str">
        <f>"天津城建大学"</f>
        <v>天津城建大学</v>
      </c>
      <c r="F4428" s="1" t="str">
        <f>"软件工程"</f>
        <v>软件工程</v>
      </c>
      <c r="G4428" s="1" t="str">
        <f>"山西省运城市永济市开张镇古城村"</f>
        <v>山西省运城市永济市开张镇古城村</v>
      </c>
      <c r="H4428" s="1" t="str">
        <f t="shared" si="2196"/>
        <v>无</v>
      </c>
      <c r="I4428" s="1" t="str">
        <f>"201309-201606 天津公安警官职业学院（信息网络安全监察专业） 就读；201609-201806 天津城建大学（软件工程专业） 就读；201808-202404 大宇宙信息创造（中国）有限公司 工作；202405-至今待业。"</f>
        <v>201309-201606 天津公安警官职业学院（信息网络安全监察专业） 就读；201609-201806 天津城建大学（软件工程专业） 就读；201808-202404 大宇宙信息创造（中国）有限公司 工作；202405-至今待业。</v>
      </c>
    </row>
    <row r="4429" spans="1:9">
      <c r="A4429" s="1" t="str">
        <f>"41132720020713201X"</f>
        <v>41132720020713201X</v>
      </c>
      <c r="B4429" s="1" t="str">
        <f t="shared" si="2197"/>
        <v>群众</v>
      </c>
      <c r="C4429" s="1" t="str">
        <f t="shared" si="2198"/>
        <v>本科</v>
      </c>
      <c r="D4429" s="1" t="str">
        <f>"2024-06-25"</f>
        <v>2024-06-25</v>
      </c>
      <c r="E4429" s="1" t="str">
        <f>"郑州西亚斯学院"</f>
        <v>郑州西亚斯学院</v>
      </c>
      <c r="F4429" s="1" t="str">
        <f>"法学"</f>
        <v>法学</v>
      </c>
      <c r="G4429" s="1" t="str">
        <f>"河南省内乡县万事达小区"</f>
        <v>河南省内乡县万事达小区</v>
      </c>
      <c r="H4429" s="1" t="str">
        <f>"法律职业资格证书"</f>
        <v>法律职业资格证书</v>
      </c>
      <c r="I4429" s="1" t="str">
        <f>"202009-202406 郑州西亚斯学校就读  法学院法学专业
202406-202408 列里律师事务所
202508-202506 待业
"</f>
        <v>202009-202406 郑州西亚斯学校就读  法学院法学专业
202406-202408 列里律师事务所
202508-202506 待业
</v>
      </c>
    </row>
    <row r="4430" spans="1:9">
      <c r="A4430" s="1" t="str">
        <f>"36253120000104063X"</f>
        <v>36253120000104063X</v>
      </c>
      <c r="B4430" s="1" t="str">
        <f>"共青团员"</f>
        <v>共青团员</v>
      </c>
      <c r="C4430" s="1" t="str">
        <f t="shared" si="2198"/>
        <v>本科</v>
      </c>
      <c r="D4430" s="1" t="str">
        <f>"20230607"</f>
        <v>20230607</v>
      </c>
      <c r="E4430" s="1" t="str">
        <f>"华东交通大学"</f>
        <v>华东交通大学</v>
      </c>
      <c r="F4430" s="1" t="str">
        <f>"土木工程"</f>
        <v>土木工程</v>
      </c>
      <c r="G4430" s="1" t="str">
        <f>"江西省抚州市东乡区碧桂花园1栋三单元301"</f>
        <v>江西省抚州市东乡区碧桂花园1栋三单元301</v>
      </c>
      <c r="H4430" s="1" t="str">
        <f t="shared" ref="H4430:H4440" si="2199">"无"</f>
        <v>无</v>
      </c>
      <c r="I4430" s="1" t="str">
        <f>"2018年9月-2021年6月， 江西交通职业技术学院，道路系，道路桥梁工程技术专业，专科， 全日制学历
2021年9月-2023年6月 ，华东交通大学，土木系，土木工程专业，本科， 全日制学历
2023年6月-至今待业"</f>
        <v>2018年9月-2021年6月， 江西交通职业技术学院，道路系，道路桥梁工程技术专业，专科， 全日制学历
2021年9月-2023年6月 ，华东交通大学，土木系，土木工程专业，本科， 全日制学历
2023年6月-至今待业</v>
      </c>
    </row>
    <row r="4431" spans="1:9">
      <c r="A4431" s="1" t="str">
        <f>"411327200005040029"</f>
        <v>411327200005040029</v>
      </c>
      <c r="B4431" s="1" t="str">
        <f t="shared" ref="B4431:B4433" si="2200">"群众"</f>
        <v>群众</v>
      </c>
      <c r="C4431" s="1" t="str">
        <f t="shared" si="2198"/>
        <v>本科</v>
      </c>
      <c r="D4431" s="1" t="str">
        <f>"20240617"</f>
        <v>20240617</v>
      </c>
      <c r="E4431" s="1" t="str">
        <f>"郑州工商学院"</f>
        <v>郑州工商学院</v>
      </c>
      <c r="F4431" s="1" t="str">
        <f>"法学"</f>
        <v>法学</v>
      </c>
      <c r="G4431" s="1" t="str">
        <f>"河南省南阳市内乡县湍东水岸豪庭"</f>
        <v>河南省南阳市内乡县湍东水岸豪庭</v>
      </c>
      <c r="H4431" s="1" t="str">
        <f t="shared" si="2199"/>
        <v>无</v>
      </c>
      <c r="I4431" s="1" t="str">
        <f>"201909-202206 河南工程学院 法律事务 全日制
202209-202406 郑州工商学院 法学 全日制"</f>
        <v>201909-202206 河南工程学院 法律事务 全日制
202209-202406 郑州工商学院 法学 全日制</v>
      </c>
    </row>
    <row r="4432" spans="1:9">
      <c r="A4432" s="1" t="str">
        <f>"410326200011141048"</f>
        <v>410326200011141048</v>
      </c>
      <c r="B4432" s="1" t="str">
        <f t="shared" si="2200"/>
        <v>群众</v>
      </c>
      <c r="C4432" s="1" t="str">
        <f t="shared" si="2198"/>
        <v>本科</v>
      </c>
      <c r="D4432" s="1" t="str">
        <f>"20240606"</f>
        <v>20240606</v>
      </c>
      <c r="E4432" s="1" t="str">
        <f>"河南大学民生学院"</f>
        <v>河南大学民生学院</v>
      </c>
      <c r="F4432" s="1" t="str">
        <f>"旅游管理"</f>
        <v>旅游管理</v>
      </c>
      <c r="G4432" s="1" t="str">
        <f>"河南省洛阳市汝阳县"</f>
        <v>河南省洛阳市汝阳县</v>
      </c>
      <c r="H4432" s="1" t="str">
        <f>"普通话二级甲等、大学英语四级"</f>
        <v>普通话二级甲等、大学英语四级</v>
      </c>
      <c r="I4432" s="1" t="str">
        <f>"2020年9月至2024年6月在河南大学民生学院商学院旅游管理专业就读，是全日制学历。"</f>
        <v>2020年9月至2024年6月在河南大学民生学院商学院旅游管理专业就读，是全日制学历。</v>
      </c>
    </row>
    <row r="4433" spans="1:9">
      <c r="A4433" s="1" t="str">
        <f>"410922199712282726"</f>
        <v>410922199712282726</v>
      </c>
      <c r="B4433" s="1" t="str">
        <f t="shared" si="2200"/>
        <v>群众</v>
      </c>
      <c r="C4433" s="1" t="str">
        <f t="shared" si="2198"/>
        <v>本科</v>
      </c>
      <c r="D4433" s="1" t="str">
        <f>"2024.07"</f>
        <v>2024.07</v>
      </c>
      <c r="E4433" s="1" t="str">
        <f>"洛阳理工学院"</f>
        <v>洛阳理工学院</v>
      </c>
      <c r="F4433" s="1" t="str">
        <f>"工商管理"</f>
        <v>工商管理</v>
      </c>
      <c r="G4433" s="1" t="str">
        <f>"河南省濮阳市清丰县朝阳路"</f>
        <v>河南省濮阳市清丰县朝阳路</v>
      </c>
      <c r="H4433" s="1" t="str">
        <f t="shared" si="2199"/>
        <v>无</v>
      </c>
      <c r="I4433" s="1" t="str">
        <f>"2016.09-2019.07  濮阳职业技术学院  人文系语文教育就读 全日制
2019.09-2022.02 自由职业者
2022.03-2024.07 洛阳理工学院经济管理学院 工商管理  非全日制
2024.07-至今 自由职业者"</f>
        <v>2016.09-2019.07  濮阳职业技术学院  人文系语文教育就读 全日制
2019.09-2022.02 自由职业者
2022.03-2024.07 洛阳理工学院经济管理学院 工商管理  非全日制
2024.07-至今 自由职业者</v>
      </c>
    </row>
    <row r="4434" spans="1:9">
      <c r="A4434" s="1" t="str">
        <f>"411326199810245826"</f>
        <v>411326199810245826</v>
      </c>
      <c r="B4434" s="1" t="str">
        <f t="shared" ref="B4434:B4440" si="2201">"共青团员"</f>
        <v>共青团员</v>
      </c>
      <c r="C4434" s="1" t="str">
        <f t="shared" si="2198"/>
        <v>本科</v>
      </c>
      <c r="D4434" s="1" t="str">
        <f>"20220701"</f>
        <v>20220701</v>
      </c>
      <c r="E4434" s="1" t="str">
        <f>"郑州升达经贸管理学院"</f>
        <v>郑州升达经贸管理学院</v>
      </c>
      <c r="F4434" s="1" t="str">
        <f>"土木工程专业"</f>
        <v>土木工程专业</v>
      </c>
      <c r="G4434" s="1" t="str">
        <f>"河南省郑州市二七区嵩山路街道亚星盛世悦都五号楼"</f>
        <v>河南省郑州市二七区嵩山路街道亚星盛世悦都五号楼</v>
      </c>
      <c r="H4434" s="1" t="str">
        <f t="shared" si="2199"/>
        <v>无</v>
      </c>
      <c r="I4434" s="1" t="str">
        <f>"201709-202007 河南交通职业技术学院 工程造价专业 全日制学历
202009-202207 郑州升达经贸管理学院 土木工程专业 全日制学历"</f>
        <v>201709-202007 河南交通职业技术学院 工程造价专业 全日制学历
202009-202207 郑州升达经贸管理学院 土木工程专业 全日制学历</v>
      </c>
    </row>
    <row r="4435" spans="1:9">
      <c r="A4435" s="1" t="str">
        <f>"411327199508154524"</f>
        <v>411327199508154524</v>
      </c>
      <c r="B4435" s="1" t="str">
        <f>"群众"</f>
        <v>群众</v>
      </c>
      <c r="C4435" s="1" t="str">
        <f>"专科"</f>
        <v>专科</v>
      </c>
      <c r="D4435" s="1" t="str">
        <f>"20210701"</f>
        <v>20210701</v>
      </c>
      <c r="E4435" s="1" t="str">
        <f>"新乡学院"</f>
        <v>新乡学院</v>
      </c>
      <c r="F4435" s="1" t="str">
        <f>"语文教育"</f>
        <v>语文教育</v>
      </c>
      <c r="G4435" s="1" t="str">
        <f>"内乡县邮政广场清雅斋巷子内100米"</f>
        <v>内乡县邮政广场清雅斋巷子内100米</v>
      </c>
      <c r="H4435" s="1" t="str">
        <f t="shared" si="2199"/>
        <v>无</v>
      </c>
      <c r="I4435" s="1" t="str">
        <f>"20190302-20210701   新乡学院就读，为语文教育专业，非全日制学历。
20210901-20250701    在萌芽幼儿园任职。"</f>
        <v>20190302-20210701   新乡学院就读，为语文教育专业，非全日制学历。
20210901-20250701    在萌芽幼儿园任职。</v>
      </c>
    </row>
    <row r="4436" spans="1:9">
      <c r="A4436" s="1" t="str">
        <f>"411330200102021557"</f>
        <v>411330200102021557</v>
      </c>
      <c r="B4436" s="1" t="str">
        <f t="shared" si="2201"/>
        <v>共青团员</v>
      </c>
      <c r="C4436" s="1" t="str">
        <f t="shared" ref="C4436:C4444" si="2202">"本科"</f>
        <v>本科</v>
      </c>
      <c r="D4436" s="1" t="str">
        <f>"20240607"</f>
        <v>20240607</v>
      </c>
      <c r="E4436" s="1" t="str">
        <f>"郑州经贸学院"</f>
        <v>郑州经贸学院</v>
      </c>
      <c r="F4436" s="1" t="str">
        <f>"机械设计制造及其自动化"</f>
        <v>机械设计制造及其自动化</v>
      </c>
      <c r="G4436" s="1" t="str">
        <f>"河南省南阳市西峡县城关镇北关二巷1号"</f>
        <v>河南省南阳市西峡县城关镇北关二巷1号</v>
      </c>
      <c r="H4436" s="1" t="str">
        <f t="shared" si="2199"/>
        <v>无</v>
      </c>
      <c r="I4436" s="1" t="str">
        <f>"201909-202206 河南工程学院机械工程学院机电一体化技术专业就读，全日制专科
202209-202406 郑州经贸学院智慧制造学院机械设计制造及其自动化专业就读，全日制本科"</f>
        <v>201909-202206 河南工程学院机械工程学院机电一体化技术专业就读，全日制专科
202209-202406 郑州经贸学院智慧制造学院机械设计制造及其自动化专业就读，全日制本科</v>
      </c>
    </row>
    <row r="4437" spans="1:9">
      <c r="A4437" s="1" t="str">
        <f>"411327200203173922"</f>
        <v>411327200203173922</v>
      </c>
      <c r="B4437" s="1" t="str">
        <f>"中共党员"</f>
        <v>中共党员</v>
      </c>
      <c r="C4437" s="1" t="str">
        <f t="shared" si="2202"/>
        <v>本科</v>
      </c>
      <c r="D4437" s="1" t="str">
        <f>"20240614"</f>
        <v>20240614</v>
      </c>
      <c r="E4437" s="1" t="str">
        <f>"信阳农林学院"</f>
        <v>信阳农林学院</v>
      </c>
      <c r="F4437" s="1" t="str">
        <f>"农学"</f>
        <v>农学</v>
      </c>
      <c r="G4437" s="1" t="str">
        <f>"河南省南阳市内乡县乍区镇"</f>
        <v>河南省南阳市内乡县乍区镇</v>
      </c>
      <c r="H4437" s="1" t="str">
        <f t="shared" si="2199"/>
        <v>无</v>
      </c>
      <c r="I4437" s="1" t="str">
        <f>"202010-202406 信阳农林学院农学院农学专业就读，全日制学历
202407-202502 在家备考
202503-至今 中以产业园上班"</f>
        <v>202010-202406 信阳农林学院农学院农学专业就读，全日制学历
202407-202502 在家备考
202503-至今 中以产业园上班</v>
      </c>
    </row>
    <row r="4438" spans="1:9">
      <c r="A4438" s="1" t="str">
        <f>"411323200203225838"</f>
        <v>411323200203225838</v>
      </c>
      <c r="B4438" s="1" t="str">
        <f t="shared" si="2201"/>
        <v>共青团员</v>
      </c>
      <c r="C4438" s="1" t="str">
        <f>"专科"</f>
        <v>专科</v>
      </c>
      <c r="D4438" s="1" t="str">
        <f>"2023-06-20"</f>
        <v>2023-06-20</v>
      </c>
      <c r="E4438" s="1" t="str">
        <f>"三门峡社会管理职业学院"</f>
        <v>三门峡社会管理职业学院</v>
      </c>
      <c r="F4438" s="1" t="str">
        <f>"学前教育"</f>
        <v>学前教育</v>
      </c>
      <c r="G4438" s="1" t="str">
        <f>"河南省南阳市淅川县九重镇"</f>
        <v>河南省南阳市淅川县九重镇</v>
      </c>
      <c r="H4438" s="1" t="str">
        <f t="shared" si="2199"/>
        <v>无</v>
      </c>
      <c r="I4438" s="1" t="str">
        <f>"202009-202306 三门峡社会管理职业学院 学前教育 全日制学历
202306-202409 郑州捷成信用服务有限公司
202409-202504 南水北调中线工程
202504-至今  淅川县待业"</f>
        <v>202009-202306 三门峡社会管理职业学院 学前教育 全日制学历
202306-202409 郑州捷成信用服务有限公司
202409-202504 南水北调中线工程
202504-至今  淅川县待业</v>
      </c>
    </row>
    <row r="4439" spans="1:9">
      <c r="A4439" s="1" t="str">
        <f>"411321200303063327"</f>
        <v>411321200303063327</v>
      </c>
      <c r="B4439" s="1" t="str">
        <f t="shared" si="2201"/>
        <v>共青团员</v>
      </c>
      <c r="C4439" s="1" t="str">
        <f t="shared" si="2202"/>
        <v>本科</v>
      </c>
      <c r="D4439" s="1" t="str">
        <f>"2025-07-01"</f>
        <v>2025-07-01</v>
      </c>
      <c r="E4439" s="1" t="str">
        <f>"信阳师范大学"</f>
        <v>信阳师范大学</v>
      </c>
      <c r="F4439" s="1" t="str">
        <f>"思想政治教育"</f>
        <v>思想政治教育</v>
      </c>
      <c r="G4439" s="1" t="str">
        <f>"河南省南阳市南召县石门乡食品站家属院4号"</f>
        <v>河南省南阳市南召县石门乡食品站家属院4号</v>
      </c>
      <c r="H4439" s="1" t="str">
        <f t="shared" si="2199"/>
        <v>无</v>
      </c>
      <c r="I4439" s="1" t="str">
        <f>"202109-202506信阳师范大学就读
2021年9月至2025年6月在信阳师范大学马克思主义学院思想政治教育专业就读
是全日制"</f>
        <v>202109-202506信阳师范大学就读
2021年9月至2025年6月在信阳师范大学马克思主义学院思想政治教育专业就读
是全日制</v>
      </c>
    </row>
    <row r="4440" spans="1:9">
      <c r="A4440" s="1" t="str">
        <f>"41132719990130252X"</f>
        <v>41132719990130252X</v>
      </c>
      <c r="B4440" s="1" t="str">
        <f t="shared" si="2201"/>
        <v>共青团员</v>
      </c>
      <c r="C4440" s="1" t="str">
        <f t="shared" si="2202"/>
        <v>本科</v>
      </c>
      <c r="D4440" s="1" t="str">
        <f>"20220701"</f>
        <v>20220701</v>
      </c>
      <c r="E4440" s="1" t="str">
        <f>"河南财经政法大学"</f>
        <v>河南财经政法大学</v>
      </c>
      <c r="F4440" s="1" t="str">
        <f>"投资学"</f>
        <v>投资学</v>
      </c>
      <c r="G4440" s="1" t="str">
        <f>"河南省南阳市内乡县城关镇维多利亚小区"</f>
        <v>河南省南阳市内乡县城关镇维多利亚小区</v>
      </c>
      <c r="H4440" s="1" t="str">
        <f t="shared" si="2199"/>
        <v>无</v>
      </c>
      <c r="I4440" s="1" t="str">
        <f>"201807-2022-07河南财经政法大学金融学院投资学就读，是全日制学历"</f>
        <v>201807-2022-07河南财经政法大学金融学院投资学就读，是全日制学历</v>
      </c>
    </row>
    <row r="4441" spans="1:9">
      <c r="A4441" s="1" t="str">
        <f>"411327199402150023"</f>
        <v>411327199402150023</v>
      </c>
      <c r="B4441" s="1" t="str">
        <f>"中共党员"</f>
        <v>中共党员</v>
      </c>
      <c r="C4441" s="1" t="str">
        <f t="shared" si="2202"/>
        <v>本科</v>
      </c>
      <c r="D4441" s="1" t="str">
        <f>"20170701"</f>
        <v>20170701</v>
      </c>
      <c r="E4441" s="1" t="str">
        <f>"南阳理工学院"</f>
        <v>南阳理工学院</v>
      </c>
      <c r="F4441" s="1" t="str">
        <f>"工商管理"</f>
        <v>工商管理</v>
      </c>
      <c r="G4441" s="1" t="str">
        <f>"河南省南阳市内乡县锦绣万象城小区"</f>
        <v>河南省南阳市内乡县锦绣万象城小区</v>
      </c>
      <c r="H4441" s="1" t="str">
        <f>"初级会计资格证书"</f>
        <v>初级会计资格证书</v>
      </c>
      <c r="I4441" s="1" t="str">
        <f>"2013.09-2017.07  在南阳理工学院就读工商管理专业  全日制学历
2017.08-2019.03   无
2019.04-2020.03   在南阳浩泰有限公司工作
2020.04-2022.09   在内乡县梦溪商贸有限公司工作
2022.10-至今         在内乡县人民检察院工作"</f>
        <v>2013.09-2017.07  在南阳理工学院就读工商管理专业  全日制学历
2017.08-2019.03   无
2019.04-2020.03   在南阳浩泰有限公司工作
2020.04-2022.09   在内乡县梦溪商贸有限公司工作
2022.10-至今         在内乡县人民检察院工作</v>
      </c>
    </row>
    <row r="4442" spans="1:9">
      <c r="A4442" s="1" t="str">
        <f>"411323199807180049"</f>
        <v>411323199807180049</v>
      </c>
      <c r="B4442" s="1" t="str">
        <f>"共青团员"</f>
        <v>共青团员</v>
      </c>
      <c r="C4442" s="1" t="str">
        <f t="shared" si="2202"/>
        <v>本科</v>
      </c>
      <c r="D4442" s="1" t="str">
        <f>"20200620"</f>
        <v>20200620</v>
      </c>
      <c r="E4442" s="1" t="str">
        <f>"上海建桥学院"</f>
        <v>上海建桥学院</v>
      </c>
      <c r="F4442" s="1" t="str">
        <f>"旅游管理（喜达屋合作班）"</f>
        <v>旅游管理（喜达屋合作班）</v>
      </c>
      <c r="G4442" s="1" t="str">
        <f>"河南省南阳市淅川县灌河路"</f>
        <v>河南省南阳市淅川县灌河路</v>
      </c>
      <c r="H4442" s="1" t="str">
        <f t="shared" ref="H4442:H4452" si="2203">"无"</f>
        <v>无</v>
      </c>
      <c r="I4442" s="1" t="str">
        <f>"201609-202006上海建桥学院旅游管理专业就读。是全日制学历。
202007-202405在上海潘记行贸易有限公司任职。
202506-至今在河南省南阳市淅川县待业。"</f>
        <v>201609-202006上海建桥学院旅游管理专业就读。是全日制学历。
202007-202405在上海潘记行贸易有限公司任职。
202506-至今在河南省南阳市淅川县待业。</v>
      </c>
    </row>
    <row r="4443" spans="1:9">
      <c r="A4443" s="1" t="str">
        <f>"411330200005022523"</f>
        <v>411330200005022523</v>
      </c>
      <c r="B4443" s="1" t="str">
        <f>"共青团员"</f>
        <v>共青团员</v>
      </c>
      <c r="C4443" s="1" t="str">
        <f t="shared" si="2202"/>
        <v>本科</v>
      </c>
      <c r="D4443" s="1" t="str">
        <f>"20230701"</f>
        <v>20230701</v>
      </c>
      <c r="E4443" s="1" t="str">
        <f>"中原工学院信息商务学院"</f>
        <v>中原工学院信息商务学院</v>
      </c>
      <c r="F4443" s="1" t="str">
        <f>"数字媒体艺术"</f>
        <v>数字媒体艺术</v>
      </c>
      <c r="G4443" s="1" t="str">
        <f>"河南省南阳市西峡县丁河镇邪地村"</f>
        <v>河南省南阳市西峡县丁河镇邪地村</v>
      </c>
      <c r="H4443" s="1" t="str">
        <f t="shared" si="2203"/>
        <v>无</v>
      </c>
      <c r="I4443" s="1" t="str">
        <f>"201909-202307 在中原工学院信息商务学院的艺术设计学院数字媒体艺术专业就读 是全日制
202307至今 在家待业"</f>
        <v>201909-202307 在中原工学院信息商务学院的艺术设计学院数字媒体艺术专业就读 是全日制
202307至今 在家待业</v>
      </c>
    </row>
    <row r="4444" spans="1:9">
      <c r="A4444" s="1" t="str">
        <f>"411325199104226525"</f>
        <v>411325199104226525</v>
      </c>
      <c r="B4444" s="1" t="str">
        <f t="shared" ref="B4444:B4448" si="2204">"群众"</f>
        <v>群众</v>
      </c>
      <c r="C4444" s="1" t="str">
        <f t="shared" si="2202"/>
        <v>本科</v>
      </c>
      <c r="D4444" s="1" t="str">
        <f>"20220701"</f>
        <v>20220701</v>
      </c>
      <c r="E4444" s="1" t="str">
        <f>"信阳师范学院"</f>
        <v>信阳师范学院</v>
      </c>
      <c r="F4444" s="1" t="str">
        <f>"教育学"</f>
        <v>教育学</v>
      </c>
      <c r="G4444" s="1" t="str">
        <f>"河南省南阳市卧龙区潦河镇崔营村"</f>
        <v>河南省南阳市卧龙区潦河镇崔营村</v>
      </c>
      <c r="H4444" s="1" t="str">
        <f t="shared" si="2203"/>
        <v>无</v>
      </c>
      <c r="I4444" s="1" t="str">
        <f>"201109-201407于郑州理工职业学院工程造价专业就读，全日制
202003-202207于信阳师范学院教育学专业就读，非全日制
2014年至今于南阳市卧龙区海港人寿银保部从事银行保险专员工作"</f>
        <v>201109-201407于郑州理工职业学院工程造价专业就读，全日制
202003-202207于信阳师范学院教育学专业就读，非全日制
2014年至今于南阳市卧龙区海港人寿银保部从事银行保险专员工作</v>
      </c>
    </row>
    <row r="4445" spans="1:9">
      <c r="A4445" s="1" t="str">
        <f>"411424199311292022"</f>
        <v>411424199311292022</v>
      </c>
      <c r="B4445" s="1" t="str">
        <f>"中共党员"</f>
        <v>中共党员</v>
      </c>
      <c r="C4445" s="1" t="str">
        <f>"硕士研究生"</f>
        <v>硕士研究生</v>
      </c>
      <c r="D4445" s="1" t="str">
        <f>"2021.07"</f>
        <v>2021.07</v>
      </c>
      <c r="E4445" s="1" t="str">
        <f>"中原工学院"</f>
        <v>中原工学院</v>
      </c>
      <c r="F4445" s="1" t="str">
        <f>"建筑与土木工程"</f>
        <v>建筑与土木工程</v>
      </c>
      <c r="G4445" s="1" t="str">
        <f>"河南省郑州市中牟县水岸鑫城"</f>
        <v>河南省郑州市中牟县水岸鑫城</v>
      </c>
      <c r="H4445" s="1" t="str">
        <f t="shared" si="2203"/>
        <v>无</v>
      </c>
      <c r="I4445" s="1" t="str">
        <f>"2013.09-2017.09郑州科技学院就读-土木建筑工程学院-建筑环境与能源应用工程-全日制
2018.07-2021.07中原工学院就读-能源与环境学院-建筑与土木工程-全日制
2021-至今郑州电力职业技术学院专任教师"</f>
        <v>2013.09-2017.09郑州科技学院就读-土木建筑工程学院-建筑环境与能源应用工程-全日制
2018.07-2021.07中原工学院就读-能源与环境学院-建筑与土木工程-全日制
2021-至今郑州电力职业技术学院专任教师</v>
      </c>
    </row>
    <row r="4446" spans="1:9">
      <c r="A4446" s="1" t="str">
        <f>"411327199910072527"</f>
        <v>411327199910072527</v>
      </c>
      <c r="B4446" s="1" t="str">
        <f t="shared" si="2204"/>
        <v>群众</v>
      </c>
      <c r="C4446" s="1" t="str">
        <f t="shared" ref="C4446:C4451" si="2205">"专科"</f>
        <v>专科</v>
      </c>
      <c r="D4446" s="1" t="str">
        <f>"20220701"</f>
        <v>20220701</v>
      </c>
      <c r="E4446" s="1" t="str">
        <f>"河南经贸职业学院"</f>
        <v>河南经贸职业学院</v>
      </c>
      <c r="F4446" s="1" t="str">
        <f>"建设工程管理"</f>
        <v>建设工程管理</v>
      </c>
      <c r="G4446" s="1" t="str">
        <f>"河南省南阳市内乡县王店镇堰张村1组38号"</f>
        <v>河南省南阳市内乡县王店镇堰张村1组38号</v>
      </c>
      <c r="H4446" s="1" t="str">
        <f t="shared" si="2203"/>
        <v>无</v>
      </c>
      <c r="I4446" s="1" t="str">
        <f>"201909-202207 河南经贸职业学院 就读，在此间期间于河南经贸职业学院的工程经济学院的建设工程管理就读
202207-202209在南阳市内乡县王店镇待业
202209-至今于内乡县审计局工作"</f>
        <v>201909-202207 河南经贸职业学院 就读，在此间期间于河南经贸职业学院的工程经济学院的建设工程管理就读
202207-202209在南阳市内乡县王店镇待业
202209-至今于内乡县审计局工作</v>
      </c>
    </row>
    <row r="4447" spans="1:9">
      <c r="A4447" s="1" t="str">
        <f>"410527199904119739"</f>
        <v>410527199904119739</v>
      </c>
      <c r="B4447" s="1" t="str">
        <f>"中共党员"</f>
        <v>中共党员</v>
      </c>
      <c r="C4447" s="1" t="str">
        <f t="shared" ref="C4447:C4450" si="2206">"本科"</f>
        <v>本科</v>
      </c>
      <c r="D4447" s="1" t="str">
        <f>"2025-07-01"</f>
        <v>2025-07-01</v>
      </c>
      <c r="E4447" s="1" t="str">
        <f>"安阳师范学院"</f>
        <v>安阳师范学院</v>
      </c>
      <c r="F4447" s="1" t="str">
        <f>"软件工程"</f>
        <v>软件工程</v>
      </c>
      <c r="G4447" s="1" t="str">
        <f>"河南省安阳市内黄县亳城乡北街口602号"</f>
        <v>河南省安阳市内黄县亳城乡北街口602号</v>
      </c>
      <c r="H4447" s="1" t="str">
        <f t="shared" si="2203"/>
        <v>无</v>
      </c>
      <c r="I4447" s="1" t="str">
        <f>"201709-202007  河南轻工职业学院
202009-202209  解放军94456部队
202209-202309  安阳市内黄县待业
202309-202507 安阳师范学院"</f>
        <v>201709-202007  河南轻工职业学院
202009-202209  解放军94456部队
202209-202309  安阳市内黄县待业
202309-202507 安阳师范学院</v>
      </c>
    </row>
    <row r="4448" spans="1:9">
      <c r="A4448" s="1" t="str">
        <f>"410325199703192514"</f>
        <v>410325199703192514</v>
      </c>
      <c r="B4448" s="1" t="str">
        <f t="shared" si="2204"/>
        <v>群众</v>
      </c>
      <c r="C4448" s="1" t="str">
        <f t="shared" si="2205"/>
        <v>专科</v>
      </c>
      <c r="D4448" s="1" t="str">
        <f>"201807"</f>
        <v>201807</v>
      </c>
      <c r="E4448" s="1" t="str">
        <f>"商丘师范学院"</f>
        <v>商丘师范学院</v>
      </c>
      <c r="F4448" s="1" t="str">
        <f>"数字媒体应用技术"</f>
        <v>数字媒体应用技术</v>
      </c>
      <c r="G4448" s="1" t="str">
        <f>"河南省洛阳市嵩县"</f>
        <v>河南省洛阳市嵩县</v>
      </c>
      <c r="H4448" s="1" t="str">
        <f t="shared" si="2203"/>
        <v>无</v>
      </c>
      <c r="I4448" s="1" t="str">
        <f>"2016.09.01-2018.07.01商丘师范学院计算机学院数字媒体应用技术就读是全日制
2018.07-2023.09洛阳待就业
2023.10.24至今义马市公安局辅警"</f>
        <v>2016.09.01-2018.07.01商丘师范学院计算机学院数字媒体应用技术就读是全日制
2018.07-2023.09洛阳待就业
2023.10.24至今义马市公安局辅警</v>
      </c>
    </row>
    <row r="4449" spans="1:9">
      <c r="A4449" s="1" t="str">
        <f>"411325199711272347"</f>
        <v>411325199711272347</v>
      </c>
      <c r="B4449" s="1" t="str">
        <f t="shared" ref="B4449:B4456" si="2207">"共青团员"</f>
        <v>共青团员</v>
      </c>
      <c r="C4449" s="1" t="str">
        <f t="shared" si="2206"/>
        <v>本科</v>
      </c>
      <c r="D4449" s="1" t="str">
        <f>"201909"</f>
        <v>201909</v>
      </c>
      <c r="E4449" s="1" t="str">
        <f>"三峡大学"</f>
        <v>三峡大学</v>
      </c>
      <c r="F4449" s="1" t="str">
        <f>"旅游管理"</f>
        <v>旅游管理</v>
      </c>
      <c r="G4449" s="1" t="str">
        <f>"南阳市儒林商都C区"</f>
        <v>南阳市儒林商都C区</v>
      </c>
      <c r="H4449" s="1" t="str">
        <f t="shared" si="2203"/>
        <v>无</v>
      </c>
      <c r="I4449" s="1" t="str">
        <f>"201509-201909 三峡大学 经济与管理学院 旅游管理 全日制
201209-201506 唐河县第一高级中学
200909-201206 张店镇一初中
200709-200906 桐寨铺镇小"</f>
        <v>201509-201909 三峡大学 经济与管理学院 旅游管理 全日制
201209-201506 唐河县第一高级中学
200909-201206 张店镇一初中
200709-200906 桐寨铺镇小</v>
      </c>
    </row>
    <row r="4450" spans="1:9">
      <c r="A4450" s="1" t="str">
        <f>"411327200003064916"</f>
        <v>411327200003064916</v>
      </c>
      <c r="B4450" s="1" t="str">
        <f t="shared" si="2207"/>
        <v>共青团员</v>
      </c>
      <c r="C4450" s="1" t="str">
        <f t="shared" si="2206"/>
        <v>本科</v>
      </c>
      <c r="D4450" s="1" t="str">
        <f>"20220530"</f>
        <v>20220530</v>
      </c>
      <c r="E4450" s="1" t="str">
        <f>"喀什大学"</f>
        <v>喀什大学</v>
      </c>
      <c r="F4450" s="1" t="str">
        <f>"体育教育"</f>
        <v>体育教育</v>
      </c>
      <c r="G4450" s="1" t="str">
        <f>"河南省内乡县灌涨镇灌涨村"</f>
        <v>河南省内乡县灌涨镇灌涨村</v>
      </c>
      <c r="H4450" s="1" t="str">
        <f t="shared" si="2203"/>
        <v>无</v>
      </c>
      <c r="I4450" s="1" t="str">
        <f>"201809-202206喀什大学就读体育学院体育教育专业全日制"</f>
        <v>201809-202206喀什大学就读体育学院体育教育专业全日制</v>
      </c>
    </row>
    <row r="4451" spans="1:9">
      <c r="A4451" s="1" t="str">
        <f>"411327200401011545"</f>
        <v>411327200401011545</v>
      </c>
      <c r="B4451" s="1" t="str">
        <f>"群众"</f>
        <v>群众</v>
      </c>
      <c r="C4451" s="1" t="str">
        <f t="shared" si="2205"/>
        <v>专科</v>
      </c>
      <c r="D4451" s="1" t="str">
        <f>"20250618"</f>
        <v>20250618</v>
      </c>
      <c r="E4451" s="1" t="str">
        <f>"焦作大学"</f>
        <v>焦作大学</v>
      </c>
      <c r="F4451" s="1" t="str">
        <f>"音乐表演"</f>
        <v>音乐表演</v>
      </c>
      <c r="G4451" s="1" t="str">
        <f>"河南省南阳市内乡县湍东镇下洼村南岗3组"</f>
        <v>河南省南阳市内乡县湍东镇下洼村南岗3组</v>
      </c>
      <c r="H4451" s="1" t="str">
        <f t="shared" si="2203"/>
        <v>无</v>
      </c>
      <c r="I4451" s="1" t="str">
        <f>"202209-202506焦作大学艺术学院音乐表演专业就读，是全日制学历。"</f>
        <v>202209-202506焦作大学艺术学院音乐表演专业就读，是全日制学历。</v>
      </c>
    </row>
    <row r="4452" spans="1:9">
      <c r="A4452" s="1" t="str">
        <f>"411327199601210025"</f>
        <v>411327199601210025</v>
      </c>
      <c r="B4452" s="1" t="str">
        <f>"群众"</f>
        <v>群众</v>
      </c>
      <c r="C4452" s="1" t="str">
        <f t="shared" ref="C4452:C4454" si="2208">"本科"</f>
        <v>本科</v>
      </c>
      <c r="D4452" s="1" t="str">
        <f>"20180630"</f>
        <v>20180630</v>
      </c>
      <c r="E4452" s="1" t="str">
        <f>"华中师范大学"</f>
        <v>华中师范大学</v>
      </c>
      <c r="F4452" s="1" t="str">
        <f>"应用心理学"</f>
        <v>应用心理学</v>
      </c>
      <c r="G4452" s="1" t="str">
        <f>"河南省南阳市内乡县城关镇"</f>
        <v>河南省南阳市内乡县城关镇</v>
      </c>
      <c r="H4452" s="1" t="str">
        <f t="shared" si="2203"/>
        <v>无</v>
      </c>
      <c r="I4452" s="1" t="str">
        <f>"201409-201806&amp;#160;华中师范大学&amp;#160;心理学院心理学系（全日制） 就读
201807-201907&amp;#160;万科物业发展股份有限公司&amp;#160;业务HR专员
201907-202108 深圳市第五空间网络科技有限公司&amp;#160;业务HR主管
202108-202306 武汉市朴邻房地产经纪有限公司&amp;#160;运营管理经理
202306-至今 河南省南阳市内乡县 待业"</f>
        <v>201409-201806&amp;#160;华中师范大学&amp;#160;心理学院心理学系（全日制） 就读
201807-201907&amp;#160;万科物业发展股份有限公司&amp;#160;业务HR专员
201907-202108 深圳市第五空间网络科技有限公司&amp;#160;业务HR主管
202108-202306 武汉市朴邻房地产经纪有限公司&amp;#160;运营管理经理
202306-至今 河南省南阳市内乡县 待业</v>
      </c>
    </row>
    <row r="4453" spans="1:9">
      <c r="A4453" s="1" t="str">
        <f>"411381200111194222"</f>
        <v>411381200111194222</v>
      </c>
      <c r="B4453" s="1" t="str">
        <f t="shared" si="2207"/>
        <v>共青团员</v>
      </c>
      <c r="C4453" s="1" t="str">
        <f t="shared" si="2208"/>
        <v>本科</v>
      </c>
      <c r="D4453" s="1" t="str">
        <f>"20240625"</f>
        <v>20240625</v>
      </c>
      <c r="E4453" s="1" t="str">
        <f>"河南财政金融学院"</f>
        <v>河南财政金融学院</v>
      </c>
      <c r="F4453" s="1" t="str">
        <f>"国际经济与贸易"</f>
        <v>国际经济与贸易</v>
      </c>
      <c r="G4453" s="1" t="str">
        <f>"河南省邓州市十林镇杨寨村"</f>
        <v>河南省邓州市十林镇杨寨村</v>
      </c>
      <c r="H4453" s="1" t="str">
        <f>"无·"</f>
        <v>无·</v>
      </c>
      <c r="I4453" s="1" t="str">
        <f>"202009-202406  在河南财政金融学院 经济与贸易学院 国际经济与贸易专业 就读 
是全日制学历"</f>
        <v>202009-202406  在河南财政金融学院 经济与贸易学院 国际经济与贸易专业 就读 
是全日制学历</v>
      </c>
    </row>
    <row r="4454" spans="1:9">
      <c r="A4454" s="1" t="str">
        <f>"411326200107033341"</f>
        <v>411326200107033341</v>
      </c>
      <c r="B4454" s="1" t="str">
        <f t="shared" si="2207"/>
        <v>共青团员</v>
      </c>
      <c r="C4454" s="1" t="str">
        <f t="shared" si="2208"/>
        <v>本科</v>
      </c>
      <c r="D4454" s="1" t="str">
        <f>"20240701"</f>
        <v>20240701</v>
      </c>
      <c r="E4454" s="1" t="str">
        <f>"郑州经贸学院"</f>
        <v>郑州经贸学院</v>
      </c>
      <c r="F4454" s="1" t="str">
        <f>"财务管理"</f>
        <v>财务管理</v>
      </c>
      <c r="G4454" s="1" t="str">
        <f>"河南省南阳市南召县人民路293号"</f>
        <v>河南省南阳市南召县人民路293号</v>
      </c>
      <c r="H4454" s="1" t="str">
        <f>"初级会计证书"</f>
        <v>初级会计证书</v>
      </c>
      <c r="I4454" s="1" t="str">
        <f>"202209-202407在郑州经贸学院就读，会计学院财务管理专业，是全日制本科。
202407-202503在家待业
202503-至今在南召县财政局参加公益岗位"</f>
        <v>202209-202407在郑州经贸学院就读，会计学院财务管理专业，是全日制本科。
202407-202503在家待业
202503-至今在南召县财政局参加公益岗位</v>
      </c>
    </row>
    <row r="4455" spans="1:9">
      <c r="A4455" s="1" t="str">
        <f>"411327199610010033"</f>
        <v>411327199610010033</v>
      </c>
      <c r="B4455" s="1" t="str">
        <f t="shared" si="2207"/>
        <v>共青团员</v>
      </c>
      <c r="C4455" s="1" t="str">
        <f t="shared" ref="C4455:C4457" si="2209">"专科"</f>
        <v>专科</v>
      </c>
      <c r="D4455" s="1" t="str">
        <f>"20150701"</f>
        <v>20150701</v>
      </c>
      <c r="E4455" s="1" t="str">
        <f>"洛阳师范学院"</f>
        <v>洛阳师范学院</v>
      </c>
      <c r="F4455" s="1" t="str">
        <f>"动漫设计与制作"</f>
        <v>动漫设计与制作</v>
      </c>
      <c r="G4455" s="1" t="str">
        <f>"内乡县广电宾馆"</f>
        <v>内乡县广电宾馆</v>
      </c>
      <c r="H4455" s="1" t="str">
        <f t="shared" ref="H4455:H4457" si="2210">"无"</f>
        <v>无</v>
      </c>
      <c r="I4455" s="1" t="str">
        <f>"201309-201507 洛阳师范学院 软件工程系 动漫设计与制作专业就读
201509-201810 内乡菊潭学校任教
201811-202108 广州市天河区交通局就业
202109-至今 内乡县融媒体中心就业"</f>
        <v>201309-201507 洛阳师范学院 软件工程系 动漫设计与制作专业就读
201509-201810 内乡菊潭学校任教
201811-202108 广州市天河区交通局就业
202109-至今 内乡县融媒体中心就业</v>
      </c>
    </row>
    <row r="4456" spans="1:9">
      <c r="A4456" s="1" t="str">
        <f>"411324200308192426"</f>
        <v>411324200308192426</v>
      </c>
      <c r="B4456" s="1" t="str">
        <f t="shared" si="2207"/>
        <v>共青团员</v>
      </c>
      <c r="C4456" s="1" t="str">
        <f t="shared" si="2209"/>
        <v>专科</v>
      </c>
      <c r="D4456" s="1" t="str">
        <f>"20240625"</f>
        <v>20240625</v>
      </c>
      <c r="E4456" s="1" t="str">
        <f>"许昌职业技术学院"</f>
        <v>许昌职业技术学院</v>
      </c>
      <c r="F4456" s="1" t="str">
        <f>"小学教育"</f>
        <v>小学教育</v>
      </c>
      <c r="G4456" s="1" t="str">
        <f>"河南省南阳市镇平县高丘镇靳坡村"</f>
        <v>河南省南阳市镇平县高丘镇靳坡村</v>
      </c>
      <c r="H4456" s="1" t="str">
        <f t="shared" si="2210"/>
        <v>无</v>
      </c>
      <c r="I4456" s="1" t="str">
        <f>"202109-202406 许昌职业技术学院 人文学院小学教育专业就读，全日制学历"</f>
        <v>202109-202406 许昌职业技术学院 人文学院小学教育专业就读，全日制学历</v>
      </c>
    </row>
    <row r="4457" spans="1:9">
      <c r="A4457" s="1" t="str">
        <f>"411082199405247881"</f>
        <v>411082199405247881</v>
      </c>
      <c r="B4457" s="1" t="str">
        <f>"群众"</f>
        <v>群众</v>
      </c>
      <c r="C4457" s="1" t="str">
        <f t="shared" si="2209"/>
        <v>专科</v>
      </c>
      <c r="D4457" s="1" t="str">
        <f>"20150701"</f>
        <v>20150701</v>
      </c>
      <c r="E4457" s="1" t="str">
        <f>"河南科技大学"</f>
        <v>河南科技大学</v>
      </c>
      <c r="F4457" s="1" t="str">
        <f>"会计电算化"</f>
        <v>会计电算化</v>
      </c>
      <c r="G4457" s="1" t="str">
        <f>"河南省洛阳市洛龙区学子街大曌国际5-101"</f>
        <v>河南省洛阳市洛龙区学子街大曌国际5-101</v>
      </c>
      <c r="H4457" s="1" t="str">
        <f t="shared" si="2210"/>
        <v>无</v>
      </c>
      <c r="I4457" s="1" t="str">
        <f>"20130301-20150701河南科技大学继续教育学院会计电算化专业就读"</f>
        <v>20130301-20150701河南科技大学继续教育学院会计电算化专业就读</v>
      </c>
    </row>
    <row r="4458" spans="1:9">
      <c r="A4458" s="1" t="str">
        <f>"130429199406052615"</f>
        <v>130429199406052615</v>
      </c>
      <c r="B4458" s="1" t="str">
        <f>"群众"</f>
        <v>群众</v>
      </c>
      <c r="C4458" s="1" t="str">
        <f t="shared" ref="C4458:C4460" si="2211">"本科"</f>
        <v>本科</v>
      </c>
      <c r="D4458" s="1" t="str">
        <f>"20170630"</f>
        <v>20170630</v>
      </c>
      <c r="E4458" s="1" t="str">
        <f>"河池学院"</f>
        <v>河池学院</v>
      </c>
      <c r="F4458" s="1" t="str">
        <f>"网络工程"</f>
        <v>网络工程</v>
      </c>
      <c r="G4458" s="1" t="str">
        <f>"河南省周口市川汇区大兴第一城"</f>
        <v>河南省周口市川汇区大兴第一城</v>
      </c>
      <c r="H4458" s="1" t="str">
        <f>"软考网络工程师中级"</f>
        <v>软考网络工程师中级</v>
      </c>
      <c r="I4458" s="1" t="str">
        <f>"201309-201706  河池学院计算机与信息工程系就读，全日制学历；
201707-201810  在河北省邯郸市待业；
201811-202004  在开封市政务服务和大数据管理局工作；
202005-202012  在开封市待业；
202101-至今  在周口日报社工作；"</f>
        <v>201309-201706  河池学院计算机与信息工程系就读，全日制学历；
201707-201810  在河北省邯郸市待业；
201811-202004  在开封市政务服务和大数据管理局工作；
202005-202012  在开封市待业；
202101-至今  在周口日报社工作；</v>
      </c>
    </row>
    <row r="4459" spans="1:9">
      <c r="A4459" s="1" t="str">
        <f>"411324200204024604"</f>
        <v>411324200204024604</v>
      </c>
      <c r="B4459" s="1" t="str">
        <f t="shared" ref="B4459:B4461" si="2212">"共青团员"</f>
        <v>共青团员</v>
      </c>
      <c r="C4459" s="1" t="str">
        <f t="shared" si="2211"/>
        <v>本科</v>
      </c>
      <c r="D4459" s="1" t="str">
        <f>"20250630"</f>
        <v>20250630</v>
      </c>
      <c r="E4459" s="1" t="str">
        <f>"河南财经政法大学"</f>
        <v>河南财经政法大学</v>
      </c>
      <c r="F4459" s="1" t="str">
        <f>"法学"</f>
        <v>法学</v>
      </c>
      <c r="G4459" s="1" t="str">
        <f>"河南省南阳市镇平县杨营镇李家营村"</f>
        <v>河南省南阳市镇平县杨营镇李家营村</v>
      </c>
      <c r="H4459" s="1" t="str">
        <f t="shared" ref="H4459:H4482" si="2213">"无"</f>
        <v>无</v>
      </c>
      <c r="I4459" s="1" t="str">
        <f>"202109-202506河南财经政法大学法学院法学专业就读"</f>
        <v>202109-202506河南财经政法大学法学院法学专业就读</v>
      </c>
    </row>
    <row r="4460" spans="1:9">
      <c r="A4460" s="1" t="str">
        <f>"41130319960812003X"</f>
        <v>41130319960812003X</v>
      </c>
      <c r="B4460" s="1" t="str">
        <f t="shared" si="2212"/>
        <v>共青团员</v>
      </c>
      <c r="C4460" s="1" t="str">
        <f t="shared" si="2211"/>
        <v>本科</v>
      </c>
      <c r="D4460" s="1" t="str">
        <f>"20190701"</f>
        <v>20190701</v>
      </c>
      <c r="E4460" s="1" t="str">
        <f>"南阳师范学院"</f>
        <v>南阳师范学院</v>
      </c>
      <c r="F4460" s="1" t="str">
        <f>"动画"</f>
        <v>动画</v>
      </c>
      <c r="G4460" s="1" t="str">
        <f>"河南省南阳市卧龙区武侯路兰庄"</f>
        <v>河南省南阳市卧龙区武侯路兰庄</v>
      </c>
      <c r="H4460" s="1" t="str">
        <f t="shared" si="2213"/>
        <v>无</v>
      </c>
      <c r="I4460" s="1" t="str">
        <f>"201509-201907 南阳师范学院软件学院动画专业就读，是全日制学历。"</f>
        <v>201509-201907 南阳师范学院软件学院动画专业就读，是全日制学历。</v>
      </c>
    </row>
    <row r="4461" spans="1:9">
      <c r="A4461" s="1" t="str">
        <f>"411327199703290038"</f>
        <v>411327199703290038</v>
      </c>
      <c r="B4461" s="1" t="str">
        <f t="shared" si="2212"/>
        <v>共青团员</v>
      </c>
      <c r="C4461" s="1" t="str">
        <f>"专科"</f>
        <v>专科</v>
      </c>
      <c r="D4461" s="1" t="str">
        <f>"20190615"</f>
        <v>20190615</v>
      </c>
      <c r="E4461" s="1" t="str">
        <f>"南京信息工程大学滨江学院"</f>
        <v>南京信息工程大学滨江学院</v>
      </c>
      <c r="F4461" s="1" t="str">
        <f>"网络工程"</f>
        <v>网络工程</v>
      </c>
      <c r="G4461" s="1" t="str">
        <f>"河南省南阳市内乡县湍东镇大成相府2号楼3单元"</f>
        <v>河南省南阳市内乡县湍东镇大成相府2号楼3单元</v>
      </c>
      <c r="H4461" s="1" t="str">
        <f t="shared" si="2213"/>
        <v>无</v>
      </c>
      <c r="I4461" s="1" t="str">
        <f>"201509-201906 南京信息工程大学滨江学院 计算机系 网络工程 就读
201906-201912 待业
202001-202012 河南爱优文化传媒有限公司
202101-202507 河南聚联智慧大数据科技有限公司"</f>
        <v>201509-201906 南京信息工程大学滨江学院 计算机系 网络工程 就读
201906-201912 待业
202001-202012 河南爱优文化传媒有限公司
202101-202507 河南聚联智慧大数据科技有限公司</v>
      </c>
    </row>
    <row r="4462" spans="1:9">
      <c r="A4462" s="1" t="str">
        <f>"140581199810023229"</f>
        <v>140581199810023229</v>
      </c>
      <c r="B4462" s="1" t="str">
        <f>"中共党员"</f>
        <v>中共党员</v>
      </c>
      <c r="C4462" s="1" t="str">
        <f>"硕士研究生"</f>
        <v>硕士研究生</v>
      </c>
      <c r="D4462" s="1" t="str">
        <f>"20250526"</f>
        <v>20250526</v>
      </c>
      <c r="E4462" s="1" t="str">
        <f>"山西师范大学"</f>
        <v>山西师范大学</v>
      </c>
      <c r="F4462" s="1" t="str">
        <f>"马克思主义理论"</f>
        <v>马克思主义理论</v>
      </c>
      <c r="G4462" s="1" t="str">
        <f>"山西省高平市陈区镇沙院村"</f>
        <v>山西省高平市陈区镇沙院村</v>
      </c>
      <c r="H4462" s="1" t="str">
        <f t="shared" si="2213"/>
        <v>无</v>
      </c>
      <c r="I4462" s="1" t="str">
        <f>"201709-202106 中北大学朔州校区市场营销专业就读，全日制学历
202109-202206在山西省高平市待业
202209-202506 山西师范大学马克思主义学院马克思主义理论专业就读"</f>
        <v>201709-202106 中北大学朔州校区市场营销专业就读，全日制学历
202109-202206在山西省高平市待业
202209-202506 山西师范大学马克思主义学院马克思主义理论专业就读</v>
      </c>
    </row>
    <row r="4463" spans="1:9">
      <c r="A4463" s="1" t="str">
        <f>"411323200009011449"</f>
        <v>411323200009011449</v>
      </c>
      <c r="B4463" s="1" t="str">
        <f t="shared" ref="B4463:B4465" si="2214">"群众"</f>
        <v>群众</v>
      </c>
      <c r="C4463" s="1" t="str">
        <f t="shared" ref="C4463:C4474" si="2215">"本科"</f>
        <v>本科</v>
      </c>
      <c r="D4463" s="1" t="str">
        <f>"2023.06"</f>
        <v>2023.06</v>
      </c>
      <c r="E4463" s="1" t="str">
        <f>"黄河科技学院"</f>
        <v>黄河科技学院</v>
      </c>
      <c r="F4463" s="1" t="str">
        <f>"人力资源管理"</f>
        <v>人力资源管理</v>
      </c>
      <c r="G4463" s="1" t="str">
        <f>"河南省南阳市淅川县"</f>
        <v>河南省南阳市淅川县</v>
      </c>
      <c r="H4463" s="1" t="str">
        <f t="shared" si="2213"/>
        <v>无</v>
      </c>
      <c r="I4463" s="1" t="str">
        <f>"201909-202306 黄河科技学院就读
202307-202308 待业
202309至今 淅川县文学艺术界联合会公益岗"</f>
        <v>201909-202306 黄河科技学院就读
202307-202308 待业
202309至今 淅川县文学艺术界联合会公益岗</v>
      </c>
    </row>
    <row r="4464" spans="1:9">
      <c r="A4464" s="1" t="str">
        <f>"411324199807122726"</f>
        <v>411324199807122726</v>
      </c>
      <c r="B4464" s="1" t="str">
        <f t="shared" si="2214"/>
        <v>群众</v>
      </c>
      <c r="C4464" s="1" t="str">
        <f t="shared" si="2215"/>
        <v>本科</v>
      </c>
      <c r="D4464" s="1" t="str">
        <f>"20210630"</f>
        <v>20210630</v>
      </c>
      <c r="E4464" s="1" t="str">
        <f>"湖北民族大学"</f>
        <v>湖北民族大学</v>
      </c>
      <c r="F4464" s="1" t="str">
        <f>"统计学"</f>
        <v>统计学</v>
      </c>
      <c r="G4464" s="1" t="str">
        <f>"河南省南阳市镇平县玉鼎公园大电视东李宁过道护城河桥"</f>
        <v>河南省南阳市镇平县玉鼎公园大电视东李宁过道护城河桥</v>
      </c>
      <c r="H4464" s="1" t="str">
        <f t="shared" si="2213"/>
        <v>无</v>
      </c>
      <c r="I4464" s="1" t="str">
        <f>"2013.09-2017.06河南省镇平县第一高中中学学生
2017.09-2021.06湖北省湖北民族大学学生
2021.09-2023.07湖北省宣恩县宣恩清源自然双语学校高中数学教师
2023.09-至今河南省镇平县镇平全兴学校高中数学教师"</f>
        <v>2013.09-2017.06河南省镇平县第一高中中学学生
2017.09-2021.06湖北省湖北民族大学学生
2021.09-2023.07湖北省宣恩县宣恩清源自然双语学校高中数学教师
2023.09-至今河南省镇平县镇平全兴学校高中数学教师</v>
      </c>
    </row>
    <row r="4465" spans="1:9">
      <c r="A4465" s="1" t="str">
        <f>"411302199110030516"</f>
        <v>411302199110030516</v>
      </c>
      <c r="B4465" s="1" t="str">
        <f t="shared" si="2214"/>
        <v>群众</v>
      </c>
      <c r="C4465" s="1" t="str">
        <f t="shared" si="2215"/>
        <v>本科</v>
      </c>
      <c r="D4465" s="1" t="str">
        <f>"201807"</f>
        <v>201807</v>
      </c>
      <c r="E4465" s="1" t="str">
        <f>"南阳师范学院"</f>
        <v>南阳师范学院</v>
      </c>
      <c r="F4465" s="1" t="str">
        <f>"计算机科学与技术"</f>
        <v>计算机科学与技术</v>
      </c>
      <c r="G4465" s="1" t="str">
        <f>"南阳市卧龙区范蠡路兰乔圣菲小区"</f>
        <v>南阳市卧龙区范蠡路兰乔圣菲小区</v>
      </c>
      <c r="H4465" s="1" t="str">
        <f t="shared" si="2213"/>
        <v>无</v>
      </c>
      <c r="I4465" s="1" t="str">
        <f>"2009.09-2011.07南阳第八高级中学
2011.09-2012.07南阳第五高级中学
2012.09-2015.07洛阳理工学院电子商务（全日制）
201603-201807 南阳师范学院计算机科学与技术（非全日制）
2016.11-2023.04南阳就业促进服务中心"</f>
        <v>2009.09-2011.07南阳第八高级中学
2011.09-2012.07南阳第五高级中学
2012.09-2015.07洛阳理工学院电子商务（全日制）
201603-201807 南阳师范学院计算机科学与技术（非全日制）
2016.11-2023.04南阳就业促进服务中心</v>
      </c>
    </row>
    <row r="4466" spans="1:9">
      <c r="A4466" s="1" t="str">
        <f>"411327200207280610"</f>
        <v>411327200207280610</v>
      </c>
      <c r="B4466" s="1" t="str">
        <f t="shared" ref="B4466:B4469" si="2216">"共青团员"</f>
        <v>共青团员</v>
      </c>
      <c r="C4466" s="1" t="str">
        <f t="shared" si="2215"/>
        <v>本科</v>
      </c>
      <c r="D4466" s="1" t="str">
        <f>"2024-06-20"</f>
        <v>2024-06-20</v>
      </c>
      <c r="E4466" s="1" t="str">
        <f>"山东财经大学"</f>
        <v>山东财经大学</v>
      </c>
      <c r="F4466" s="1" t="str">
        <f>"信息管理与信息系统"</f>
        <v>信息管理与信息系统</v>
      </c>
      <c r="G4466" s="1" t="str">
        <f>"河南省南阳市内乡县马山口镇石庙村"</f>
        <v>河南省南阳市内乡县马山口镇石庙村</v>
      </c>
      <c r="H4466" s="1" t="str">
        <f t="shared" si="2213"/>
        <v>无</v>
      </c>
      <c r="I4466" s="1" t="str">
        <f>"202009-202406 山东财经大学管理科学与工程学院信息管理与信息系统专业就读"</f>
        <v>202009-202406 山东财经大学管理科学与工程学院信息管理与信息系统专业就读</v>
      </c>
    </row>
    <row r="4467" spans="1:9">
      <c r="A4467" s="1" t="str">
        <f>"411121200206267036"</f>
        <v>411121200206267036</v>
      </c>
      <c r="B4467" s="1" t="str">
        <f t="shared" ref="B4467:B4477" si="2217">"群众"</f>
        <v>群众</v>
      </c>
      <c r="C4467" s="1" t="str">
        <f t="shared" si="2215"/>
        <v>本科</v>
      </c>
      <c r="D4467" s="1" t="str">
        <f>"20240701"</f>
        <v>20240701</v>
      </c>
      <c r="E4467" s="1" t="str">
        <f>"郑州科技学院"</f>
        <v>郑州科技学院</v>
      </c>
      <c r="F4467" s="1" t="str">
        <f>"视觉传达设计"</f>
        <v>视觉传达设计</v>
      </c>
      <c r="G4467" s="1" t="str">
        <f>"河南省漯河市舞阳县颐景苑"</f>
        <v>河南省漯河市舞阳县颐景苑</v>
      </c>
      <c r="H4467" s="1" t="str">
        <f t="shared" si="2213"/>
        <v>无</v>
      </c>
      <c r="I4467" s="1" t="str">
        <f>"202009-202407 郑州科技学院视觉传达设计专业 就读.全日制"</f>
        <v>202009-202407 郑州科技学院视觉传达设计专业 就读.全日制</v>
      </c>
    </row>
    <row r="4468" spans="1:9">
      <c r="A4468" s="1" t="str">
        <f>"411323200202230045"</f>
        <v>411323200202230045</v>
      </c>
      <c r="B4468" s="1" t="str">
        <f t="shared" si="2216"/>
        <v>共青团员</v>
      </c>
      <c r="C4468" s="1" t="str">
        <f t="shared" si="2215"/>
        <v>本科</v>
      </c>
      <c r="D4468" s="1" t="str">
        <f>"20250630"</f>
        <v>20250630</v>
      </c>
      <c r="E4468" s="1" t="str">
        <f>"河南大学"</f>
        <v>河南大学</v>
      </c>
      <c r="F4468" s="1" t="str">
        <f>"汉语言文学"</f>
        <v>汉语言文学</v>
      </c>
      <c r="G4468" s="1" t="str">
        <f>"河南省南阳市西峡县丹水镇黄坪村9组248号"</f>
        <v>河南省南阳市西峡县丹水镇黄坪村9组248号</v>
      </c>
      <c r="H4468" s="1" t="str">
        <f t="shared" si="2213"/>
        <v>无</v>
      </c>
      <c r="I4468" s="1" t="str">
        <f>"202109-202506 河南大学 文学院 汉语言文学专业 全日制学历"</f>
        <v>202109-202506 河南大学 文学院 汉语言文学专业 全日制学历</v>
      </c>
    </row>
    <row r="4469" spans="1:9">
      <c r="A4469" s="1" t="str">
        <f>"411327199901110018"</f>
        <v>411327199901110018</v>
      </c>
      <c r="B4469" s="1" t="str">
        <f t="shared" si="2216"/>
        <v>共青团员</v>
      </c>
      <c r="C4469" s="1" t="str">
        <f t="shared" si="2215"/>
        <v>本科</v>
      </c>
      <c r="D4469" s="1" t="str">
        <f>"20210622"</f>
        <v>20210622</v>
      </c>
      <c r="E4469" s="1" t="str">
        <f>"河北环境工程学院"</f>
        <v>河北环境工程学院</v>
      </c>
      <c r="F4469" s="1" t="str">
        <f>"物流管理"</f>
        <v>物流管理</v>
      </c>
      <c r="G4469" s="1" t="str">
        <f>"河南省南阳市内乡县渚阳大街北二十九巷27"</f>
        <v>河南省南阳市内乡县渚阳大街北二十九巷27</v>
      </c>
      <c r="H4469" s="1" t="str">
        <f t="shared" si="2213"/>
        <v>无</v>
      </c>
      <c r="I4469" s="1" t="str">
        <f>"201709-202106 河北环境工程学院 经济学系 物流管理专业 就读 全日制学历
202106-202405 北京京迅递科技有限公司 物流专员 工作
202405-至今 内乡县 待业"</f>
        <v>201709-202106 河北环境工程学院 经济学系 物流管理专业 就读 全日制学历
202106-202405 北京京迅递科技有限公司 物流专员 工作
202405-至今 内乡县 待业</v>
      </c>
    </row>
    <row r="4470" spans="1:9">
      <c r="A4470" s="1" t="str">
        <f>"411327199905120619"</f>
        <v>411327199905120619</v>
      </c>
      <c r="B4470" s="1" t="str">
        <f>"中共预备党员"</f>
        <v>中共预备党员</v>
      </c>
      <c r="C4470" s="1" t="str">
        <f t="shared" si="2215"/>
        <v>本科</v>
      </c>
      <c r="D4470" s="1" t="str">
        <f>"20210630"</f>
        <v>20210630</v>
      </c>
      <c r="E4470" s="1" t="str">
        <f>"郑州工业应用技术学院"</f>
        <v>郑州工业应用技术学院</v>
      </c>
      <c r="F4470" s="1" t="str">
        <f>"环境设计"</f>
        <v>环境设计</v>
      </c>
      <c r="G4470" s="1" t="str">
        <f>"南阳市内乡县马山口镇庵北村"</f>
        <v>南阳市内乡县马山口镇庵北村</v>
      </c>
      <c r="H4470" s="1" t="str">
        <f t="shared" si="2213"/>
        <v>无</v>
      </c>
      <c r="I4470" s="1" t="str">
        <f>"201709-202107 郑州工业应用技术学院 艺术设计学院 环境设计专业
202109-202111 牧原集团
202112至今 在家待业"</f>
        <v>201709-202107 郑州工业应用技术学院 艺术设计学院 环境设计专业
202109-202111 牧原集团
202112至今 在家待业</v>
      </c>
    </row>
    <row r="4471" spans="1:9">
      <c r="A4471" s="1" t="str">
        <f>"411327199805170010"</f>
        <v>411327199805170010</v>
      </c>
      <c r="B4471" s="1" t="str">
        <f t="shared" si="2217"/>
        <v>群众</v>
      </c>
      <c r="C4471" s="1" t="str">
        <f t="shared" si="2215"/>
        <v>本科</v>
      </c>
      <c r="D4471" s="1" t="str">
        <f>"202307"</f>
        <v>202307</v>
      </c>
      <c r="E4471" s="1" t="str">
        <f>"平顶山工业职业技术学院"</f>
        <v>平顶山工业职业技术学院</v>
      </c>
      <c r="F4471" s="1" t="str">
        <f>"道路桥梁工程技术"</f>
        <v>道路桥梁工程技术</v>
      </c>
      <c r="G4471" s="1" t="str">
        <f>"内乡县城关镇"</f>
        <v>内乡县城关镇</v>
      </c>
      <c r="H4471" s="1" t="str">
        <f t="shared" si="2213"/>
        <v>无</v>
      </c>
      <c r="I4471" s="1" t="str">
        <f>"201609-201907平顶山工业职业技术学院就读全日制"</f>
        <v>201609-201907平顶山工业职业技术学院就读全日制</v>
      </c>
    </row>
    <row r="4472" spans="1:9">
      <c r="A4472" s="1" t="str">
        <f>"41132719981018111X"</f>
        <v>41132719981018111X</v>
      </c>
      <c r="B4472" s="1" t="str">
        <f t="shared" si="2217"/>
        <v>群众</v>
      </c>
      <c r="C4472" s="1" t="str">
        <f t="shared" si="2215"/>
        <v>本科</v>
      </c>
      <c r="D4472" s="1" t="str">
        <f>"2021.07"</f>
        <v>2021.07</v>
      </c>
      <c r="E4472" s="1" t="str">
        <f>"中原工学院信息商务学院"</f>
        <v>中原工学院信息商务学院</v>
      </c>
      <c r="F4472" s="1" t="str">
        <f>"工业工程"</f>
        <v>工业工程</v>
      </c>
      <c r="G4472" s="1" t="str">
        <f>"内乡县鼎荣华府"</f>
        <v>内乡县鼎荣华府</v>
      </c>
      <c r="H4472" s="1" t="str">
        <f t="shared" si="2213"/>
        <v>无</v>
      </c>
      <c r="I4472" s="1" t="str">
        <f>"201709-202106中原工学院信息商务学院机械工程系工业工程就读。
202109-至今 内乡郦都学校"</f>
        <v>201709-202106中原工学院信息商务学院机械工程系工业工程就读。
202109-至今 内乡郦都学校</v>
      </c>
    </row>
    <row r="4473" ht="94.5" spans="1:9">
      <c r="A4473" s="1" t="str">
        <f>"411224199603110015"</f>
        <v>411224199603110015</v>
      </c>
      <c r="B4473" s="1" t="str">
        <f t="shared" si="2217"/>
        <v>群众</v>
      </c>
      <c r="C4473" s="1" t="str">
        <f t="shared" si="2215"/>
        <v>本科</v>
      </c>
      <c r="D4473" s="1" t="str">
        <f>"20180701"</f>
        <v>20180701</v>
      </c>
      <c r="E4473" s="1" t="str">
        <f>"南阳师范学院"</f>
        <v>南阳师范学院</v>
      </c>
      <c r="F4473" s="1" t="str">
        <f>"应用化学（精细化工方向）"</f>
        <v>应用化学（精细化工方向）</v>
      </c>
      <c r="G4473" s="1" t="str">
        <f>"河南省三门峡市卢氏县城关镇西大街三街坊"</f>
        <v>河南省三门峡市卢氏县城关镇西大街三街坊</v>
      </c>
      <c r="H4473" s="1" t="str">
        <f t="shared" si="2213"/>
        <v>无</v>
      </c>
      <c r="I4473" s="3" t="s">
        <v>281</v>
      </c>
    </row>
    <row r="4474" spans="1:9">
      <c r="A4474" s="1" t="str">
        <f>"411381199308225322"</f>
        <v>411381199308225322</v>
      </c>
      <c r="B4474" s="1" t="str">
        <f t="shared" si="2217"/>
        <v>群众</v>
      </c>
      <c r="C4474" s="1" t="str">
        <f t="shared" si="2215"/>
        <v>本科</v>
      </c>
      <c r="D4474" s="1" t="str">
        <f>"20220701"</f>
        <v>20220701</v>
      </c>
      <c r="E4474" s="1" t="str">
        <f>"南阳师范学院"</f>
        <v>南阳师范学院</v>
      </c>
      <c r="F4474" s="1" t="str">
        <f>"教育学"</f>
        <v>教育学</v>
      </c>
      <c r="G4474" s="1" t="str">
        <f>"河南省邓州市花洲街道雷锋路杨柿园"</f>
        <v>河南省邓州市花洲街道雷锋路杨柿园</v>
      </c>
      <c r="H4474" s="1" t="str">
        <f t="shared" si="2213"/>
        <v>无</v>
      </c>
      <c r="I4474" s="1" t="str">
        <f>"201209-201507郑州科技学院工商管理院系 全日制
201507-201909待业
202003-202207南阳师范学院教育学  函授
201909-至今邓州市翰林学校代课"</f>
        <v>201209-201507郑州科技学院工商管理院系 全日制
201507-201909待业
202003-202207南阳师范学院教育学  函授
201909-至今邓州市翰林学校代课</v>
      </c>
    </row>
    <row r="4475" spans="1:9">
      <c r="A4475" s="1" t="str">
        <f>"411327199804070325"</f>
        <v>411327199804070325</v>
      </c>
      <c r="B4475" s="1" t="str">
        <f t="shared" si="2217"/>
        <v>群众</v>
      </c>
      <c r="C4475" s="1" t="str">
        <f>"硕士研究生"</f>
        <v>硕士研究生</v>
      </c>
      <c r="D4475" s="1" t="str">
        <f>"20221205"</f>
        <v>20221205</v>
      </c>
      <c r="E4475" s="1" t="str">
        <f>"英国格拉斯哥大学"</f>
        <v>英国格拉斯哥大学</v>
      </c>
      <c r="F4475" s="1" t="str">
        <f>"国际商法"</f>
        <v>国际商法</v>
      </c>
      <c r="G4475" s="1" t="str">
        <f>"河南省南阳市内乡县城关镇左岸皇朝"</f>
        <v>河南省南阳市内乡县城关镇左岸皇朝</v>
      </c>
      <c r="H4475" s="1" t="str">
        <f t="shared" si="2213"/>
        <v>无</v>
      </c>
      <c r="I4475" s="1" t="str">
        <f>"201609-201907 新乡学院历史与社会发展学院 法学专业就读 全日制专科
202005-202212 英国格拉斯哥大学法学院 国际商法专业 全日制硕士"</f>
        <v>201609-201907 新乡学院历史与社会发展学院 法学专业就读 全日制专科
202005-202212 英国格拉斯哥大学法学院 国际商法专业 全日制硕士</v>
      </c>
    </row>
    <row r="4476" spans="1:9">
      <c r="A4476" s="1" t="str">
        <f>"411327199308150027"</f>
        <v>411327199308150027</v>
      </c>
      <c r="B4476" s="1" t="str">
        <f t="shared" si="2217"/>
        <v>群众</v>
      </c>
      <c r="C4476" s="1" t="str">
        <f t="shared" ref="C4476:C4482" si="2218">"本科"</f>
        <v>本科</v>
      </c>
      <c r="D4476" s="1" t="str">
        <f>"20160701"</f>
        <v>20160701</v>
      </c>
      <c r="E4476" s="1" t="str">
        <f>"郑州大学西亚斯国际学院"</f>
        <v>郑州大学西亚斯国际学院</v>
      </c>
      <c r="F4476" s="1" t="str">
        <f>"新闻学"</f>
        <v>新闻学</v>
      </c>
      <c r="G4476" s="1" t="str">
        <f>"河南省内乡县城关镇大成路"</f>
        <v>河南省内乡县城关镇大成路</v>
      </c>
      <c r="H4476" s="1" t="str">
        <f t="shared" si="2213"/>
        <v>无</v>
      </c>
      <c r="I4476" s="1" t="str">
        <f>"201209-201607 郑州大学西亚斯国际学院 全日制本科  新闻传播学院 专业：新闻学
201607-201609 在家待业；
201609-202209 内乡县人民法院 书记员
202209-202407 内乡县人民检察院 书记员
202407-至今 待业"</f>
        <v>201209-201607 郑州大学西亚斯国际学院 全日制本科  新闻传播学院 专业：新闻学
201607-201609 在家待业；
201609-202209 内乡县人民法院 书记员
202209-202407 内乡县人民检察院 书记员
202407-至今 待业</v>
      </c>
    </row>
    <row r="4477" spans="1:9">
      <c r="A4477" s="1" t="str">
        <f>"411327199802144925"</f>
        <v>411327199802144925</v>
      </c>
      <c r="B4477" s="1" t="str">
        <f t="shared" si="2217"/>
        <v>群众</v>
      </c>
      <c r="C4477" s="1" t="str">
        <f t="shared" si="2218"/>
        <v>本科</v>
      </c>
      <c r="D4477" s="1" t="str">
        <f>"20210701"</f>
        <v>20210701</v>
      </c>
      <c r="E4477" s="1" t="str">
        <f>"郑州西亚斯学院"</f>
        <v>郑州西亚斯学院</v>
      </c>
      <c r="F4477" s="1" t="str">
        <f>"法学"</f>
        <v>法学</v>
      </c>
      <c r="G4477" s="1" t="str">
        <f>"河南省南阳市内乡县灌涨镇"</f>
        <v>河南省南阳市内乡县灌涨镇</v>
      </c>
      <c r="H4477" s="1" t="str">
        <f t="shared" si="2213"/>
        <v>无</v>
      </c>
      <c r="I4477" s="1" t="str">
        <f>"201709-202107 郑州西亚斯学院就读 
2017年9月1日至2021年7月1日在郑州西亚斯学院法学院法学专业就读，为全日制学历
2021年6月至今 于内乡郦都学校工作"</f>
        <v>201709-202107 郑州西亚斯学院就读 
2017年9月1日至2021年7月1日在郑州西亚斯学院法学院法学专业就读，为全日制学历
2021年6月至今 于内乡郦都学校工作</v>
      </c>
    </row>
    <row r="4478" spans="1:9">
      <c r="A4478" s="1" t="str">
        <f>"411528199004141612"</f>
        <v>411528199004141612</v>
      </c>
      <c r="B4478" s="1" t="str">
        <f>"中共党员"</f>
        <v>中共党员</v>
      </c>
      <c r="C4478" s="1" t="str">
        <f>"专科"</f>
        <v>专科</v>
      </c>
      <c r="D4478" s="1" t="str">
        <f>"20150701"</f>
        <v>20150701</v>
      </c>
      <c r="E4478" s="1" t="str">
        <f>"河南检察职业学院"</f>
        <v>河南检察职业学院</v>
      </c>
      <c r="F4478" s="1" t="str">
        <f>"刑事侦查技术"</f>
        <v>刑事侦查技术</v>
      </c>
      <c r="G4478" s="1" t="str">
        <f>"河南省信阳市息县杨店乡"</f>
        <v>河南省信阳市息县杨店乡</v>
      </c>
      <c r="H4478" s="1" t="str">
        <f t="shared" si="2213"/>
        <v>无</v>
      </c>
      <c r="I4478" s="1" t="str">
        <f>"2011年9月1日-2015年7月1日  河南检察职业学院  刑事侦查技术专业学习
2018年11月30日-2024年12月30日    息县民政局政府购岗  职工"</f>
        <v>2011年9月1日-2015年7月1日  河南检察职业学院  刑事侦查技术专业学习
2018年11月30日-2024年12月30日    息县民政局政府购岗  职工</v>
      </c>
    </row>
    <row r="4479" spans="1:9">
      <c r="A4479" s="1" t="str">
        <f>"411327199901234918"</f>
        <v>411327199901234918</v>
      </c>
      <c r="B4479" s="1" t="str">
        <f t="shared" ref="B4479:B4481" si="2219">"共青团员"</f>
        <v>共青团员</v>
      </c>
      <c r="C4479" s="1" t="str">
        <f t="shared" si="2218"/>
        <v>本科</v>
      </c>
      <c r="D4479" s="1" t="str">
        <f>"20220701"</f>
        <v>20220701</v>
      </c>
      <c r="E4479" s="1" t="str">
        <f>"河南工学院"</f>
        <v>河南工学院</v>
      </c>
      <c r="F4479" s="1" t="str">
        <f>"机械设计制造及其自动化"</f>
        <v>机械设计制造及其自动化</v>
      </c>
      <c r="G4479" s="1" t="str">
        <f>"河南省南阳市内乡县灌涨镇灌涨村街南"</f>
        <v>河南省南阳市内乡县灌涨镇灌涨村街南</v>
      </c>
      <c r="H4479" s="1" t="str">
        <f t="shared" si="2213"/>
        <v>无</v>
      </c>
      <c r="I4479" s="1" t="str">
        <f>"201809-202207 河南工学院  机械设计制造及其自动化 全日制 就读"</f>
        <v>201809-202207 河南工学院  机械设计制造及其自动化 全日制 就读</v>
      </c>
    </row>
    <row r="4480" spans="1:9">
      <c r="A4480" s="1" t="str">
        <f>"411326200207102025"</f>
        <v>411326200207102025</v>
      </c>
      <c r="B4480" s="1" t="str">
        <f t="shared" si="2219"/>
        <v>共青团员</v>
      </c>
      <c r="C4480" s="1" t="str">
        <f t="shared" si="2218"/>
        <v>本科</v>
      </c>
      <c r="D4480" s="1" t="str">
        <f>"20240701"</f>
        <v>20240701</v>
      </c>
      <c r="E4480" s="1" t="str">
        <f>"河南财经政法大学"</f>
        <v>河南财经政法大学</v>
      </c>
      <c r="F4480" s="1" t="str">
        <f>"人力资源管理"</f>
        <v>人力资源管理</v>
      </c>
      <c r="G4480" s="1" t="str">
        <f>"河南省南阳市南召县皇后乡"</f>
        <v>河南省南阳市南召县皇后乡</v>
      </c>
      <c r="H4480" s="1" t="str">
        <f t="shared" si="2213"/>
        <v>无</v>
      </c>
      <c r="I4480" s="1" t="str">
        <f>"20200901-20240701 河南财经政法大学公共管理学院人力资源管理专业就读，全日制学历；20240701至今，待业。"</f>
        <v>20200901-20240701 河南财经政法大学公共管理学院人力资源管理专业就读，全日制学历；20240701至今，待业。</v>
      </c>
    </row>
    <row r="4481" spans="1:9">
      <c r="A4481" s="1" t="str">
        <f>"411327200002250012"</f>
        <v>411327200002250012</v>
      </c>
      <c r="B4481" s="1" t="str">
        <f t="shared" si="2219"/>
        <v>共青团员</v>
      </c>
      <c r="C4481" s="1" t="str">
        <f t="shared" si="2218"/>
        <v>本科</v>
      </c>
      <c r="D4481" s="1" t="str">
        <f>"2024.06.21"</f>
        <v>2024.06.21</v>
      </c>
      <c r="E4481" s="1" t="str">
        <f>"长春财经学院"</f>
        <v>长春财经学院</v>
      </c>
      <c r="F4481" s="1" t="str">
        <f>"财务管理"</f>
        <v>财务管理</v>
      </c>
      <c r="G4481" s="1" t="str">
        <f>"河南省南阳市内乡县城关镇教育路250号"</f>
        <v>河南省南阳市内乡县城关镇教育路250号</v>
      </c>
      <c r="H4481" s="1" t="str">
        <f t="shared" si="2213"/>
        <v>无</v>
      </c>
      <c r="I4481" s="1" t="str">
        <f>"2019.09-2022.09 吉林警察学院 会计学院 财务管理专业 就读
2022.09-2024.06 长春财经学院 会计学院 财务管理专业 就读
2024.6-至今 待业"</f>
        <v>2019.09-2022.09 吉林警察学院 会计学院 财务管理专业 就读
2022.09-2024.06 长春财经学院 会计学院 财务管理专业 就读
2024.6-至今 待业</v>
      </c>
    </row>
    <row r="4482" spans="1:9">
      <c r="A4482" s="1" t="str">
        <f>"411327200210090033"</f>
        <v>411327200210090033</v>
      </c>
      <c r="B4482" s="1" t="str">
        <f t="shared" ref="B4482:B4486" si="2220">"中共党员"</f>
        <v>中共党员</v>
      </c>
      <c r="C4482" s="1" t="str">
        <f t="shared" si="2218"/>
        <v>本科</v>
      </c>
      <c r="D4482" s="1" t="str">
        <f>"20250610"</f>
        <v>20250610</v>
      </c>
      <c r="E4482" s="1" t="str">
        <f>"河南牧业经济学院"</f>
        <v>河南牧业经济学院</v>
      </c>
      <c r="F4482" s="1" t="str">
        <f>"制药工程"</f>
        <v>制药工程</v>
      </c>
      <c r="G4482" s="1" t="str">
        <f>"河南省南阳市内乡县城关镇渚阳大街北二巷"</f>
        <v>河南省南阳市内乡县城关镇渚阳大街北二巷</v>
      </c>
      <c r="H4482" s="1" t="str">
        <f t="shared" si="2213"/>
        <v>无</v>
      </c>
      <c r="I4482" s="1" t="str">
        <f>"202109-202506 在河南牧业经济学院 动物医药学院制药工程专业  全日制本科"</f>
        <v>202109-202506 在河南牧业经济学院 动物医药学院制药工程专业  全日制本科</v>
      </c>
    </row>
    <row r="4483" spans="1:9">
      <c r="A4483" s="1" t="str">
        <f>"411324200212262450"</f>
        <v>411324200212262450</v>
      </c>
      <c r="B4483" s="1" t="str">
        <f>"群众"</f>
        <v>群众</v>
      </c>
      <c r="C4483" s="1" t="str">
        <f t="shared" ref="C4483:C4487" si="2221">"专科"</f>
        <v>专科</v>
      </c>
      <c r="D4483" s="1" t="str">
        <f>"2025620"</f>
        <v>2025620</v>
      </c>
      <c r="E4483" s="1" t="str">
        <f>"漯河医学高等专科学校"</f>
        <v>漯河医学高等专科学校</v>
      </c>
      <c r="F4483" s="1" t="str">
        <f>"中医康复技术"</f>
        <v>中医康复技术</v>
      </c>
      <c r="G4483" s="1" t="str">
        <f>"河南省南阳市镇平县城关镇三里河村"</f>
        <v>河南省南阳市镇平县城关镇三里河村</v>
      </c>
      <c r="H4483" s="1" t="str">
        <f>"保健按摩师证书"</f>
        <v>保健按摩师证书</v>
      </c>
      <c r="I4483" s="1" t="str">
        <f>"2022年9月至2025年6月在漯河医学高等专科学校全日制医疗系中医康复技术就读"</f>
        <v>2022年9月至2025年6月在漯河医学高等专科学校全日制医疗系中医康复技术就读</v>
      </c>
    </row>
    <row r="4484" spans="1:9">
      <c r="A4484" s="1" t="str">
        <f>"411324200111112445"</f>
        <v>411324200111112445</v>
      </c>
      <c r="B4484" s="1" t="str">
        <f>"群众"</f>
        <v>群众</v>
      </c>
      <c r="C4484" s="1" t="str">
        <f t="shared" si="2221"/>
        <v>专科</v>
      </c>
      <c r="D4484" s="1" t="str">
        <f>"20230701"</f>
        <v>20230701</v>
      </c>
      <c r="E4484" s="1" t="str">
        <f>"郑州旅游职业学院"</f>
        <v>郑州旅游职业学院</v>
      </c>
      <c r="F4484" s="1" t="str">
        <f>"酒店管理"</f>
        <v>酒店管理</v>
      </c>
      <c r="G4484" s="1" t="str">
        <f>"河南省南阳市镇平县"</f>
        <v>河南省南阳市镇平县</v>
      </c>
      <c r="H4484" s="1" t="str">
        <f t="shared" ref="H4484:H4491" si="2222">"无"</f>
        <v>无</v>
      </c>
      <c r="I4484" s="1" t="str">
        <f>"202010-202307 郑州旅游职业学院 酒店管理专业 全日制"</f>
        <v>202010-202307 郑州旅游职业学院 酒店管理专业 全日制</v>
      </c>
    </row>
    <row r="4485" spans="1:9">
      <c r="A4485" s="1" t="str">
        <f>"411322199907232911"</f>
        <v>411322199907232911</v>
      </c>
      <c r="B4485" s="1" t="str">
        <f t="shared" si="2220"/>
        <v>中共党员</v>
      </c>
      <c r="C4485" s="1" t="str">
        <f t="shared" ref="C4485:C4489" si="2223">"本科"</f>
        <v>本科</v>
      </c>
      <c r="D4485" s="1" t="str">
        <f>"20230710"</f>
        <v>20230710</v>
      </c>
      <c r="E4485" s="1" t="str">
        <f>"西北工业大学"</f>
        <v>西北工业大学</v>
      </c>
      <c r="F4485" s="1" t="str">
        <f>"工商管理"</f>
        <v>工商管理</v>
      </c>
      <c r="G4485" s="1" t="str">
        <f>"河南省南阳市卧龙区两相路金秋怡园"</f>
        <v>河南省南阳市卧龙区两相路金秋怡园</v>
      </c>
      <c r="H4485" s="1" t="str">
        <f t="shared" si="2222"/>
        <v>无</v>
      </c>
      <c r="I4485" s="1" t="str">
        <f>"202103-202307 西北工业大学就读"</f>
        <v>202103-202307 西北工业大学就读</v>
      </c>
    </row>
    <row r="4486" spans="1:9">
      <c r="A4486" s="1" t="str">
        <f>"411081200201089024"</f>
        <v>411081200201089024</v>
      </c>
      <c r="B4486" s="1" t="str">
        <f t="shared" si="2220"/>
        <v>中共党员</v>
      </c>
      <c r="C4486" s="1" t="str">
        <f t="shared" si="2223"/>
        <v>本科</v>
      </c>
      <c r="D4486" s="1" t="str">
        <f>"2024-06-30"</f>
        <v>2024-06-30</v>
      </c>
      <c r="E4486" s="1" t="str">
        <f>"新乡学院"</f>
        <v>新乡学院</v>
      </c>
      <c r="F4486" s="1" t="str">
        <f>"广播电视编导专业"</f>
        <v>广播电视编导专业</v>
      </c>
      <c r="G4486" s="1" t="str">
        <f>"河南省禹州市恒达贵园一号楼1104"</f>
        <v>河南省禹州市恒达贵园一号楼1104</v>
      </c>
      <c r="H4486" s="1" t="str">
        <f t="shared" si="2222"/>
        <v>无</v>
      </c>
      <c r="I4486" s="1" t="str">
        <f>"202010-202406 新乡学院 新闻传播学院广播电视编导专业就读
202406-202507 在家待业 "</f>
        <v>202010-202406 新乡学院 新闻传播学院广播电视编导专业就读
202406-202507 在家待业 </v>
      </c>
    </row>
    <row r="4487" spans="1:9">
      <c r="A4487" s="1" t="str">
        <f>"411325200112084980"</f>
        <v>411325200112084980</v>
      </c>
      <c r="B4487" s="1" t="str">
        <f t="shared" ref="B4487:B4489" si="2224">"共青团员"</f>
        <v>共青团员</v>
      </c>
      <c r="C4487" s="1" t="str">
        <f t="shared" si="2221"/>
        <v>专科</v>
      </c>
      <c r="D4487" s="1" t="str">
        <f>"20240616"</f>
        <v>20240616</v>
      </c>
      <c r="E4487" s="1" t="str">
        <f>"南阳农业职业学院"</f>
        <v>南阳农业职业学院</v>
      </c>
      <c r="F4487" s="1" t="str">
        <f>"大数据与会计"</f>
        <v>大数据与会计</v>
      </c>
      <c r="G4487" s="1" t="str">
        <f>"南阳市内乡县"</f>
        <v>南阳市内乡县</v>
      </c>
      <c r="H4487" s="1" t="str">
        <f t="shared" si="2222"/>
        <v>无</v>
      </c>
      <c r="I4487" s="1" t="str">
        <f>"201909-202406在南阳农业职业学院 商学院大数据与会计专业就读，全日制学历。"</f>
        <v>201909-202406在南阳农业职业学院 商学院大数据与会计专业就读，全日制学历。</v>
      </c>
    </row>
    <row r="4488" spans="1:9">
      <c r="A4488" s="1" t="str">
        <f>"411327199810100332"</f>
        <v>411327199810100332</v>
      </c>
      <c r="B4488" s="1" t="str">
        <f t="shared" si="2224"/>
        <v>共青团员</v>
      </c>
      <c r="C4488" s="1" t="str">
        <f t="shared" si="2223"/>
        <v>本科</v>
      </c>
      <c r="D4488" s="1" t="str">
        <f>"20200701"</f>
        <v>20200701</v>
      </c>
      <c r="E4488" s="1" t="str">
        <f>"河南科技学院"</f>
        <v>河南科技学院</v>
      </c>
      <c r="F4488" s="1" t="str">
        <f>"植物保护"</f>
        <v>植物保护</v>
      </c>
      <c r="G4488" s="1" t="str">
        <f>"河南省南阳市内乡县永和清华园"</f>
        <v>河南省南阳市内乡县永和清华园</v>
      </c>
      <c r="H4488" s="1" t="str">
        <f t="shared" si="2222"/>
        <v>无</v>
      </c>
      <c r="I4488" s="1" t="str">
        <f>"201609-202007 河南科技学院 资源与环境学院 植物保护专业 就读
"</f>
        <v>201609-202007 河南科技学院 资源与环境学院 植物保护专业 就读
</v>
      </c>
    </row>
    <row r="4489" spans="1:9">
      <c r="A4489" s="1" t="str">
        <f>"411324200111294824"</f>
        <v>411324200111294824</v>
      </c>
      <c r="B4489" s="1" t="str">
        <f t="shared" si="2224"/>
        <v>共青团员</v>
      </c>
      <c r="C4489" s="1" t="str">
        <f t="shared" si="2223"/>
        <v>本科</v>
      </c>
      <c r="D4489" s="1" t="str">
        <f>"20240625"</f>
        <v>20240625</v>
      </c>
      <c r="E4489" s="1" t="str">
        <f>"郑州西亚斯学院"</f>
        <v>郑州西亚斯学院</v>
      </c>
      <c r="F4489" s="1" t="str">
        <f>"汉语言文学"</f>
        <v>汉语言文学</v>
      </c>
      <c r="G4489" s="1" t="str">
        <f>"河南省南阳市镇平县侯集镇袁营村"</f>
        <v>河南省南阳市镇平县侯集镇袁营村</v>
      </c>
      <c r="H4489" s="1" t="str">
        <f t="shared" si="2222"/>
        <v>无</v>
      </c>
      <c r="I4489" s="1" t="str">
        <f>"202009-202406 郑州西亚斯学院 文法学院 汉语言文学专业就读 全日制本科
202406-至今 待业"</f>
        <v>202009-202406 郑州西亚斯学院 文法学院 汉语言文学专业就读 全日制本科
202406-至今 待业</v>
      </c>
    </row>
    <row r="4490" spans="1:9">
      <c r="A4490" s="1" t="str">
        <f>"411526200011110016"</f>
        <v>411526200011110016</v>
      </c>
      <c r="B4490" s="1" t="str">
        <f t="shared" ref="B4490:B4495" si="2225">"群众"</f>
        <v>群众</v>
      </c>
      <c r="C4490" s="1" t="str">
        <f>"专科"</f>
        <v>专科</v>
      </c>
      <c r="D4490" s="1" t="str">
        <f>"2023年7月1日"</f>
        <v>2023年7月1日</v>
      </c>
      <c r="E4490" s="1" t="str">
        <f>"南阳医学高等专科学校"</f>
        <v>南阳医学高等专科学校</v>
      </c>
      <c r="F4490" s="1" t="str">
        <f>"医学影像技术"</f>
        <v>医学影像技术</v>
      </c>
      <c r="G4490" s="1" t="str">
        <f>"河南省信阳市潢川县春申街道"</f>
        <v>河南省信阳市潢川县春申街道</v>
      </c>
      <c r="H4490" s="1" t="str">
        <f t="shared" si="2222"/>
        <v>无</v>
      </c>
      <c r="I4490" s="1" t="str">
        <f>"2015.09-2018.07 潢川县高级中学
2018.09-2021.07 南阳医学高等专科学校
2022.03-2024.03 参军入伍 
2024.03-至今 待业"</f>
        <v>2015.09-2018.07 潢川县高级中学
2018.09-2021.07 南阳医学高等专科学校
2022.03-2024.03 参军入伍 
2024.03-至今 待业</v>
      </c>
    </row>
    <row r="4491" spans="1:9">
      <c r="A4491" s="1" t="str">
        <f>"41132720000906065X"</f>
        <v>41132720000906065X</v>
      </c>
      <c r="B4491" s="1" t="str">
        <f>"中共党员"</f>
        <v>中共党员</v>
      </c>
      <c r="C4491" s="1" t="str">
        <f t="shared" ref="C4491:C4499" si="2226">"本科"</f>
        <v>本科</v>
      </c>
      <c r="D4491" s="1" t="str">
        <f>"20220623"</f>
        <v>20220623</v>
      </c>
      <c r="E4491" s="1" t="str">
        <f>"电子科技大学中山学院"</f>
        <v>电子科技大学中山学院</v>
      </c>
      <c r="F4491" s="1" t="str">
        <f>"软件工程"</f>
        <v>软件工程</v>
      </c>
      <c r="G4491" s="1" t="str">
        <f>"河南省南阳市内乡县郦都花园8号楼2单元302"</f>
        <v>河南省南阳市内乡县郦都花园8号楼2单元302</v>
      </c>
      <c r="H4491" s="1" t="str">
        <f t="shared" si="2222"/>
        <v>无</v>
      </c>
      <c r="I4491" s="1" t="str">
        <f>"201809-202206 电子科技大学中山学院 就读 全日制学历"</f>
        <v>201809-202206 电子科技大学中山学院 就读 全日制学历</v>
      </c>
    </row>
    <row r="4492" spans="1:9">
      <c r="A4492" s="1" t="str">
        <f>"410324200109247542"</f>
        <v>410324200109247542</v>
      </c>
      <c r="B4492" s="1" t="str">
        <f t="shared" si="2225"/>
        <v>群众</v>
      </c>
      <c r="C4492" s="1" t="str">
        <f t="shared" si="2226"/>
        <v>本科</v>
      </c>
      <c r="D4492" s="1" t="str">
        <f>"2024.07"</f>
        <v>2024.07</v>
      </c>
      <c r="E4492" s="1" t="str">
        <f>"河南科技职业大学"</f>
        <v>河南科技职业大学</v>
      </c>
      <c r="F4492" s="1" t="str">
        <f>"环境艺术设计"</f>
        <v>环境艺术设计</v>
      </c>
      <c r="G4492" s="1" t="str">
        <f>"陶湾镇"</f>
        <v>陶湾镇</v>
      </c>
      <c r="H4492" s="1" t="str">
        <f>"室内设计高级证书"</f>
        <v>室内设计高级证书</v>
      </c>
      <c r="I4492" s="1" t="str">
        <f>"202009-202407 河南科技职业大学 环境艺术设计
202407-202507 待业"</f>
        <v>202009-202407 河南科技职业大学 环境艺术设计
202407-202507 待业</v>
      </c>
    </row>
    <row r="4493" spans="1:9">
      <c r="A4493" s="1" t="str">
        <f>"411330199906263126"</f>
        <v>411330199906263126</v>
      </c>
      <c r="B4493" s="1" t="str">
        <f>"中共党员"</f>
        <v>中共党员</v>
      </c>
      <c r="C4493" s="1" t="str">
        <f t="shared" si="2226"/>
        <v>本科</v>
      </c>
      <c r="D4493" s="1" t="str">
        <f>"20210701"</f>
        <v>20210701</v>
      </c>
      <c r="E4493" s="1" t="str">
        <f>"许昌学院"</f>
        <v>许昌学院</v>
      </c>
      <c r="F4493" s="1" t="str">
        <f>"会计学"</f>
        <v>会计学</v>
      </c>
      <c r="G4493" s="1" t="str">
        <f>"河南省南阳市西峡县重阳镇"</f>
        <v>河南省南阳市西峡县重阳镇</v>
      </c>
      <c r="H4493" s="1" t="str">
        <f>"初级会计职称"</f>
        <v>初级会计职称</v>
      </c>
      <c r="I4493" s="1" t="str">
        <f>"201709-202107许昌学院商学院会计学就读，全日制
202107-202206在家待业
202206-202506河南龙成集团有限公司就业"</f>
        <v>201709-202107许昌学院商学院会计学就读，全日制
202107-202206在家待业
202206-202506河南龙成集团有限公司就业</v>
      </c>
    </row>
    <row r="4494" spans="1:9">
      <c r="A4494" s="1" t="str">
        <f>"410425200205205520"</f>
        <v>410425200205205520</v>
      </c>
      <c r="B4494" s="1" t="str">
        <f t="shared" ref="B4494:B4499" si="2227">"共青团员"</f>
        <v>共青团员</v>
      </c>
      <c r="C4494" s="1" t="str">
        <f t="shared" si="2226"/>
        <v>本科</v>
      </c>
      <c r="D4494" s="1" t="str">
        <f>"20250701"</f>
        <v>20250701</v>
      </c>
      <c r="E4494" s="1" t="str">
        <f>"河南财政金融学院"</f>
        <v>河南财政金融学院</v>
      </c>
      <c r="F4494" s="1" t="str">
        <f>"音乐学"</f>
        <v>音乐学</v>
      </c>
      <c r="G4494" s="1" t="str">
        <f>"河南省平顶山市郏县东方港湾"</f>
        <v>河南省平顶山市郏县东方港湾</v>
      </c>
      <c r="H4494" s="1" t="str">
        <f t="shared" ref="H4494:H4506" si="2228">"无"</f>
        <v>无</v>
      </c>
      <c r="I4494" s="1" t="str">
        <f>"202109-202507 河南财政金融学院 就读"</f>
        <v>202109-202507 河南财政金融学院 就读</v>
      </c>
    </row>
    <row r="4495" spans="1:9">
      <c r="A4495" s="1" t="str">
        <f>"410728200208094526"</f>
        <v>410728200208094526</v>
      </c>
      <c r="B4495" s="1" t="str">
        <f t="shared" si="2225"/>
        <v>群众</v>
      </c>
      <c r="C4495" s="1" t="str">
        <f t="shared" si="2226"/>
        <v>本科</v>
      </c>
      <c r="D4495" s="1" t="str">
        <f>"2025-07-01"</f>
        <v>2025-07-01</v>
      </c>
      <c r="E4495" s="1" t="str">
        <f>"沈阳城市建设学院"</f>
        <v>沈阳城市建设学院</v>
      </c>
      <c r="F4495" s="1" t="str">
        <f>"会计学"</f>
        <v>会计学</v>
      </c>
      <c r="G4495" s="1" t="str">
        <f>"河南省新乡市长垣市赵堤镇杨庄村31号"</f>
        <v>河南省新乡市长垣市赵堤镇杨庄村31号</v>
      </c>
      <c r="H4495" s="1" t="str">
        <f>"初级会计职业资格证书"</f>
        <v>初级会计职业资格证书</v>
      </c>
      <c r="I4495" s="1" t="str">
        <f>"202109-202507 沈阳城市建设学院就读管理系会计学专业，是全日制学历
202507-202508待业
"</f>
        <v>202109-202507 沈阳城市建设学院就读管理系会计学专业，是全日制学历
202507-202508待业
</v>
      </c>
    </row>
    <row r="4496" spans="1:9">
      <c r="A4496" s="1" t="str">
        <f>"411628200108096116"</f>
        <v>411628200108096116</v>
      </c>
      <c r="B4496" s="1" t="str">
        <f t="shared" si="2227"/>
        <v>共青团员</v>
      </c>
      <c r="C4496" s="1" t="str">
        <f t="shared" si="2226"/>
        <v>本科</v>
      </c>
      <c r="D4496" s="1" t="str">
        <f>"20240701"</f>
        <v>20240701</v>
      </c>
      <c r="E4496" s="1" t="str">
        <f>"华东交通大学理工学院"</f>
        <v>华东交通大学理工学院</v>
      </c>
      <c r="F4496" s="1" t="str">
        <f>"土木工程"</f>
        <v>土木工程</v>
      </c>
      <c r="G4496" s="1" t="str">
        <f>"河南省周口市鹿邑县玄武镇"</f>
        <v>河南省周口市鹿邑县玄武镇</v>
      </c>
      <c r="H4496" s="1" t="str">
        <f t="shared" si="2228"/>
        <v>无</v>
      </c>
      <c r="I4496" s="1" t="str">
        <f>"202009-202406 华东交通大学理工学院 就读
202406-至今 在家待业"</f>
        <v>202009-202406 华东交通大学理工学院 就读
202406-至今 在家待业</v>
      </c>
    </row>
    <row r="4497" spans="1:9">
      <c r="A4497" s="1" t="str">
        <f>"411327200207014566"</f>
        <v>411327200207014566</v>
      </c>
      <c r="B4497" s="1" t="str">
        <f t="shared" ref="B4497:B4500" si="2229">"群众"</f>
        <v>群众</v>
      </c>
      <c r="C4497" s="1" t="str">
        <f t="shared" si="2226"/>
        <v>本科</v>
      </c>
      <c r="D4497" s="1" t="str">
        <f>"20240701"</f>
        <v>20240701</v>
      </c>
      <c r="E4497" s="1" t="str">
        <f>"华北水利水电大学"</f>
        <v>华北水利水电大学</v>
      </c>
      <c r="F4497" s="1" t="str">
        <f>"英语"</f>
        <v>英语</v>
      </c>
      <c r="G4497" s="1" t="str">
        <f>"河南省南阳市内乡县赵店乡郦城村刘岗47号"</f>
        <v>河南省南阳市内乡县赵店乡郦城村刘岗47号</v>
      </c>
      <c r="H4497" s="1" t="str">
        <f t="shared" si="2228"/>
        <v>无</v>
      </c>
      <c r="I4497" s="1" t="str">
        <f>"202009-202407在华北水利水电大学外国语学院英语专业就读，全日制学历"</f>
        <v>202009-202407在华北水利水电大学外国语学院英语专业就读，全日制学历</v>
      </c>
    </row>
    <row r="4498" spans="1:9">
      <c r="A4498" s="1" t="str">
        <f>"411327200204270679"</f>
        <v>411327200204270679</v>
      </c>
      <c r="B4498" s="1" t="str">
        <f t="shared" si="2229"/>
        <v>群众</v>
      </c>
      <c r="C4498" s="1" t="str">
        <f t="shared" si="2226"/>
        <v>本科</v>
      </c>
      <c r="D4498" s="1" t="str">
        <f>"20200702"</f>
        <v>20200702</v>
      </c>
      <c r="E4498" s="1" t="str">
        <f>"天津商业大学"</f>
        <v>天津商业大学</v>
      </c>
      <c r="F4498" s="1" t="str">
        <f>"能源与动力工程"</f>
        <v>能源与动力工程</v>
      </c>
      <c r="G4498" s="1" t="str">
        <f>"河南省南阳市内乡县城关镇大城西路62号"</f>
        <v>河南省南阳市内乡县城关镇大城西路62号</v>
      </c>
      <c r="H4498" s="1" t="str">
        <f t="shared" si="2228"/>
        <v>无</v>
      </c>
      <c r="I4498" s="1" t="str">
        <f>"202009-202406  于天津商业大学 机械工程学院 能源与动力工程专业就读  为全日制学历"</f>
        <v>202009-202406  于天津商业大学 机械工程学院 能源与动力工程专业就读  为全日制学历</v>
      </c>
    </row>
    <row r="4499" spans="1:9">
      <c r="A4499" s="1" t="str">
        <f>"411327199504023922"</f>
        <v>411327199504023922</v>
      </c>
      <c r="B4499" s="1" t="str">
        <f t="shared" si="2227"/>
        <v>共青团员</v>
      </c>
      <c r="C4499" s="1" t="str">
        <f t="shared" si="2226"/>
        <v>本科</v>
      </c>
      <c r="D4499" s="1" t="str">
        <f>"20180619"</f>
        <v>20180619</v>
      </c>
      <c r="E4499" s="1" t="str">
        <f>"四川轻化工大学"</f>
        <v>四川轻化工大学</v>
      </c>
      <c r="F4499" s="1" t="str">
        <f>"行政管理"</f>
        <v>行政管理</v>
      </c>
      <c r="G4499" s="1" t="str">
        <f>"河南省南阳市内乡县乍曲乡孙岗村"</f>
        <v>河南省南阳市内乡县乍曲乡孙岗村</v>
      </c>
      <c r="H4499" s="1" t="str">
        <f t="shared" si="2228"/>
        <v>无</v>
      </c>
      <c r="I4499" s="1" t="str">
        <f>"201409-201806在四川轻化工大学法学院就读行政管理专业，全日制本科学历
2018年一年在家待业，2019-2025年至今在河南南阳内乡郦都学校就业"</f>
        <v>201409-201806在四川轻化工大学法学院就读行政管理专业，全日制本科学历
2018年一年在家待业，2019-2025年至今在河南南阳内乡郦都学校就业</v>
      </c>
    </row>
    <row r="4500" spans="1:9">
      <c r="A4500" s="1" t="str">
        <f>"411330199205141580"</f>
        <v>411330199205141580</v>
      </c>
      <c r="B4500" s="1" t="str">
        <f t="shared" si="2229"/>
        <v>群众</v>
      </c>
      <c r="C4500" s="1" t="str">
        <f t="shared" ref="C4500:C4505" si="2230">"专科"</f>
        <v>专科</v>
      </c>
      <c r="D4500" s="1" t="str">
        <f>"20140701"</f>
        <v>20140701</v>
      </c>
      <c r="E4500" s="1" t="str">
        <f>"郑州大学西亚斯国际学院"</f>
        <v>郑州大学西亚斯国际学院</v>
      </c>
      <c r="F4500" s="1" t="str">
        <f>"会计与审计"</f>
        <v>会计与审计</v>
      </c>
      <c r="G4500" s="1" t="str">
        <f>"河南省南阳市西峡县富贵家园"</f>
        <v>河南省南阳市西峡县富贵家园</v>
      </c>
      <c r="H4500" s="1" t="str">
        <f t="shared" si="2228"/>
        <v>无</v>
      </c>
      <c r="I4500" s="1" t="str">
        <f>"201109-201407 郑州大学西亚斯国际学院 会计与审计专业就读"</f>
        <v>201109-201407 郑州大学西亚斯国际学院 会计与审计专业就读</v>
      </c>
    </row>
    <row r="4501" spans="1:9">
      <c r="A4501" s="1" t="str">
        <f>"41132719981104001X"</f>
        <v>41132719981104001X</v>
      </c>
      <c r="B4501" s="1" t="str">
        <f>"中共党员"</f>
        <v>中共党员</v>
      </c>
      <c r="C4501" s="1" t="str">
        <f t="shared" ref="C4501:C4503" si="2231">"本科"</f>
        <v>本科</v>
      </c>
      <c r="D4501" s="1" t="str">
        <f>"20200630"</f>
        <v>20200630</v>
      </c>
      <c r="E4501" s="1" t="str">
        <f>"吉林工商学院"</f>
        <v>吉林工商学院</v>
      </c>
      <c r="F4501" s="1" t="str">
        <f>"电子商务"</f>
        <v>电子商务</v>
      </c>
      <c r="G4501" s="1" t="str">
        <f>"河南省内乡县城关镇白云小区"</f>
        <v>河南省内乡县城关镇白云小区</v>
      </c>
      <c r="H4501" s="1" t="str">
        <f t="shared" si="2228"/>
        <v>无</v>
      </c>
      <c r="I4501" s="1" t="str">
        <f>"201609-202006吉林工商学院经贸学院电子商务专业就读，全日制学历
202006-202103在家待业
202103-202203河南省知遇网络科技有限公司，做电商运营
202203-202305在家待业
202305-202308河南巴巴胡品牌管理有限公司，管培生
202308-202507在家待业
202507至今，人力宝科技有限公司，做数据标注"</f>
        <v>201609-202006吉林工商学院经贸学院电子商务专业就读，全日制学历
202006-202103在家待业
202103-202203河南省知遇网络科技有限公司，做电商运营
202203-202305在家待业
202305-202308河南巴巴胡品牌管理有限公司，管培生
202308-202507在家待业
202507至今，人力宝科技有限公司，做数据标注</v>
      </c>
    </row>
    <row r="4502" spans="1:9">
      <c r="A4502" s="1" t="str">
        <f>"411327200303272995"</f>
        <v>411327200303272995</v>
      </c>
      <c r="B4502" s="1" t="str">
        <f>"共青团员"</f>
        <v>共青团员</v>
      </c>
      <c r="C4502" s="1" t="str">
        <f t="shared" si="2231"/>
        <v>本科</v>
      </c>
      <c r="D4502" s="1" t="str">
        <f>"20250701"</f>
        <v>20250701</v>
      </c>
      <c r="E4502" s="1" t="str">
        <f>"中原工学院"</f>
        <v>中原工学院</v>
      </c>
      <c r="F4502" s="1" t="str">
        <f>"物流工程"</f>
        <v>物流工程</v>
      </c>
      <c r="G4502" s="1" t="str">
        <f>"河南省南阳市内乡县瓦亭镇袁沟村胡北13号"</f>
        <v>河南省南阳市内乡县瓦亭镇袁沟村胡北13号</v>
      </c>
      <c r="H4502" s="1" t="str">
        <f t="shared" si="2228"/>
        <v>无</v>
      </c>
      <c r="I4502" s="1" t="str">
        <f>"2021年9月至2025年6月在中原工学院经济管理学院物流工程专业就读，是全日制学历"</f>
        <v>2021年9月至2025年6月在中原工学院经济管理学院物流工程专业就读，是全日制学历</v>
      </c>
    </row>
    <row r="4503" spans="1:9">
      <c r="A4503" s="1" t="str">
        <f>"410523199607109328"</f>
        <v>410523199607109328</v>
      </c>
      <c r="B4503" s="1" t="str">
        <f t="shared" ref="B4503:B4505" si="2232">"群众"</f>
        <v>群众</v>
      </c>
      <c r="C4503" s="1" t="str">
        <f t="shared" si="2231"/>
        <v>本科</v>
      </c>
      <c r="D4503" s="1" t="str">
        <f>"20250120"</f>
        <v>20250120</v>
      </c>
      <c r="E4503" s="1" t="str">
        <f>"国家开放大学"</f>
        <v>国家开放大学</v>
      </c>
      <c r="F4503" s="1" t="str">
        <f>"会计学"</f>
        <v>会计学</v>
      </c>
      <c r="G4503" s="1" t="str">
        <f>"河南省安阳市汤阴县城关镇安泰佳苑"</f>
        <v>河南省安阳市汤阴县城关镇安泰佳苑</v>
      </c>
      <c r="H4503" s="1" t="str">
        <f t="shared" si="2228"/>
        <v>无</v>
      </c>
      <c r="I4503" s="1" t="str">
        <f>"2015年3月-2017年7月；郑州轻工业大学就读服装设计专业成人大专
2017年7月-2019年7月；河北省石家庄市鹿泉区旺贝特服饰有限公司
2019年7月-至今；汤阴县信访局
2022年3月-2025年1月国家开放大学就读本科会计学"</f>
        <v>2015年3月-2017年7月；郑州轻工业大学就读服装设计专业成人大专
2017年7月-2019年7月；河北省石家庄市鹿泉区旺贝特服饰有限公司
2019年7月-至今；汤阴县信访局
2022年3月-2025年1月国家开放大学就读本科会计学</v>
      </c>
    </row>
    <row r="4504" spans="1:9">
      <c r="A4504" s="1" t="str">
        <f>"410821200309180037"</f>
        <v>410821200309180037</v>
      </c>
      <c r="B4504" s="1" t="str">
        <f t="shared" si="2232"/>
        <v>群众</v>
      </c>
      <c r="C4504" s="1" t="str">
        <f t="shared" si="2230"/>
        <v>专科</v>
      </c>
      <c r="D4504" s="1" t="str">
        <f>"20230701"</f>
        <v>20230701</v>
      </c>
      <c r="E4504" s="1" t="str">
        <f>"河南财政金融学院"</f>
        <v>河南财政金融学院</v>
      </c>
      <c r="F4504" s="1" t="str">
        <f>"计算机网络技术"</f>
        <v>计算机网络技术</v>
      </c>
      <c r="G4504" s="1" t="str">
        <f>"河南省焦作市修武县城关镇秦厂村"</f>
        <v>河南省焦作市修武县城关镇秦厂村</v>
      </c>
      <c r="H4504" s="1" t="str">
        <f t="shared" si="2228"/>
        <v>无</v>
      </c>
      <c r="I4504" s="1" t="str">
        <f>"202109—202307    河南财政金融学院 软件学院  计算机网络技术专业就读  全日制学历"</f>
        <v>202109—202307    河南财政金融学院 软件学院  计算机网络技术专业就读  全日制学历</v>
      </c>
    </row>
    <row r="4505" spans="1:9">
      <c r="A4505" s="1" t="str">
        <f>"411327200106110057"</f>
        <v>411327200106110057</v>
      </c>
      <c r="B4505" s="1" t="str">
        <f t="shared" si="2232"/>
        <v>群众</v>
      </c>
      <c r="C4505" s="1" t="str">
        <f t="shared" si="2230"/>
        <v>专科</v>
      </c>
      <c r="D4505" s="1" t="str">
        <f>"20220701"</f>
        <v>20220701</v>
      </c>
      <c r="E4505" s="1" t="str">
        <f>"河南交通职业技术学院"</f>
        <v>河南交通职业技术学院</v>
      </c>
      <c r="F4505" s="1" t="str">
        <f>"工程监理"</f>
        <v>工程监理</v>
      </c>
      <c r="G4505" s="1" t="str">
        <f>"河南省南阳市内乡县东胡家园"</f>
        <v>河南省南阳市内乡县东胡家园</v>
      </c>
      <c r="H4505" s="1" t="str">
        <f t="shared" si="2228"/>
        <v>无</v>
      </c>
      <c r="I4505" s="1" t="str">
        <f>"2019-2022 河南交通职业技术学院就读 是全日制"</f>
        <v>2019-2022 河南交通职业技术学院就读 是全日制</v>
      </c>
    </row>
    <row r="4506" spans="1:9">
      <c r="A4506" s="1" t="str">
        <f>"411327200011012040"</f>
        <v>411327200011012040</v>
      </c>
      <c r="B4506" s="1" t="str">
        <f>"共青团员"</f>
        <v>共青团员</v>
      </c>
      <c r="C4506" s="1" t="str">
        <f>"硕士研究生"</f>
        <v>硕士研究生</v>
      </c>
      <c r="D4506" s="1" t="str">
        <f>"20220607"</f>
        <v>20220607</v>
      </c>
      <c r="E4506" s="1" t="str">
        <f>"上海海事大学"</f>
        <v>上海海事大学</v>
      </c>
      <c r="F4506" s="1" t="str">
        <f>"水路交通运输"</f>
        <v>水路交通运输</v>
      </c>
      <c r="G4506" s="1" t="str">
        <f>"城关镇渚阳大街南六巷"</f>
        <v>城关镇渚阳大街南六巷</v>
      </c>
      <c r="H4506" s="1" t="str">
        <f t="shared" si="2228"/>
        <v>无</v>
      </c>
      <c r="I4506" s="1" t="str">
        <f>"201809-202206 郑州航空工业管理学院 学校 就读 计算机科学与技术专业。
202209-202406 上海海事大学 学校 就读 水路交通运输专业。"</f>
        <v>201809-202206 郑州航空工业管理学院 学校 就读 计算机科学与技术专业。
202209-202406 上海海事大学 学校 就读 水路交通运输专业。</v>
      </c>
    </row>
    <row r="4507" spans="1:9">
      <c r="A4507" s="1" t="str">
        <f>"411224200305022426"</f>
        <v>411224200305022426</v>
      </c>
      <c r="B4507" s="1" t="str">
        <f t="shared" ref="B4507:B4513" si="2233">"中共党员"</f>
        <v>中共党员</v>
      </c>
      <c r="C4507" s="1" t="str">
        <f t="shared" ref="C4507:C4513" si="2234">"本科"</f>
        <v>本科</v>
      </c>
      <c r="D4507" s="1" t="str">
        <f>"20250605"</f>
        <v>20250605</v>
      </c>
      <c r="E4507" s="1" t="str">
        <f>"新疆科技学院"</f>
        <v>新疆科技学院</v>
      </c>
      <c r="F4507" s="1" t="str">
        <f>"会计学"</f>
        <v>会计学</v>
      </c>
      <c r="G4507" s="1" t="str">
        <f>"河南省三门峡市卢氏县双槐树乡西川村北街组10号"</f>
        <v>河南省三门峡市卢氏县双槐树乡西川村北街组10号</v>
      </c>
      <c r="H4507" s="1" t="str">
        <f>"初级会计职称资格证书"</f>
        <v>初级会计职称资格证书</v>
      </c>
      <c r="I4507" s="1" t="str">
        <f>"202109-202506 新疆科技学院会计学院会计学专业 就读 全日制学历"</f>
        <v>202109-202506 新疆科技学院会计学院会计学专业 就读 全日制学历</v>
      </c>
    </row>
    <row r="4508" spans="1:9">
      <c r="A4508" s="1" t="str">
        <f>"410122200012060024"</f>
        <v>410122200012060024</v>
      </c>
      <c r="B4508" s="1" t="str">
        <f t="shared" si="2233"/>
        <v>中共党员</v>
      </c>
      <c r="C4508" s="1" t="str">
        <f>"专科"</f>
        <v>专科</v>
      </c>
      <c r="D4508" s="1" t="str">
        <f>"20220701"</f>
        <v>20220701</v>
      </c>
      <c r="E4508" s="1" t="str">
        <f>"河南财政金融学院"</f>
        <v>河南财政金融学院</v>
      </c>
      <c r="F4508" s="1" t="str">
        <f>"会计"</f>
        <v>会计</v>
      </c>
      <c r="G4508" s="1" t="str">
        <f>"河南省郑州市中牟县广惠街街道路劲国际城"</f>
        <v>河南省郑州市中牟县广惠街街道路劲国际城</v>
      </c>
      <c r="H4508" s="1" t="str">
        <f t="shared" ref="H4508:H4513" si="2235">"无"</f>
        <v>无</v>
      </c>
      <c r="I4508" s="1" t="str">
        <f>"20190901-20220701 河南财政金融学院国际教育学院会计专业 全日制专科 就读
20220701-20220901 在家待业
20220901至今 在河南省郑州市中牟县宏源建设工程质量检测有限公司工作"</f>
        <v>20190901-20220701 河南财政金融学院国际教育学院会计专业 全日制专科 就读
20220701-20220901 在家待业
20220901至今 在河南省郑州市中牟县宏源建设工程质量检测有限公司工作</v>
      </c>
    </row>
    <row r="4509" spans="1:9">
      <c r="A4509" s="1" t="str">
        <f>"412727199707217746"</f>
        <v>412727199707217746</v>
      </c>
      <c r="B4509" s="1" t="str">
        <f>"群众"</f>
        <v>群众</v>
      </c>
      <c r="C4509" s="1" t="str">
        <f t="shared" si="2234"/>
        <v>本科</v>
      </c>
      <c r="D4509" s="1" t="str">
        <f>"20210701"</f>
        <v>20210701</v>
      </c>
      <c r="E4509" s="1" t="str">
        <f>"河南师范大学"</f>
        <v>河南师范大学</v>
      </c>
      <c r="F4509" s="1" t="str">
        <f>"财务管理"</f>
        <v>财务管理</v>
      </c>
      <c r="G4509" s="1" t="str">
        <f>"河南省南阳市内乡县湍东镇金融街荣府"</f>
        <v>河南省南阳市内乡县湍东镇金融街荣府</v>
      </c>
      <c r="H4509" s="1" t="str">
        <f t="shared" si="2235"/>
        <v>无</v>
      </c>
      <c r="I4509" s="1" t="str">
        <f>"201509-201806在河南经贸职业学院外语旅游系空中乘务专业就读，专科；201809-202107在河南师范大学财务管理专业就读，函授本科；202109-202211在中国银行内乡支行担任住房公积金贷款专员；202211至今在内乡县生态与环境局监测站实验室担任实验员。"</f>
        <v>201509-201806在河南经贸职业学院外语旅游系空中乘务专业就读，专科；201809-202107在河南师范大学财务管理专业就读，函授本科；202109-202211在中国银行内乡支行担任住房公积金贷款专员；202211至今在内乡县生态与环境局监测站实验室担任实验员。</v>
      </c>
    </row>
    <row r="4510" spans="1:9">
      <c r="A4510" s="1" t="str">
        <f>"41132720021024352X"</f>
        <v>41132720021024352X</v>
      </c>
      <c r="B4510" s="1" t="str">
        <f t="shared" ref="B4510:B4516" si="2236">"共青团员"</f>
        <v>共青团员</v>
      </c>
      <c r="C4510" s="1" t="str">
        <f t="shared" si="2234"/>
        <v>本科</v>
      </c>
      <c r="D4510" s="1" t="str">
        <f>"20240623"</f>
        <v>20240623</v>
      </c>
      <c r="E4510" s="1" t="str">
        <f>"郑州轻工业大学"</f>
        <v>郑州轻工业大学</v>
      </c>
      <c r="F4510" s="1" t="str">
        <f>"国际经济与贸易"</f>
        <v>国际经济与贸易</v>
      </c>
      <c r="G4510" s="1" t="str">
        <f>"河南省南阳市内乡县板场乡板场村王庄组"</f>
        <v>河南省南阳市内乡县板场乡板场村王庄组</v>
      </c>
      <c r="H4510" s="1" t="str">
        <f t="shared" si="2235"/>
        <v>无</v>
      </c>
      <c r="I4510" s="1" t="str">
        <f>"202009-202406 郑州轻工业大学经济与管理学院国际经济与贸易专业 就读 全日制本科
202406-至今 河南省南阳市内乡县 待业"</f>
        <v>202009-202406 郑州轻工业大学经济与管理学院国际经济与贸易专业 就读 全日制本科
202406-至今 河南省南阳市内乡县 待业</v>
      </c>
    </row>
    <row r="4511" spans="1:9">
      <c r="A4511" s="1" t="str">
        <f>"341221199204153854"</f>
        <v>341221199204153854</v>
      </c>
      <c r="B4511" s="1" t="str">
        <f>"群众"</f>
        <v>群众</v>
      </c>
      <c r="C4511" s="1" t="str">
        <f t="shared" si="2234"/>
        <v>本科</v>
      </c>
      <c r="D4511" s="1" t="str">
        <f>"2016.07"</f>
        <v>2016.07</v>
      </c>
      <c r="E4511" s="1" t="str">
        <f>"大连大学"</f>
        <v>大连大学</v>
      </c>
      <c r="F4511" s="1" t="str">
        <f>"电子信息工程"</f>
        <v>电子信息工程</v>
      </c>
      <c r="G4511" s="1" t="str">
        <f>"安徽省阜阳市颍州区海亮华府2栋504"</f>
        <v>安徽省阜阳市颍州区海亮华府2栋504</v>
      </c>
      <c r="H4511" s="1" t="str">
        <f t="shared" si="2235"/>
        <v>无</v>
      </c>
      <c r="I4511" s="1" t="str">
        <f>"201209-201607 大连大学信息工程学院电子信息工程专业就读，全日制学历；
201608-201704 待业；
201705-202004 上海柏飞电子科技有限公司 职员；
202005-202208 待业；
202209-至今 阜阳市双创人力资源服务有限责任公司（劳务派遣至阜阳市计量测试研究所）检定员。"</f>
        <v>201209-201607 大连大学信息工程学院电子信息工程专业就读，全日制学历；
201608-201704 待业；
201705-202004 上海柏飞电子科技有限公司 职员；
202005-202208 待业；
202209-至今 阜阳市双创人力资源服务有限责任公司（劳务派遣至阜阳市计量测试研究所）检定员。</v>
      </c>
    </row>
    <row r="4512" spans="1:9">
      <c r="A4512" s="1" t="str">
        <f>"411327200402144227"</f>
        <v>411327200402144227</v>
      </c>
      <c r="B4512" s="1" t="str">
        <f t="shared" si="2233"/>
        <v>中共党员</v>
      </c>
      <c r="C4512" s="1" t="str">
        <f t="shared" si="2234"/>
        <v>本科</v>
      </c>
      <c r="D4512" s="1" t="str">
        <f>"20250630"</f>
        <v>20250630</v>
      </c>
      <c r="E4512" s="1" t="str">
        <f>"河南工学院"</f>
        <v>河南工学院</v>
      </c>
      <c r="F4512" s="1" t="str">
        <f>"数据科学与大数据技术"</f>
        <v>数据科学与大数据技术</v>
      </c>
      <c r="G4512" s="1" t="str">
        <f>"河南省内乡县"</f>
        <v>河南省内乡县</v>
      </c>
      <c r="H4512" s="1" t="str">
        <f t="shared" si="2235"/>
        <v>无</v>
      </c>
      <c r="I4512" s="1" t="str">
        <f>"202109-202507 河南工学院 计算机科学与技术学院数据科学与大数据技术专业就读 全日制本科"</f>
        <v>202109-202507 河南工学院 计算机科学与技术学院数据科学与大数据技术专业就读 全日制本科</v>
      </c>
    </row>
    <row r="4513" spans="1:9">
      <c r="A4513" s="1" t="str">
        <f>"411327200112140025"</f>
        <v>411327200112140025</v>
      </c>
      <c r="B4513" s="1" t="str">
        <f t="shared" si="2233"/>
        <v>中共党员</v>
      </c>
      <c r="C4513" s="1" t="str">
        <f t="shared" si="2234"/>
        <v>本科</v>
      </c>
      <c r="D4513" s="1" t="str">
        <f>"20240607"</f>
        <v>20240607</v>
      </c>
      <c r="E4513" s="1" t="str">
        <f>"河南牧业经济学院"</f>
        <v>河南牧业经济学院</v>
      </c>
      <c r="F4513" s="1" t="str">
        <f>"数据科学与大数据技术"</f>
        <v>数据科学与大数据技术</v>
      </c>
      <c r="G4513" s="1" t="str">
        <f>"河南省南阳市内乡县湍东镇北符营村"</f>
        <v>河南省南阳市内乡县湍东镇北符营村</v>
      </c>
      <c r="H4513" s="1" t="str">
        <f t="shared" si="2235"/>
        <v>无</v>
      </c>
      <c r="I4513" s="1" t="str">
        <f>"202009-202406 河南牧业经济学院 信息工程学院（软件学院）数据科学与大数据技术专业 全日制本科 就读
202407至今 内乡县 待业"</f>
        <v>202009-202406 河南牧业经济学院 信息工程学院（软件学院）数据科学与大数据技术专业 全日制本科 就读
202407至今 内乡县 待业</v>
      </c>
    </row>
    <row r="4514" spans="1:9">
      <c r="A4514" s="1" t="str">
        <f>"652302200109161026"</f>
        <v>652302200109161026</v>
      </c>
      <c r="B4514" s="1" t="str">
        <f t="shared" si="2236"/>
        <v>共青团员</v>
      </c>
      <c r="C4514" s="1" t="str">
        <f>"专科"</f>
        <v>专科</v>
      </c>
      <c r="D4514" s="1" t="str">
        <f>"20230630"</f>
        <v>20230630</v>
      </c>
      <c r="E4514" s="1" t="str">
        <f>" 广东食品药品职业学院"</f>
        <v> 广东食品药品职业学院</v>
      </c>
      <c r="F4514" s="1" t="str">
        <f>"保健品开发与管理"</f>
        <v>保健品开发与管理</v>
      </c>
      <c r="G4514" s="1" t="str">
        <f>"河南省南阳市内乡县赤眉镇黄岗村塚子洼9号"</f>
        <v>河南省南阳市内乡县赤眉镇黄岗村塚子洼9号</v>
      </c>
      <c r="H4514" s="1" t="str">
        <f>"b级计算机证书"</f>
        <v>b级计算机证书</v>
      </c>
      <c r="I4514" s="1" t="str">
        <f>"20201001-20230630在广东食品药品职业学院就读，专业是保健品开发与管理，全日制
2025.5月待业至今"</f>
        <v>20201001-20230630在广东食品药品职业学院就读，专业是保健品开发与管理，全日制
2025.5月待业至今</v>
      </c>
    </row>
    <row r="4515" spans="1:9">
      <c r="A4515" s="1" t="str">
        <f>"411327199706270032"</f>
        <v>411327199706270032</v>
      </c>
      <c r="B4515" s="1" t="str">
        <f t="shared" si="2236"/>
        <v>共青团员</v>
      </c>
      <c r="C4515" s="1" t="str">
        <f>"专科"</f>
        <v>专科</v>
      </c>
      <c r="D4515" s="1" t="str">
        <f>"20190607"</f>
        <v>20190607</v>
      </c>
      <c r="E4515" s="1" t="str">
        <f>"许昌学院旅游管理专业"</f>
        <v>许昌学院旅游管理专业</v>
      </c>
      <c r="F4515" s="1" t="str">
        <f>"旅游管理"</f>
        <v>旅游管理</v>
      </c>
      <c r="G4515" s="1" t="str">
        <f>"河南省内乡县老电影公司"</f>
        <v>河南省内乡县老电影公司</v>
      </c>
      <c r="H4515" s="1" t="str">
        <f t="shared" ref="H4515:H4520" si="2237">"无"</f>
        <v>无</v>
      </c>
      <c r="I4515" s="1" t="str">
        <f>"2015.09-2019.06 许昌学院旅游管理专业   旅游管理 全日制学历
2019.06-2021.04 诚泰财产保险股份有限公司
2021.04至今 待业"</f>
        <v>2015.09-2019.06 许昌学院旅游管理专业   旅游管理 全日制学历
2019.06-2021.04 诚泰财产保险股份有限公司
2021.04至今 待业</v>
      </c>
    </row>
    <row r="4516" spans="1:9">
      <c r="A4516" s="1" t="str">
        <f>"411381199912064924"</f>
        <v>411381199912064924</v>
      </c>
      <c r="B4516" s="1" t="str">
        <f t="shared" si="2236"/>
        <v>共青团员</v>
      </c>
      <c r="C4516" s="1" t="str">
        <f>"硕士研究生"</f>
        <v>硕士研究生</v>
      </c>
      <c r="D4516" s="1" t="str">
        <f>"20240701"</f>
        <v>20240701</v>
      </c>
      <c r="E4516" s="1" t="str">
        <f>"昆明理工大学"</f>
        <v>昆明理工大学</v>
      </c>
      <c r="F4516" s="1" t="str">
        <f>"法律（非法学）"</f>
        <v>法律（非法学）</v>
      </c>
      <c r="G4516" s="1" t="str">
        <f>"河南省南阳市邓州市"</f>
        <v>河南省南阳市邓州市</v>
      </c>
      <c r="H4516" s="1" t="str">
        <f t="shared" si="2237"/>
        <v>无</v>
      </c>
      <c r="I4516" s="1" t="str">
        <f>"2017.9-2021.7 本科 郑州经贸学院 物流管理专业
2021.9-2024.7 硕士研究生 昆明理工大学 法律（非法学）专业
2024.8-至今 襄阳毓德人才服务公司劳务派遣至襄阳高新区检察院 书记员"</f>
        <v>2017.9-2021.7 本科 郑州经贸学院 物流管理专业
2021.9-2024.7 硕士研究生 昆明理工大学 法律（非法学）专业
2024.8-至今 襄阳毓德人才服务公司劳务派遣至襄阳高新区检察院 书记员</v>
      </c>
    </row>
    <row r="4517" spans="1:9">
      <c r="A4517" s="1" t="str">
        <f>"410122199712069809"</f>
        <v>410122199712069809</v>
      </c>
      <c r="B4517" s="1" t="str">
        <f>"群众"</f>
        <v>群众</v>
      </c>
      <c r="C4517" s="1" t="str">
        <f>"硕士研究生"</f>
        <v>硕士研究生</v>
      </c>
      <c r="D4517" s="1" t="str">
        <f>"20240630"</f>
        <v>20240630</v>
      </c>
      <c r="E4517" s="1" t="str">
        <f>"西北农林科技大学"</f>
        <v>西北农林科技大学</v>
      </c>
      <c r="F4517" s="1" t="str">
        <f>"作物遗传育种"</f>
        <v>作物遗传育种</v>
      </c>
      <c r="G4517" s="1" t="str">
        <f>"河南省郑州市郑东新区"</f>
        <v>河南省郑州市郑东新区</v>
      </c>
      <c r="H4517" s="1" t="str">
        <f t="shared" si="2237"/>
        <v>无</v>
      </c>
      <c r="I4517" s="1" t="str">
        <f>" 2014.09--2017.07  河南省郑州市郑州七十四中学生；
  2017.09--2021.07  河南农业大学农学（农产品标准化与质量检测）专业本科学生；
  2021.09--2024.07  西北农林科技大学作物遗传育种专业硕士研究生；
"</f>
        <v> 2014.09--2017.07  河南省郑州市郑州七十四中学生；
  2017.09--2021.07  河南农业大学农学（农产品标准化与质量检测）专业本科学生；
  2021.09--2024.07  西北农林科技大学作物遗传育种专业硕士研究生；
</v>
      </c>
    </row>
    <row r="4518" spans="1:9">
      <c r="A4518" s="1" t="str">
        <f>"411327200302142910"</f>
        <v>411327200302142910</v>
      </c>
      <c r="B4518" s="1" t="str">
        <f t="shared" ref="B4518:B4522" si="2238">"共青团员"</f>
        <v>共青团员</v>
      </c>
      <c r="C4518" s="1" t="str">
        <f t="shared" ref="C4518:C4523" si="2239">"本科"</f>
        <v>本科</v>
      </c>
      <c r="D4518" s="1" t="str">
        <f>"2025-06-06"</f>
        <v>2025-06-06</v>
      </c>
      <c r="E4518" s="1" t="str">
        <f>"信阳学院"</f>
        <v>信阳学院</v>
      </c>
      <c r="F4518" s="1" t="str">
        <f>"汉语言文学"</f>
        <v>汉语言文学</v>
      </c>
      <c r="G4518" s="1" t="str">
        <f>"河南省南阳市内乡县瓦亭镇袁营村袁家组14号"</f>
        <v>河南省南阳市内乡县瓦亭镇袁营村袁家组14号</v>
      </c>
      <c r="H4518" s="1" t="str">
        <f t="shared" si="2237"/>
        <v>无</v>
      </c>
      <c r="I4518" s="1" t="str">
        <f>"202109-202506 信阳学院文学院汉语言文学
"</f>
        <v>202109-202506 信阳学院文学院汉语言文学
</v>
      </c>
    </row>
    <row r="4519" spans="1:9">
      <c r="A4519" s="1" t="str">
        <f>"411327199809161525"</f>
        <v>411327199809161525</v>
      </c>
      <c r="B4519" s="1" t="str">
        <f t="shared" si="2238"/>
        <v>共青团员</v>
      </c>
      <c r="C4519" s="1" t="str">
        <f t="shared" si="2239"/>
        <v>本科</v>
      </c>
      <c r="D4519" s="1" t="str">
        <f>"20200701"</f>
        <v>20200701</v>
      </c>
      <c r="E4519" s="1" t="str">
        <f>"河南师范大学"</f>
        <v>河南师范大学</v>
      </c>
      <c r="F4519" s="1" t="str">
        <f>"劳动与社会保障"</f>
        <v>劳动与社会保障</v>
      </c>
      <c r="G4519" s="1" t="str">
        <f>"河南省南阳市内乡县湍东镇"</f>
        <v>河南省南阳市内乡县湍东镇</v>
      </c>
      <c r="H4519" s="1" t="str">
        <f t="shared" si="2237"/>
        <v>无</v>
      </c>
      <c r="I4519" s="1" t="str">
        <f>"201609-202007  河南师范大学社会事业学院劳动与社会保障专业就读，全日制本科
202007-202109待业
202109-至今 赤眉第一初级中学特岗教师（已过服务期）"</f>
        <v>201609-202007  河南师范大学社会事业学院劳动与社会保障专业就读，全日制本科
202007-202109待业
202109-至今 赤眉第一初级中学特岗教师（已过服务期）</v>
      </c>
    </row>
    <row r="4520" spans="1:9">
      <c r="A4520" s="1" t="str">
        <f>"420324200303061938"</f>
        <v>420324200303061938</v>
      </c>
      <c r="B4520" s="1" t="str">
        <f t="shared" si="2238"/>
        <v>共青团员</v>
      </c>
      <c r="C4520" s="1" t="str">
        <f t="shared" si="2239"/>
        <v>本科</v>
      </c>
      <c r="D4520" s="1" t="str">
        <f>"20240630"</f>
        <v>20240630</v>
      </c>
      <c r="E4520" s="1" t="str">
        <f>"湖北工业大学工程技术学院"</f>
        <v>湖北工业大学工程技术学院</v>
      </c>
      <c r="F4520" s="1" t="str">
        <f>"工业工程"</f>
        <v>工业工程</v>
      </c>
      <c r="G4520" s="1" t="str">
        <f>"湖北省十堰市竹溪县城关镇宾馆路70号二栋501"</f>
        <v>湖北省十堰市竹溪县城关镇宾馆路70号二栋501</v>
      </c>
      <c r="H4520" s="1" t="str">
        <f t="shared" si="2237"/>
        <v>无</v>
      </c>
      <c r="I4520" s="1" t="str">
        <f>"202009-202406湖北工业大学工程技术学院 机械工程系 工业工程专业 全日制就读"</f>
        <v>202009-202406湖北工业大学工程技术学院 机械工程系 工业工程专业 全日制就读</v>
      </c>
    </row>
    <row r="4521" spans="1:9">
      <c r="A4521" s="1" t="str">
        <f>"411327199807111129"</f>
        <v>411327199807111129</v>
      </c>
      <c r="B4521" s="1" t="str">
        <f t="shared" si="2238"/>
        <v>共青团员</v>
      </c>
      <c r="C4521" s="1" t="str">
        <f t="shared" si="2239"/>
        <v>本科</v>
      </c>
      <c r="D4521" s="1" t="str">
        <f>"20230701"</f>
        <v>20230701</v>
      </c>
      <c r="E4521" s="1" t="str">
        <f>"河南中医药大学"</f>
        <v>河南中医药大学</v>
      </c>
      <c r="F4521" s="1" t="str">
        <f>"护理"</f>
        <v>护理</v>
      </c>
      <c r="G4521" s="1" t="str">
        <f>"河南省南阳市内乡县"</f>
        <v>河南省南阳市内乡县</v>
      </c>
      <c r="H4521" s="1" t="str">
        <f>"护士资格证，护师资格证，护士执业证"</f>
        <v>护士资格证，护师资格证，护士执业证</v>
      </c>
      <c r="I4521" s="1" t="str">
        <f>"201409-201707河南医学高等专科学校   中专全日制  就读
201803-202007河南中医药大学     大专非全日制   就读
202103-202307河南中医药大学     本科非全日制   就读
201707至今在内乡城关镇卫生院工作"</f>
        <v>201409-201707河南医学高等专科学校   中专全日制  就读
201803-202007河南中医药大学     大专非全日制   就读
202103-202307河南中医药大学     本科非全日制   就读
201707至今在内乡城关镇卫生院工作</v>
      </c>
    </row>
    <row r="4522" spans="1:9">
      <c r="A4522" s="1" t="str">
        <f>"411325199905102055"</f>
        <v>411325199905102055</v>
      </c>
      <c r="B4522" s="1" t="str">
        <f t="shared" si="2238"/>
        <v>共青团员</v>
      </c>
      <c r="C4522" s="1" t="str">
        <f t="shared" si="2239"/>
        <v>本科</v>
      </c>
      <c r="D4522" s="1" t="str">
        <f>"20210701"</f>
        <v>20210701</v>
      </c>
      <c r="E4522" s="1" t="str">
        <f>"商丘学院"</f>
        <v>商丘学院</v>
      </c>
      <c r="F4522" s="1" t="str">
        <f>"信息与计算科学"</f>
        <v>信息与计算科学</v>
      </c>
      <c r="G4522" s="1" t="str">
        <f>"河南省南阳市内乡县师岗镇永青村"</f>
        <v>河南省南阳市内乡县师岗镇永青村</v>
      </c>
      <c r="H4522" s="1" t="str">
        <f t="shared" ref="H4522:H4528" si="2240">"无"</f>
        <v>无</v>
      </c>
      <c r="I4522" s="1" t="str">
        <f>"201709-202107 商丘学院计算机院系信息与计算科学专业就读，全日制学历。"</f>
        <v>201709-202107 商丘学院计算机院系信息与计算科学专业就读，全日制学历。</v>
      </c>
    </row>
    <row r="4523" spans="1:9">
      <c r="A4523" s="1" t="str">
        <f>"411330200306161121"</f>
        <v>411330200306161121</v>
      </c>
      <c r="B4523" s="1" t="str">
        <f t="shared" ref="B4523:B4530" si="2241">"群众"</f>
        <v>群众</v>
      </c>
      <c r="C4523" s="1" t="str">
        <f t="shared" si="2239"/>
        <v>本科</v>
      </c>
      <c r="D4523" s="1" t="str">
        <f>"20250607"</f>
        <v>20250607</v>
      </c>
      <c r="E4523" s="1" t="str">
        <f>"周口师范学院"</f>
        <v>周口师范学院</v>
      </c>
      <c r="F4523" s="1" t="str">
        <f>"生物技术"</f>
        <v>生物技术</v>
      </c>
      <c r="G4523" s="1" t="str">
        <f>"河南省南阳市西峡县城关镇南地组1号附3号"</f>
        <v>河南省南阳市西峡县城关镇南地组1号附3号</v>
      </c>
      <c r="H4523" s="1" t="str">
        <f t="shared" si="2240"/>
        <v>无</v>
      </c>
      <c r="I4523" s="1" t="str">
        <f>"202109-202506周口师范学院生命科学与农学学院生物技术专业就读，全日制学历"</f>
        <v>202109-202506周口师范学院生命科学与农学学院生物技术专业就读，全日制学历</v>
      </c>
    </row>
    <row r="4524" spans="1:9">
      <c r="A4524" s="1" t="str">
        <f>"411302200002166067"</f>
        <v>411302200002166067</v>
      </c>
      <c r="B4524" s="1" t="str">
        <f t="shared" si="2241"/>
        <v>群众</v>
      </c>
      <c r="C4524" s="1" t="str">
        <f t="shared" ref="C4524:C4529" si="2242">"专科"</f>
        <v>专科</v>
      </c>
      <c r="D4524" s="1" t="str">
        <f>"20230607"</f>
        <v>20230607</v>
      </c>
      <c r="E4524" s="1" t="str">
        <f>"江西服装学院"</f>
        <v>江西服装学院</v>
      </c>
      <c r="F4524" s="1" t="str">
        <f>"服装与服饰设计"</f>
        <v>服装与服饰设计</v>
      </c>
      <c r="G4524" s="1" t="str">
        <f>"南阳市卧龙区"</f>
        <v>南阳市卧龙区</v>
      </c>
      <c r="H4524" s="1" t="str">
        <f>"全媒体运营证 心理咨询师"</f>
        <v>全媒体运营证 心理咨询师</v>
      </c>
      <c r="I4524" s="1" t="str">
        <f>"2018就读江西服装学院全日制学历，2022任职河南对外经济贸易职业学院樽润院办，2023从江西服装学院毕业"</f>
        <v>2018就读江西服装学院全日制学历，2022任职河南对外经济贸易职业学院樽润院办，2023从江西服装学院毕业</v>
      </c>
    </row>
    <row r="4525" spans="1:9">
      <c r="A4525" s="1" t="str">
        <f>"410611200011097579"</f>
        <v>410611200011097579</v>
      </c>
      <c r="B4525" s="1" t="str">
        <f>"中共党员"</f>
        <v>中共党员</v>
      </c>
      <c r="C4525" s="1" t="str">
        <f t="shared" ref="C4525:C4528" si="2243">"本科"</f>
        <v>本科</v>
      </c>
      <c r="D4525" s="1" t="str">
        <f t="shared" ref="D4525:D4530" si="2244">"20230701"</f>
        <v>20230701</v>
      </c>
      <c r="E4525" s="1" t="str">
        <f>"河南科技大学"</f>
        <v>河南科技大学</v>
      </c>
      <c r="F4525" s="1" t="str">
        <f>"园林"</f>
        <v>园林</v>
      </c>
      <c r="G4525" s="1" t="str">
        <f>"河南省鹤壁市淇滨区农垦B区"</f>
        <v>河南省鹤壁市淇滨区农垦B区</v>
      </c>
      <c r="H4525" s="1" t="str">
        <f t="shared" si="2240"/>
        <v>无</v>
      </c>
      <c r="I4525" s="1" t="str">
        <f>"201909-202307河南科技大学 林学系 园林专业 是
202307-至今待业"</f>
        <v>201909-202307河南科技大学 林学系 园林专业 是
202307-至今待业</v>
      </c>
    </row>
    <row r="4526" spans="1:9">
      <c r="A4526" s="1" t="str">
        <f>"41132420010506001X"</f>
        <v>41132420010506001X</v>
      </c>
      <c r="B4526" s="1" t="str">
        <f>"共青团员"</f>
        <v>共青团员</v>
      </c>
      <c r="C4526" s="1" t="str">
        <f t="shared" si="2242"/>
        <v>专科</v>
      </c>
      <c r="D4526" s="1" t="str">
        <f>"2022.06"</f>
        <v>2022.06</v>
      </c>
      <c r="E4526" s="1" t="str">
        <f>"武昌职业学院"</f>
        <v>武昌职业学院</v>
      </c>
      <c r="F4526" s="1" t="str">
        <f>"电子信息工程技术"</f>
        <v>电子信息工程技术</v>
      </c>
      <c r="G4526" s="1" t="str">
        <f>"河南省南阳市镇平县健康小区11栋3单元301"</f>
        <v>河南省南阳市镇平县健康小区11栋3单元301</v>
      </c>
      <c r="H4526" s="1" t="str">
        <f t="shared" si="2240"/>
        <v>无</v>
      </c>
      <c r="I4526" s="1" t="str">
        <f>"2019年9月至2021年12月 武昌职业学院 电子信息工程技术就读 全日制大专
2021 年12月至2022 年7月 陆军工程大学通信士官学校
2022年7月至2024年9月 陆军合成第60旅作战支援营电子对抗连"</f>
        <v>2019年9月至2021年12月 武昌职业学院 电子信息工程技术就读 全日制大专
2021 年12月至2022 年7月 陆军工程大学通信士官学校
2022年7月至2024年9月 陆军合成第60旅作战支援营电子对抗连</v>
      </c>
    </row>
    <row r="4527" spans="1:9">
      <c r="A4527" s="1" t="str">
        <f>"411403200008070017"</f>
        <v>411403200008070017</v>
      </c>
      <c r="B4527" s="1" t="str">
        <f t="shared" si="2241"/>
        <v>群众</v>
      </c>
      <c r="C4527" s="1" t="str">
        <f t="shared" si="2243"/>
        <v>本科</v>
      </c>
      <c r="D4527" s="1" t="str">
        <f>"2024-06-16"</f>
        <v>2024-06-16</v>
      </c>
      <c r="E4527" s="1" t="str">
        <f>"广州商学院"</f>
        <v>广州商学院</v>
      </c>
      <c r="F4527" s="1" t="str">
        <f>"物流管理"</f>
        <v>物流管理</v>
      </c>
      <c r="G4527" s="1" t="str">
        <f>"河南省商丘市诚蹊归德小区"</f>
        <v>河南省商丘市诚蹊归德小区</v>
      </c>
      <c r="H4527" s="1" t="str">
        <f t="shared" si="2240"/>
        <v>无</v>
      </c>
      <c r="I4527" s="1" t="str">
        <f>"2020年09月-2024年06月广州商学院国际学院物流管理专业就读 全日制本科"</f>
        <v>2020年09月-2024年06月广州商学院国际学院物流管理专业就读 全日制本科</v>
      </c>
    </row>
    <row r="4528" spans="1:9">
      <c r="A4528" s="1" t="str">
        <f>"411327200009170074"</f>
        <v>411327200009170074</v>
      </c>
      <c r="B4528" s="1" t="str">
        <f t="shared" si="2241"/>
        <v>群众</v>
      </c>
      <c r="C4528" s="1" t="str">
        <f t="shared" si="2243"/>
        <v>本科</v>
      </c>
      <c r="D4528" s="1" t="str">
        <f t="shared" si="2244"/>
        <v>20230701</v>
      </c>
      <c r="E4528" s="1" t="str">
        <f>"河南工学院"</f>
        <v>河南工学院</v>
      </c>
      <c r="F4528" s="1" t="str">
        <f>"自动化"</f>
        <v>自动化</v>
      </c>
      <c r="G4528" s="1" t="str">
        <f>"河南省南阳市内乡县城关镇蓝天小区"</f>
        <v>河南省南阳市内乡县城关镇蓝天小区</v>
      </c>
      <c r="H4528" s="1" t="str">
        <f t="shared" si="2240"/>
        <v>无</v>
      </c>
      <c r="I4528" s="1" t="str">
        <f>"201809-202106 新乡职业技术学院 就读
202109-202306 河南工学院 就读"</f>
        <v>201809-202106 新乡职业技术学院 就读
202109-202306 河南工学院 就读</v>
      </c>
    </row>
    <row r="4529" spans="1:9">
      <c r="A4529" s="1" t="str">
        <f>"412827199909208050"</f>
        <v>412827199909208050</v>
      </c>
      <c r="B4529" s="1" t="str">
        <f t="shared" si="2241"/>
        <v>群众</v>
      </c>
      <c r="C4529" s="1" t="str">
        <f t="shared" si="2242"/>
        <v>专科</v>
      </c>
      <c r="D4529" s="1" t="str">
        <f t="shared" ref="D4529:D4532" si="2245">"20220701"</f>
        <v>20220701</v>
      </c>
      <c r="E4529" s="1" t="str">
        <f>"平顶山工业职业技术学院"</f>
        <v>平顶山工业职业技术学院</v>
      </c>
      <c r="F4529" s="1" t="str">
        <f>"数控技术"</f>
        <v>数控技术</v>
      </c>
      <c r="G4529" s="1" t="str">
        <f>"河南省南阳市内乡县黄学街"</f>
        <v>河南省南阳市内乡县黄学街</v>
      </c>
      <c r="H4529" s="1" t="str">
        <f>"低压电工证"</f>
        <v>低压电工证</v>
      </c>
      <c r="I4529" s="1" t="str">
        <f>"201906-202207 在平顶山工业职业技术学院 机电院系 数控技术专业就读。是全日制学历。"</f>
        <v>201906-202207 在平顶山工业职业技术学院 机电院系 数控技术专业就读。是全日制学历。</v>
      </c>
    </row>
    <row r="4530" ht="148.5" spans="1:9">
      <c r="A4530" s="1" t="str">
        <f>"411330199602201532"</f>
        <v>411330199602201532</v>
      </c>
      <c r="B4530" s="1" t="str">
        <f t="shared" si="2241"/>
        <v>群众</v>
      </c>
      <c r="C4530" s="1" t="str">
        <f t="shared" ref="C4530:C4536" si="2246">"本科"</f>
        <v>本科</v>
      </c>
      <c r="D4530" s="1" t="str">
        <f t="shared" si="2244"/>
        <v>20230701</v>
      </c>
      <c r="E4530" s="1" t="str">
        <f>"河南工程学院"</f>
        <v>河南工程学院</v>
      </c>
      <c r="F4530" s="1" t="str">
        <f>"行政管理"</f>
        <v>行政管理</v>
      </c>
      <c r="G4530" s="1" t="str">
        <f>"河南省南阳市西峡县七一路康馨小区二号楼一单元"</f>
        <v>河南省南阳市西峡县七一路康馨小区二号楼一单元</v>
      </c>
      <c r="H4530" s="1" t="str">
        <f t="shared" ref="H4530:H4534" si="2247">"无"</f>
        <v>无</v>
      </c>
      <c r="I4530" s="3" t="s">
        <v>282</v>
      </c>
    </row>
    <row r="4531" spans="1:9">
      <c r="A4531" s="1" t="str">
        <f>"411327200009090023"</f>
        <v>411327200009090023</v>
      </c>
      <c r="B4531" s="1" t="str">
        <f t="shared" ref="B4531:B4533" si="2248">"共青团员"</f>
        <v>共青团员</v>
      </c>
      <c r="C4531" s="1" t="str">
        <f t="shared" si="2246"/>
        <v>本科</v>
      </c>
      <c r="D4531" s="1" t="str">
        <f t="shared" si="2245"/>
        <v>20220701</v>
      </c>
      <c r="E4531" s="1" t="str">
        <f>"中原工学院信息商务学院"</f>
        <v>中原工学院信息商务学院</v>
      </c>
      <c r="F4531" s="1" t="str">
        <f>"电子商务"</f>
        <v>电子商务</v>
      </c>
      <c r="G4531" s="1" t="str">
        <f>"南阳市内乡县明珠花园六号楼一单元"</f>
        <v>南阳市内乡县明珠花园六号楼一单元</v>
      </c>
      <c r="H4531" s="1" t="str">
        <f t="shared" si="2247"/>
        <v>无</v>
      </c>
      <c r="I4531" s="1" t="str">
        <f>"201809-202207，在中原工学院信息商务学院，商学院系，电子商务专业就读，是全日制学历；
202208-202212，在内乡牧原肉食，人力资源岗位实习；
202301-202404，待业，在内乡考研；
202405-202504，在郑州市上街区中心路街道办事处，党政办工作，负责材料撰写和街道国安、保密全面工作；
202505-至今，待业，在南阳备考编制。"</f>
        <v>201809-202207，在中原工学院信息商务学院，商学院系，电子商务专业就读，是全日制学历；
202208-202212，在内乡牧原肉食，人力资源岗位实习；
202301-202404，待业，在内乡考研；
202405-202504，在郑州市上街区中心路街道办事处，党政办工作，负责材料撰写和街道国安、保密全面工作；
202505-至今，待业，在南阳备考编制。</v>
      </c>
    </row>
    <row r="4532" spans="1:9">
      <c r="A4532" s="1" t="str">
        <f>"411303199912221820"</f>
        <v>411303199912221820</v>
      </c>
      <c r="B4532" s="1" t="str">
        <f t="shared" si="2248"/>
        <v>共青团员</v>
      </c>
      <c r="C4532" s="1" t="str">
        <f t="shared" si="2246"/>
        <v>本科</v>
      </c>
      <c r="D4532" s="1" t="str">
        <f t="shared" si="2245"/>
        <v>20220701</v>
      </c>
      <c r="E4532" s="1" t="str">
        <f>"信阳师范学院"</f>
        <v>信阳师范学院</v>
      </c>
      <c r="F4532" s="1" t="str">
        <f>"国际经济与贸易"</f>
        <v>国际经济与贸易</v>
      </c>
      <c r="G4532" s="1" t="str">
        <f>"河南省南阳市卧龙区车站街道百里奚南村"</f>
        <v>河南省南阳市卧龙区车站街道百里奚南村</v>
      </c>
      <c r="H4532" s="1" t="str">
        <f t="shared" si="2247"/>
        <v>无</v>
      </c>
      <c r="I4532" s="1" t="str">
        <f>"201809-202206  信阳师范学院商学院国际经济与贸易专业就读
202207-至今  在家待业"</f>
        <v>201809-202206  信阳师范学院商学院国际经济与贸易专业就读
202207-至今  在家待业</v>
      </c>
    </row>
    <row r="4533" spans="1:9">
      <c r="A4533" s="1" t="str">
        <f>"411302200207140020"</f>
        <v>411302200207140020</v>
      </c>
      <c r="B4533" s="1" t="str">
        <f t="shared" si="2248"/>
        <v>共青团员</v>
      </c>
      <c r="C4533" s="1" t="str">
        <f t="shared" si="2246"/>
        <v>本科</v>
      </c>
      <c r="D4533" s="1" t="str">
        <f>"20240701"</f>
        <v>20240701</v>
      </c>
      <c r="E4533" s="1" t="str">
        <f>"华北水利水电大学"</f>
        <v>华北水利水电大学</v>
      </c>
      <c r="F4533" s="1" t="str">
        <f>"环境设计"</f>
        <v>环境设计</v>
      </c>
      <c r="G4533" s="1" t="str">
        <f>"河南省南阳市宛城区白河镇冉营村一组"</f>
        <v>河南省南阳市宛城区白河镇冉营村一组</v>
      </c>
      <c r="H4533" s="1" t="str">
        <f t="shared" si="2247"/>
        <v>无</v>
      </c>
      <c r="I4533" s="1" t="str">
        <f>"202009——202407华北水利水电大学艺术学院环境设计专业全日制就读"</f>
        <v>202009——202407华北水利水电大学艺术学院环境设计专业全日制就读</v>
      </c>
    </row>
    <row r="4534" spans="1:9">
      <c r="A4534" s="1" t="str">
        <f>"411303199204121028"</f>
        <v>411303199204121028</v>
      </c>
      <c r="B4534" s="1" t="str">
        <f>"中共党员"</f>
        <v>中共党员</v>
      </c>
      <c r="C4534" s="1" t="str">
        <f t="shared" si="2246"/>
        <v>本科</v>
      </c>
      <c r="D4534" s="1" t="str">
        <f>"20180701"</f>
        <v>20180701</v>
      </c>
      <c r="E4534" s="1" t="str">
        <f>"南阳师范学院"</f>
        <v>南阳师范学院</v>
      </c>
      <c r="F4534" s="1" t="str">
        <f>"教育学"</f>
        <v>教育学</v>
      </c>
      <c r="G4534" s="1" t="str">
        <f>"河南省南阳市宛城区联合街66号"</f>
        <v>河南省南阳市宛城区联合街66号</v>
      </c>
      <c r="H4534" s="1" t="str">
        <f t="shared" si="2247"/>
        <v>无</v>
      </c>
      <c r="I4534" s="1" t="str">
        <f>"201603-201807 南阳师范学院就读 教育学专业 成人高考本科"</f>
        <v>201603-201807 南阳师范学院就读 教育学专业 成人高考本科</v>
      </c>
    </row>
    <row r="4535" spans="1:9">
      <c r="A4535" s="1" t="str">
        <f>"41133020020906512X"</f>
        <v>41133020020906512X</v>
      </c>
      <c r="B4535" s="1" t="str">
        <f>"共青团员"</f>
        <v>共青团员</v>
      </c>
      <c r="C4535" s="1" t="str">
        <f t="shared" si="2246"/>
        <v>本科</v>
      </c>
      <c r="D4535" s="1" t="str">
        <f>"20250615"</f>
        <v>20250615</v>
      </c>
      <c r="E4535" s="1" t="str">
        <f>"河南大学"</f>
        <v>河南大学</v>
      </c>
      <c r="F4535" s="1" t="str">
        <f>"化学"</f>
        <v>化学</v>
      </c>
      <c r="G4535" s="1" t="str">
        <f>"河南省南阳市西峡县双龙镇小水村"</f>
        <v>河南省南阳市西峡县双龙镇小水村</v>
      </c>
      <c r="H4535" s="1" t="str">
        <f>"有机合成三级工"</f>
        <v>有机合成三级工</v>
      </c>
      <c r="I4535" s="1" t="str">
        <f>"202109-202506  河南大学就读 化学与分子科学学院化学专业 全日制"</f>
        <v>202109-202506  河南大学就读 化学与分子科学学院化学专业 全日制</v>
      </c>
    </row>
    <row r="4536" spans="1:9">
      <c r="A4536" s="1" t="str">
        <f>"411327200301160041"</f>
        <v>411327200301160041</v>
      </c>
      <c r="B4536" s="1" t="str">
        <f t="shared" ref="B4536:B4539" si="2249">"群众"</f>
        <v>群众</v>
      </c>
      <c r="C4536" s="1" t="str">
        <f t="shared" si="2246"/>
        <v>本科</v>
      </c>
      <c r="D4536" s="1" t="str">
        <f>"20240630"</f>
        <v>20240630</v>
      </c>
      <c r="E4536" s="1" t="str">
        <f>"郑州航空工业管理学院"</f>
        <v>郑州航空工业管理学院</v>
      </c>
      <c r="F4536" s="1" t="str">
        <f>"物流管理"</f>
        <v>物流管理</v>
      </c>
      <c r="G4536" s="1" t="str">
        <f>"河南省南阳市内乡县城关镇"</f>
        <v>河南省南阳市内乡县城关镇</v>
      </c>
      <c r="H4536" s="1" t="str">
        <f t="shared" ref="H4536:H4548" si="2250">"无"</f>
        <v>无</v>
      </c>
      <c r="I4536" s="1" t="str">
        <f>"202009-202406 郑州航空工业管理学院 管理工程学院 物流管理专业 全日制学历 就读"</f>
        <v>202009-202406 郑州航空工业管理学院 管理工程学院 物流管理专业 全日制学历 就读</v>
      </c>
    </row>
    <row r="4537" spans="1:9">
      <c r="A4537" s="1" t="str">
        <f>"41088119991228451X"</f>
        <v>41088119991228451X</v>
      </c>
      <c r="B4537" s="1" t="str">
        <f>"中共党员"</f>
        <v>中共党员</v>
      </c>
      <c r="C4537" s="1" t="str">
        <f>"硕士研究生"</f>
        <v>硕士研究生</v>
      </c>
      <c r="D4537" s="1" t="str">
        <f>"20250610"</f>
        <v>20250610</v>
      </c>
      <c r="E4537" s="1" t="str">
        <f>"河南师范大学"</f>
        <v>河南师范大学</v>
      </c>
      <c r="F4537" s="1" t="str">
        <f>"音乐"</f>
        <v>音乐</v>
      </c>
      <c r="G4537" s="1" t="str">
        <f>"河南省济源市邮政花园"</f>
        <v>河南省济源市邮政花园</v>
      </c>
      <c r="H4537" s="1" t="str">
        <f>"英语四级 普通话二级乙等"</f>
        <v>英语四级 普通话二级乙等</v>
      </c>
      <c r="I4537" s="1" t="str">
        <f>"201809—202206河南师范大学就读音乐舞蹈学院音乐学专业就读全日制
202209—202506河南师范大学就读音乐舞蹈学院音乐专业就读全日制"</f>
        <v>201809—202206河南师范大学就读音乐舞蹈学院音乐学专业就读全日制
202209—202506河南师范大学就读音乐舞蹈学院音乐专业就读全日制</v>
      </c>
    </row>
    <row r="4538" spans="1:9">
      <c r="A4538" s="1" t="str">
        <f>"411324199006300510"</f>
        <v>411324199006300510</v>
      </c>
      <c r="B4538" s="1" t="str">
        <f t="shared" si="2249"/>
        <v>群众</v>
      </c>
      <c r="C4538" s="1" t="str">
        <f t="shared" ref="C4538:C4543" si="2251">"本科"</f>
        <v>本科</v>
      </c>
      <c r="D4538" s="1" t="str">
        <f>"20140701"</f>
        <v>20140701</v>
      </c>
      <c r="E4538" s="1" t="str">
        <f>"郑州大学"</f>
        <v>郑州大学</v>
      </c>
      <c r="F4538" s="1" t="str">
        <f>"会计学"</f>
        <v>会计学</v>
      </c>
      <c r="G4538" s="1" t="str">
        <f>"南阳市镇平县玉都区碾坊庄村"</f>
        <v>南阳市镇平县玉都区碾坊庄村</v>
      </c>
      <c r="H4538" s="1" t="str">
        <f>"初级会计职称"</f>
        <v>初级会计职称</v>
      </c>
      <c r="I4538" s="1" t="str">
        <f>"201009-201407  郑州大学升达经贸管理学院会计系就读  全日制学历
201407-至今    仲景宛西制药财务部工作"</f>
        <v>201009-201407  郑州大学升达经贸管理学院会计系就读  全日制学历
201407-至今    仲景宛西制药财务部工作</v>
      </c>
    </row>
    <row r="4539" spans="1:9">
      <c r="A4539" s="1" t="str">
        <f>"410482199206190510"</f>
        <v>410482199206190510</v>
      </c>
      <c r="B4539" s="1" t="str">
        <f t="shared" si="2249"/>
        <v>群众</v>
      </c>
      <c r="C4539" s="1" t="str">
        <f t="shared" si="2251"/>
        <v>本科</v>
      </c>
      <c r="D4539" s="1" t="str">
        <f>"20170701"</f>
        <v>20170701</v>
      </c>
      <c r="E4539" s="1" t="str">
        <f>"郑州大学西亚斯国际学院"</f>
        <v>郑州大学西亚斯国际学院</v>
      </c>
      <c r="F4539" s="1" t="str">
        <f>"视觉传达设计（插画设计方向）专业"</f>
        <v>视觉传达设计（插画设计方向）专业</v>
      </c>
      <c r="G4539" s="1" t="str">
        <f>"河南省洛阳市瀍河区白马寺镇第五人民医院家属楼"</f>
        <v>河南省洛阳市瀍河区白马寺镇第五人民医院家属楼</v>
      </c>
      <c r="H4539" s="1" t="str">
        <f t="shared" si="2250"/>
        <v>无</v>
      </c>
      <c r="I4539" s="1" t="str">
        <f>"201309-201707 郑州大学西亚斯国际学院设计学院视觉传达设计（插画设计方向）专业 就读。"</f>
        <v>201309-201707 郑州大学西亚斯国际学院设计学院视觉传达设计（插画设计方向）专业 就读。</v>
      </c>
    </row>
    <row r="4540" spans="1:9">
      <c r="A4540" s="1" t="str">
        <f>"411327200106290035"</f>
        <v>411327200106290035</v>
      </c>
      <c r="B4540" s="1" t="str">
        <f t="shared" ref="B4540:B4544" si="2252">"共青团员"</f>
        <v>共青团员</v>
      </c>
      <c r="C4540" s="1" t="str">
        <f t="shared" si="2251"/>
        <v>本科</v>
      </c>
      <c r="D4540" s="1" t="str">
        <f>"20240630"</f>
        <v>20240630</v>
      </c>
      <c r="E4540" s="1" t="str">
        <f>"中南民族大学"</f>
        <v>中南民族大学</v>
      </c>
      <c r="F4540" s="1" t="str">
        <f>"保险学"</f>
        <v>保险学</v>
      </c>
      <c r="G4540" s="1" t="str">
        <f>"河南省南阳市内乡县城关镇天春苑小区3601号"</f>
        <v>河南省南阳市内乡县城关镇天春苑小区3601号</v>
      </c>
      <c r="H4540" s="1" t="str">
        <f t="shared" si="2250"/>
        <v>无</v>
      </c>
      <c r="I4540" s="1" t="str">
        <f>"202009-202406 中南民族大学经济学院保险学专业就读，全日制本科学历。"</f>
        <v>202009-202406 中南民族大学经济学院保险学专业就读，全日制本科学历。</v>
      </c>
    </row>
    <row r="4541" spans="1:9">
      <c r="A4541" s="1" t="str">
        <f>"411381199011121717"</f>
        <v>411381199011121717</v>
      </c>
      <c r="B4541" s="1" t="str">
        <f>"中共党员"</f>
        <v>中共党员</v>
      </c>
      <c r="C4541" s="1" t="str">
        <f t="shared" si="2251"/>
        <v>本科</v>
      </c>
      <c r="D4541" s="1" t="str">
        <f>"20170701"</f>
        <v>20170701</v>
      </c>
      <c r="E4541" s="1" t="str">
        <f>"南阳理工学院"</f>
        <v>南阳理工学院</v>
      </c>
      <c r="F4541" s="1" t="str">
        <f>"工程管理"</f>
        <v>工程管理</v>
      </c>
      <c r="G4541" s="1" t="str">
        <f>"南阳市卧龙区七里园乡龙祥路 龙祥世纪家园"</f>
        <v>南阳市卧龙区七里园乡龙祥路 龙祥世纪家园</v>
      </c>
      <c r="H4541" s="1" t="str">
        <f t="shared" si="2250"/>
        <v>无</v>
      </c>
      <c r="I4541" s="1" t="str">
        <f>"2015.03-2017.07 南阳理工学院 经管系 工程管理专业 非全日制本科"</f>
        <v>2015.03-2017.07 南阳理工学院 经管系 工程管理专业 非全日制本科</v>
      </c>
    </row>
    <row r="4542" spans="1:9">
      <c r="A4542" s="1" t="str">
        <f>"411325200308300024"</f>
        <v>411325200308300024</v>
      </c>
      <c r="B4542" s="1" t="str">
        <f>"中共预备党员"</f>
        <v>中共预备党员</v>
      </c>
      <c r="C4542" s="1" t="str">
        <f t="shared" si="2251"/>
        <v>本科</v>
      </c>
      <c r="D4542" s="1" t="str">
        <f>"20250615"</f>
        <v>20250615</v>
      </c>
      <c r="E4542" s="1" t="str">
        <f>"许昌学院"</f>
        <v>许昌学院</v>
      </c>
      <c r="F4542" s="1" t="str">
        <f>"学前教育"</f>
        <v>学前教育</v>
      </c>
      <c r="G4542" s="1" t="str">
        <f>"河南省南阳市内乡县城关镇县衙路115号"</f>
        <v>河南省南阳市内乡县城关镇县衙路115号</v>
      </c>
      <c r="H4542" s="1" t="str">
        <f t="shared" si="2250"/>
        <v>无</v>
      </c>
      <c r="I4542" s="1" t="str">
        <f>"201809—202306 郑州幼儿师范高等专科学校 学前教育学院学前教育专业 全日制
202309—202506 许昌学院 教育学院学前教育专业  全日制"</f>
        <v>201809—202306 郑州幼儿师范高等专科学校 学前教育学院学前教育专业 全日制
202309—202506 许昌学院 教育学院学前教育专业  全日制</v>
      </c>
    </row>
    <row r="4543" spans="1:9">
      <c r="A4543" s="1" t="str">
        <f>"411324200311201936"</f>
        <v>411324200311201936</v>
      </c>
      <c r="B4543" s="1" t="str">
        <f t="shared" si="2252"/>
        <v>共青团员</v>
      </c>
      <c r="C4543" s="1" t="str">
        <f t="shared" si="2251"/>
        <v>本科</v>
      </c>
      <c r="D4543" s="1" t="str">
        <f>"20250601"</f>
        <v>20250601</v>
      </c>
      <c r="E4543" s="1" t="str">
        <f>"河南理工大学"</f>
        <v>河南理工大学</v>
      </c>
      <c r="F4543" s="1" t="str">
        <f>"材料科学与工程"</f>
        <v>材料科学与工程</v>
      </c>
      <c r="G4543" s="1" t="str">
        <f>"河南省南阳市镇平县晁陂镇"</f>
        <v>河南省南阳市镇平县晁陂镇</v>
      </c>
      <c r="H4543" s="1" t="str">
        <f t="shared" si="2250"/>
        <v>无</v>
      </c>
      <c r="I4543" s="1" t="str">
        <f>"202109-202506河南理工大学材料科学与工程学院就读"</f>
        <v>202109-202506河南理工大学材料科学与工程学院就读</v>
      </c>
    </row>
    <row r="4544" spans="1:9">
      <c r="A4544" s="1" t="str">
        <f>"411381200212294812"</f>
        <v>411381200212294812</v>
      </c>
      <c r="B4544" s="1" t="str">
        <f t="shared" si="2252"/>
        <v>共青团员</v>
      </c>
      <c r="C4544" s="1" t="str">
        <f t="shared" ref="C4544:C4547" si="2253">"专科"</f>
        <v>专科</v>
      </c>
      <c r="D4544" s="1" t="str">
        <f>"20250607"</f>
        <v>20250607</v>
      </c>
      <c r="E4544" s="1" t="str">
        <f>"南阳农业职业学院"</f>
        <v>南阳农业职业学院</v>
      </c>
      <c r="F4544" s="1" t="str">
        <f>"计算机应用技术"</f>
        <v>计算机应用技术</v>
      </c>
      <c r="G4544" s="1" t="str">
        <f>"邓州市"</f>
        <v>邓州市</v>
      </c>
      <c r="H4544" s="1" t="str">
        <f t="shared" si="2250"/>
        <v>无</v>
      </c>
      <c r="I4544" s="1" t="str">
        <f>"202209-202506在南阳农业职业学院信息工程系计算机应用技术专业就读全日制学历"</f>
        <v>202209-202506在南阳农业职业学院信息工程系计算机应用技术专业就读全日制学历</v>
      </c>
    </row>
    <row r="4545" spans="1:9">
      <c r="A4545" s="1" t="str">
        <f>"411326200306154023"</f>
        <v>411326200306154023</v>
      </c>
      <c r="B4545" s="1" t="str">
        <f t="shared" ref="B4545:B4547" si="2254">"群众"</f>
        <v>群众</v>
      </c>
      <c r="C4545" s="1" t="str">
        <f t="shared" si="2253"/>
        <v>专科</v>
      </c>
      <c r="D4545" s="1" t="str">
        <f>"2024-06-25"</f>
        <v>2024-06-25</v>
      </c>
      <c r="E4545" s="1" t="str">
        <f>"许昌职业技术学院"</f>
        <v>许昌职业技术学院</v>
      </c>
      <c r="F4545" s="1" t="str">
        <f>"小学教育"</f>
        <v>小学教育</v>
      </c>
      <c r="G4545" s="1" t="str">
        <f>"河南省南阳市南召县四棵树乡疙瘩坡村"</f>
        <v>河南省南阳市南召县四棵树乡疙瘩坡村</v>
      </c>
      <c r="H4545" s="1" t="str">
        <f t="shared" si="2250"/>
        <v>无</v>
      </c>
      <c r="I4545" s="1" t="str">
        <f>"2021 09---2024 06在许昌职业技术学院人文学院小学教育专业就读 ，是全日制学历。"</f>
        <v>2021 09---2024 06在许昌职业技术学院人文学院小学教育专业就读 ，是全日制学历。</v>
      </c>
    </row>
    <row r="4546" spans="1:9">
      <c r="A4546" s="1" t="str">
        <f>"411327200401122026"</f>
        <v>411327200401122026</v>
      </c>
      <c r="B4546" s="1" t="str">
        <f t="shared" si="2254"/>
        <v>群众</v>
      </c>
      <c r="C4546" s="1" t="str">
        <f t="shared" ref="C4546:C4555" si="2255">"本科"</f>
        <v>本科</v>
      </c>
      <c r="D4546" s="1" t="str">
        <f>"20250615"</f>
        <v>20250615</v>
      </c>
      <c r="E4546" s="1" t="str">
        <f>"安阳学院"</f>
        <v>安阳学院</v>
      </c>
      <c r="F4546" s="1" t="str">
        <f>"汉语言文学"</f>
        <v>汉语言文学</v>
      </c>
      <c r="G4546" s="1" t="str">
        <f>"河南省南阳市内乡县梨园山庄"</f>
        <v>河南省南阳市内乡县梨园山庄</v>
      </c>
      <c r="H4546" s="1" t="str">
        <f t="shared" si="2250"/>
        <v>无</v>
      </c>
      <c r="I4546" s="1" t="str">
        <f>"202109-202506安阳学院文法学院汉语言文学专业就读"</f>
        <v>202109-202506安阳学院文法学院汉语言文学专业就读</v>
      </c>
    </row>
    <row r="4547" spans="1:9">
      <c r="A4547" s="1" t="str">
        <f>"411323200204082621"</f>
        <v>411323200204082621</v>
      </c>
      <c r="B4547" s="1" t="str">
        <f t="shared" si="2254"/>
        <v>群众</v>
      </c>
      <c r="C4547" s="1" t="str">
        <f t="shared" si="2253"/>
        <v>专科</v>
      </c>
      <c r="D4547" s="1" t="str">
        <f>"20230701"</f>
        <v>20230701</v>
      </c>
      <c r="E4547" s="1" t="str">
        <f>"漯河职业技术学院"</f>
        <v>漯河职业技术学院</v>
      </c>
      <c r="F4547" s="1" t="str">
        <f>"学前教育"</f>
        <v>学前教育</v>
      </c>
      <c r="G4547" s="1" t="str">
        <f>"内乡县城关镇新县医院附近"</f>
        <v>内乡县城关镇新县医院附近</v>
      </c>
      <c r="H4547" s="1" t="str">
        <f t="shared" si="2250"/>
        <v>无</v>
      </c>
      <c r="I4547" s="1" t="str">
        <f>"202103-202307在漯河师范学院学前教育专业就读，为非全日制学历。"</f>
        <v>202103-202307在漯河师范学院学前教育专业就读，为非全日制学历。</v>
      </c>
    </row>
    <row r="4548" spans="1:9">
      <c r="A4548" s="1" t="str">
        <f>"411422200003092136"</f>
        <v>411422200003092136</v>
      </c>
      <c r="B4548" s="1" t="str">
        <f t="shared" ref="B4548:B4551" si="2256">"共青团员"</f>
        <v>共青团员</v>
      </c>
      <c r="C4548" s="1" t="str">
        <f t="shared" si="2255"/>
        <v>本科</v>
      </c>
      <c r="D4548" s="1" t="str">
        <f>"20220701"</f>
        <v>20220701</v>
      </c>
      <c r="E4548" s="1" t="str">
        <f>"河南工学院"</f>
        <v>河南工学院</v>
      </c>
      <c r="F4548" s="1" t="str">
        <f>"工业工程"</f>
        <v>工业工程</v>
      </c>
      <c r="G4548" s="1" t="str">
        <f>"河南省商丘市睢县"</f>
        <v>河南省商丘市睢县</v>
      </c>
      <c r="H4548" s="1" t="str">
        <f t="shared" si="2250"/>
        <v>无</v>
      </c>
      <c r="I4548" s="1" t="str">
        <f>"201509-202007  商丘职业技术学院五年制大专部机电一体化技术就读  全日制
202009-202207  河南工学院管理学院工业工程专业就读   全日制本科
202209-202410   在睢县待业
202411-至今       在后台派出所工作"</f>
        <v>201509-202007  商丘职业技术学院五年制大专部机电一体化技术就读  全日制
202009-202207  河南工学院管理学院工业工程专业就读   全日制本科
202209-202410   在睢县待业
202411-至今       在后台派出所工作</v>
      </c>
    </row>
    <row r="4549" spans="1:9">
      <c r="A4549" s="1" t="str">
        <f>"41132320000929002X"</f>
        <v>41132320000929002X</v>
      </c>
      <c r="B4549" s="1" t="str">
        <f t="shared" ref="B4549:B4553" si="2257">"群众"</f>
        <v>群众</v>
      </c>
      <c r="C4549" s="1" t="str">
        <f t="shared" si="2255"/>
        <v>本科</v>
      </c>
      <c r="D4549" s="1" t="str">
        <f>"20240701"</f>
        <v>20240701</v>
      </c>
      <c r="E4549" s="1" t="str">
        <f>"新乡医学院三全学院"</f>
        <v>新乡医学院三全学院</v>
      </c>
      <c r="F4549" s="1" t="str">
        <f>"护理学"</f>
        <v>护理学</v>
      </c>
      <c r="G4549" s="1" t="str">
        <f>"淅川县红旗路红旗小区"</f>
        <v>淅川县红旗路红旗小区</v>
      </c>
      <c r="H4549" s="1" t="str">
        <f>"护士执业证"</f>
        <v>护士执业证</v>
      </c>
      <c r="I4549" s="1" t="str">
        <f>"201809-202107南阳医学高等专科学校护理专业就读，全日制学历
202203-202407在新乡医学院三全学院护理学专业就读，非全日制学历
"</f>
        <v>201809-202107南阳医学高等专科学校护理专业就读，全日制学历
202203-202407在新乡医学院三全学院护理学专业就读，非全日制学历
</v>
      </c>
    </row>
    <row r="4550" spans="1:9">
      <c r="A4550" s="1" t="str">
        <f>"41132720011212253X"</f>
        <v>41132720011212253X</v>
      </c>
      <c r="B4550" s="1" t="str">
        <f t="shared" si="2256"/>
        <v>共青团员</v>
      </c>
      <c r="C4550" s="1" t="str">
        <f t="shared" si="2255"/>
        <v>本科</v>
      </c>
      <c r="D4550" s="1" t="str">
        <f>"20230607"</f>
        <v>20230607</v>
      </c>
      <c r="E4550" s="1" t="str">
        <f>"河北工程大学科信学院"</f>
        <v>河北工程大学科信学院</v>
      </c>
      <c r="F4550" s="1" t="str">
        <f>"能源与动力工程"</f>
        <v>能源与动力工程</v>
      </c>
      <c r="G4550" s="1" t="str">
        <f>"河南省南阳市内乡县"</f>
        <v>河南省南阳市内乡县</v>
      </c>
      <c r="H4550" s="1" t="str">
        <f>"应急求援员5级证书"</f>
        <v>应急求援员5级证书</v>
      </c>
      <c r="I4550" s="1" t="str">
        <f>"201909-202306河北工程大学科信学院能源与动力工程专业就读"</f>
        <v>201909-202306河北工程大学科信学院能源与动力工程专业就读</v>
      </c>
    </row>
    <row r="4551" spans="1:9">
      <c r="A4551" s="1" t="str">
        <f>"41130320030808022X"</f>
        <v>41130320030808022X</v>
      </c>
      <c r="B4551" s="1" t="str">
        <f t="shared" si="2256"/>
        <v>共青团员</v>
      </c>
      <c r="C4551" s="1" t="str">
        <f t="shared" si="2255"/>
        <v>本科</v>
      </c>
      <c r="D4551" s="1" t="str">
        <f>"2025年07月01日"</f>
        <v>2025年07月01日</v>
      </c>
      <c r="E4551" s="1" t="str">
        <f>"北京科技大学天津学院"</f>
        <v>北京科技大学天津学院</v>
      </c>
      <c r="F4551" s="1" t="str">
        <f>"金融工程"</f>
        <v>金融工程</v>
      </c>
      <c r="G4551" s="1" t="str">
        <f>"河南省南阳市镇平县"</f>
        <v>河南省南阳市镇平县</v>
      </c>
      <c r="H4551" s="1" t="str">
        <f t="shared" ref="H4551:H4556" si="2258">"无"</f>
        <v>无</v>
      </c>
      <c r="I4551" s="1" t="str">
        <f>"202109-202507 在北京科技大学天津学院经济学院金融工程专业就读，是全日制学历"</f>
        <v>202109-202507 在北京科技大学天津学院经济学院金融工程专业就读，是全日制学历</v>
      </c>
    </row>
    <row r="4552" spans="1:9">
      <c r="A4552" s="1" t="str">
        <f>"411327200105150014"</f>
        <v>411327200105150014</v>
      </c>
      <c r="B4552" s="1" t="str">
        <f t="shared" si="2257"/>
        <v>群众</v>
      </c>
      <c r="C4552" s="1" t="str">
        <f t="shared" si="2255"/>
        <v>本科</v>
      </c>
      <c r="D4552" s="1" t="str">
        <f>"20240701"</f>
        <v>20240701</v>
      </c>
      <c r="E4552" s="1" t="str">
        <f>"郑州工业应用技术学院"</f>
        <v>郑州工业应用技术学院</v>
      </c>
      <c r="F4552" s="1" t="str">
        <f>"城乡规划"</f>
        <v>城乡规划</v>
      </c>
      <c r="G4552" s="1" t="str">
        <f>"河南省南阳市内乡县城关镇文庙组270号"</f>
        <v>河南省南阳市内乡县城关镇文庙组270号</v>
      </c>
      <c r="H4552" s="1" t="str">
        <f t="shared" si="2258"/>
        <v>无</v>
      </c>
      <c r="I4552" s="1" t="str">
        <f>"201909-202207 三门峡职业技术学院 全日制
202209-202407 郑州工业应用技术学院 全日制
202407-至今      待业"</f>
        <v>201909-202207 三门峡职业技术学院 全日制
202209-202407 郑州工业应用技术学院 全日制
202407-至今      待业</v>
      </c>
    </row>
    <row r="4553" spans="1:9">
      <c r="A4553" s="1" t="str">
        <f>"411303200210010063"</f>
        <v>411303200210010063</v>
      </c>
      <c r="B4553" s="1" t="str">
        <f t="shared" si="2257"/>
        <v>群众</v>
      </c>
      <c r="C4553" s="1" t="str">
        <f t="shared" si="2255"/>
        <v>本科</v>
      </c>
      <c r="D4553" s="1" t="str">
        <f>"20250607"</f>
        <v>20250607</v>
      </c>
      <c r="E4553" s="1" t="str">
        <f>"新乡工程学院"</f>
        <v>新乡工程学院</v>
      </c>
      <c r="F4553" s="1" t="str">
        <f>"视觉传达设计"</f>
        <v>视觉传达设计</v>
      </c>
      <c r="G4553" s="1" t="str">
        <f>"河南省南阳市卧龙区工业北路徐庄52号"</f>
        <v>河南省南阳市卧龙区工业北路徐庄52号</v>
      </c>
      <c r="H4553" s="1" t="str">
        <f t="shared" si="2258"/>
        <v>无</v>
      </c>
      <c r="I4553" s="1" t="str">
        <f>"202009-202306 河南科技学院辉县校区就读。是全日制学历。202309-202506新乡工程学院就读。是全日制学历。"</f>
        <v>202009-202306 河南科技学院辉县校区就读。是全日制学历。202309-202506新乡工程学院就读。是全日制学历。</v>
      </c>
    </row>
    <row r="4554" spans="1:9">
      <c r="A4554" s="1" t="str">
        <f>"411327200206060341"</f>
        <v>411327200206060341</v>
      </c>
      <c r="B4554" s="1" t="str">
        <f>"共青团员"</f>
        <v>共青团员</v>
      </c>
      <c r="C4554" s="1" t="str">
        <f t="shared" si="2255"/>
        <v>本科</v>
      </c>
      <c r="D4554" s="1" t="str">
        <f>"20250606"</f>
        <v>20250606</v>
      </c>
      <c r="E4554" s="1" t="str">
        <f>"安阳师范学院"</f>
        <v>安阳师范学院</v>
      </c>
      <c r="F4554" s="1" t="str">
        <f>"汉语言文学"</f>
        <v>汉语言文学</v>
      </c>
      <c r="G4554" s="1" t="str">
        <f>"河南省南阳市内乡县大桥乡"</f>
        <v>河南省南阳市内乡县大桥乡</v>
      </c>
      <c r="H4554" s="1" t="str">
        <f t="shared" si="2258"/>
        <v>无</v>
      </c>
      <c r="I4554" s="1" t="str">
        <f>"202009-201306 新乡学院 文学院 语文教育 专科
202309-202506安阳师范学院 文学院 汉语言文学 全日制本科"</f>
        <v>202009-201306 新乡学院 文学院 语文教育 专科
202309-202506安阳师范学院 文学院 汉语言文学 全日制本科</v>
      </c>
    </row>
    <row r="4555" spans="1:9">
      <c r="A4555" s="1" t="str">
        <f>"411326199007212849"</f>
        <v>411326199007212849</v>
      </c>
      <c r="B4555" s="1" t="str">
        <f t="shared" ref="B4555:B4559" si="2259">"群众"</f>
        <v>群众</v>
      </c>
      <c r="C4555" s="1" t="str">
        <f t="shared" si="2255"/>
        <v>本科</v>
      </c>
      <c r="D4555" s="1" t="str">
        <f>"20141230"</f>
        <v>20141230</v>
      </c>
      <c r="E4555" s="1" t="str">
        <f>"河南大学"</f>
        <v>河南大学</v>
      </c>
      <c r="F4555" s="1" t="str">
        <f>"经济学"</f>
        <v>经济学</v>
      </c>
      <c r="G4555" s="1" t="str">
        <f>"河南省南召县皇路店镇薛庄村二组84号"</f>
        <v>河南省南召县皇路店镇薛庄村二组84号</v>
      </c>
      <c r="H4555" s="1" t="str">
        <f t="shared" si="2258"/>
        <v>无</v>
      </c>
      <c r="I4555" s="1" t="str">
        <f>"201009-201307河南省经济管理学校中专会计电算化专业，201203-201407南阳理工学院成人大专会计电算化专业，201210-201412河南大学自考本科经济学专业，202110-202407南阳农业职业学院全日制大专电子商务专业，202503-至今河南财经政法大学成人本科法学专业在读。"</f>
        <v>201009-201307河南省经济管理学校中专会计电算化专业，201203-201407南阳理工学院成人大专会计电算化专业，201210-201412河南大学自考本科经济学专业，202110-202407南阳农业职业学院全日制大专电子商务专业，202503-至今河南财经政法大学成人本科法学专业在读。</v>
      </c>
    </row>
    <row r="4556" spans="1:9">
      <c r="A4556" s="1" t="str">
        <f>"41132420010701245X"</f>
        <v>41132420010701245X</v>
      </c>
      <c r="B4556" s="1" t="str">
        <f t="shared" ref="B4556:B4562" si="2260">"共青团员"</f>
        <v>共青团员</v>
      </c>
      <c r="C4556" s="1" t="str">
        <f>"专科"</f>
        <v>专科</v>
      </c>
      <c r="D4556" s="1" t="str">
        <f>"20230701"</f>
        <v>20230701</v>
      </c>
      <c r="E4556" s="1" t="str">
        <f>"周口师范学院"</f>
        <v>周口师范学院</v>
      </c>
      <c r="F4556" s="1" t="str">
        <f>"语文教育"</f>
        <v>语文教育</v>
      </c>
      <c r="G4556" s="1" t="str">
        <f>"河南省南阳市镇平县碧桂园小区"</f>
        <v>河南省南阳市镇平县碧桂园小区</v>
      </c>
      <c r="H4556" s="1" t="str">
        <f t="shared" si="2258"/>
        <v>无</v>
      </c>
      <c r="I4556" s="1" t="str">
        <f>"202009-202307  周口师范学院语文教育专业就读  全日制学历
202307-202407在家待业
202407-至今  于南阳廉政文化教育基地任看护队员"</f>
        <v>202009-202307  周口师范学院语文教育专业就读  全日制学历
202307-202407在家待业
202407-至今  于南阳廉政文化教育基地任看护队员</v>
      </c>
    </row>
    <row r="4557" spans="1:9">
      <c r="A4557" s="1" t="str">
        <f>"411381199308074528"</f>
        <v>411381199308074528</v>
      </c>
      <c r="B4557" s="1" t="str">
        <f t="shared" si="2259"/>
        <v>群众</v>
      </c>
      <c r="C4557" s="1" t="str">
        <f t="shared" ref="C4557:C4560" si="2261">"本科"</f>
        <v>本科</v>
      </c>
      <c r="D4557" s="1" t="str">
        <f>"20240701"</f>
        <v>20240701</v>
      </c>
      <c r="E4557" s="1" t="str">
        <f>"河南财经政法大学"</f>
        <v>河南财经政法大学</v>
      </c>
      <c r="F4557" s="1" t="str">
        <f>"工商管理"</f>
        <v>工商管理</v>
      </c>
      <c r="G4557" s="1" t="str">
        <f>"河南省南阳市卧龙区"</f>
        <v>河南省南阳市卧龙区</v>
      </c>
      <c r="H4557" s="1" t="str">
        <f>"中级会计证书"</f>
        <v>中级会计证书</v>
      </c>
      <c r="I4557" s="1" t="str">
        <f>"201109-201406 河南财政税务高等专科学校就读会计（注册会计师方向）专业 全日制学历
201407-201507 待业
201508-201601 漯河国美电器有限公司南阳市分公司
201602-201902 待业
201903至今 南阳市康复医院（南阳市第九人民医院）
202203-202406 河南财经政法大学 非全日制学历
"</f>
        <v>201109-201406 河南财政税务高等专科学校就读会计（注册会计师方向）专业 全日制学历
201407-201507 待业
201508-201601 漯河国美电器有限公司南阳市分公司
201602-201902 待业
201903至今 南阳市康复医院（南阳市第九人民医院）
202203-202406 河南财经政法大学 非全日制学历
</v>
      </c>
    </row>
    <row r="4558" spans="1:9">
      <c r="A4558" s="1" t="str">
        <f>"411324200203202421"</f>
        <v>411324200203202421</v>
      </c>
      <c r="B4558" s="1" t="str">
        <f t="shared" si="2259"/>
        <v>群众</v>
      </c>
      <c r="C4558" s="1" t="str">
        <f t="shared" si="2261"/>
        <v>本科</v>
      </c>
      <c r="D4558" s="1" t="str">
        <f>"2025-07-01"</f>
        <v>2025-07-01</v>
      </c>
      <c r="E4558" s="1" t="str">
        <f>"郑州师范学院"</f>
        <v>郑州师范学院</v>
      </c>
      <c r="F4558" s="1" t="str">
        <f>"特殊教育专业"</f>
        <v>特殊教育专业</v>
      </c>
      <c r="G4558" s="1" t="str">
        <f>"河南省南阳市镇平县高丘镇陈营村"</f>
        <v>河南省南阳市镇平县高丘镇陈营村</v>
      </c>
      <c r="H4558" s="1" t="str">
        <f>"小学语文教师资格证"</f>
        <v>小学语文教师资格证</v>
      </c>
      <c r="I4558" s="1" t="str">
        <f>"202009-202306 郑州幼儿师范高等专科学校 特殊教育专业  全日制
202309-202507 郑州师范学院  特殊教育专业  全日制
"</f>
        <v>202009-202306 郑州幼儿师范高等专科学校 特殊教育专业  全日制
202309-202507 郑州师范学院  特殊教育专业  全日制
</v>
      </c>
    </row>
    <row r="4559" spans="1:9">
      <c r="A4559" s="1" t="str">
        <f>"411327200103012013"</f>
        <v>411327200103012013</v>
      </c>
      <c r="B4559" s="1" t="str">
        <f t="shared" si="2259"/>
        <v>群众</v>
      </c>
      <c r="C4559" s="1" t="str">
        <f t="shared" si="2261"/>
        <v>本科</v>
      </c>
      <c r="D4559" s="1" t="str">
        <f>"2023-07-01"</f>
        <v>2023-07-01</v>
      </c>
      <c r="E4559" s="1" t="str">
        <f>"河南工程学院"</f>
        <v>河南工程学院</v>
      </c>
      <c r="F4559" s="1" t="str">
        <f>"服装设计与工程"</f>
        <v>服装设计与工程</v>
      </c>
      <c r="G4559" s="1" t="str">
        <f>"河南省南阳市内乡县师岗镇"</f>
        <v>河南省南阳市内乡县师岗镇</v>
      </c>
      <c r="H4559" s="1" t="str">
        <f t="shared" ref="H4559:H4562" si="2262">"无"</f>
        <v>无</v>
      </c>
      <c r="I4559" s="1" t="str">
        <f>"2019.9-2023.6 河南工程学院服装设计与工程专业就读
2023-8-2023.10 在湖北际华针织有限公司就业
2023.11-2023.12 在华福科技有限公司就业
2024.1-6在家待业
2024.7-2024.11 在深圳丰泽昕科技有限公司就业
2025.1-至今在南阳源泉工程建设有限公司就业"</f>
        <v>2019.9-2023.6 河南工程学院服装设计与工程专业就读
2023-8-2023.10 在湖北际华针织有限公司就业
2023.11-2023.12 在华福科技有限公司就业
2024.1-6在家待业
2024.7-2024.11 在深圳丰泽昕科技有限公司就业
2025.1-至今在南阳源泉工程建设有限公司就业</v>
      </c>
    </row>
    <row r="4560" spans="1:9">
      <c r="A4560" s="1" t="str">
        <f>"411327199902241116"</f>
        <v>411327199902241116</v>
      </c>
      <c r="B4560" s="1" t="str">
        <f t="shared" si="2260"/>
        <v>共青团员</v>
      </c>
      <c r="C4560" s="1" t="str">
        <f t="shared" si="2261"/>
        <v>本科</v>
      </c>
      <c r="D4560" s="1" t="str">
        <f>"20220701"</f>
        <v>20220701</v>
      </c>
      <c r="E4560" s="1" t="str">
        <f>"华北水利水电大学"</f>
        <v>华北水利水电大学</v>
      </c>
      <c r="F4560" s="1" t="str">
        <f>"港口航道与海岸工程"</f>
        <v>港口航道与海岸工程</v>
      </c>
      <c r="G4560" s="1" t="str">
        <f>"河南省南阳市内乡县赤眉镇琴溪村"</f>
        <v>河南省南阳市内乡县赤眉镇琴溪村</v>
      </c>
      <c r="H4560" s="1" t="str">
        <f t="shared" si="2262"/>
        <v>无</v>
      </c>
      <c r="I4560" s="1" t="str">
        <f>"201809-202207 华北水利水电大学 水利学院 港口航道与海岸工程就读，201909-202206 华北水利水电大学 法学院 辅修法学专业，获得工学与法学双学士学位，全日制学历。"</f>
        <v>201809-202207 华北水利水电大学 水利学院 港口航道与海岸工程就读，201909-202206 华北水利水电大学 法学院 辅修法学专业，获得工学与法学双学士学位，全日制学历。</v>
      </c>
    </row>
    <row r="4561" spans="1:9">
      <c r="A4561" s="1" t="str">
        <f>"411327200011030644"</f>
        <v>411327200011030644</v>
      </c>
      <c r="B4561" s="1" t="str">
        <f t="shared" si="2260"/>
        <v>共青团员</v>
      </c>
      <c r="C4561" s="1" t="str">
        <f>"专科"</f>
        <v>专科</v>
      </c>
      <c r="D4561" s="1" t="str">
        <f>"2023-07-01"</f>
        <v>2023-07-01</v>
      </c>
      <c r="E4561" s="1" t="str">
        <f>"商丘学院"</f>
        <v>商丘学院</v>
      </c>
      <c r="F4561" s="1" t="str">
        <f>"小学教育（师范）"</f>
        <v>小学教育（师范）</v>
      </c>
      <c r="G4561" s="1" t="str">
        <f>"河南省南阳市内乡县马山口镇河西村442号"</f>
        <v>河南省南阳市内乡县马山口镇河西村442号</v>
      </c>
      <c r="H4561" s="1" t="str">
        <f t="shared" si="2262"/>
        <v>无</v>
      </c>
      <c r="I4561" s="1" t="str">
        <f>"202009-202307  就读于商丘学院 ，在本校人文学院小学教育（师范）专业三年制专科学习，全日制学历"</f>
        <v>202009-202307  就读于商丘学院 ，在本校人文学院小学教育（师范）专业三年制专科学习，全日制学历</v>
      </c>
    </row>
    <row r="4562" spans="1:9">
      <c r="A4562" s="1" t="str">
        <f>"411324199911110039"</f>
        <v>411324199911110039</v>
      </c>
      <c r="B4562" s="1" t="str">
        <f t="shared" si="2260"/>
        <v>共青团员</v>
      </c>
      <c r="C4562" s="1" t="str">
        <f t="shared" ref="C4562:C4565" si="2263">"本科"</f>
        <v>本科</v>
      </c>
      <c r="D4562" s="1" t="str">
        <f>"20220701"</f>
        <v>20220701</v>
      </c>
      <c r="E4562" s="1" t="str">
        <f>"河南农业大学"</f>
        <v>河南农业大学</v>
      </c>
      <c r="F4562" s="1" t="str">
        <f>"环境科学"</f>
        <v>环境科学</v>
      </c>
      <c r="G4562" s="1" t="str">
        <f>"河南省南阳市滨河西路工行家属院"</f>
        <v>河南省南阳市滨河西路工行家属院</v>
      </c>
      <c r="H4562" s="1" t="str">
        <f t="shared" si="2262"/>
        <v>无</v>
      </c>
      <c r="I4562" s="1" t="str">
        <f>"201809-202207 河南农业大学就读
202207-至今 待业"</f>
        <v>201809-202207 河南农业大学就读
202207-至今 待业</v>
      </c>
    </row>
    <row r="4563" spans="1:9">
      <c r="A4563" s="1" t="str">
        <f>"411330200305121523"</f>
        <v>411330200305121523</v>
      </c>
      <c r="B4563" s="1" t="str">
        <f>"中共党员"</f>
        <v>中共党员</v>
      </c>
      <c r="C4563" s="1" t="str">
        <f t="shared" si="2263"/>
        <v>本科</v>
      </c>
      <c r="D4563" s="1" t="str">
        <f>"20250701"</f>
        <v>20250701</v>
      </c>
      <c r="E4563" s="1" t="str">
        <f>"河南科技学院"</f>
        <v>河南科技学院</v>
      </c>
      <c r="F4563" s="1" t="str">
        <f>"会计学"</f>
        <v>会计学</v>
      </c>
      <c r="G4563" s="1" t="str">
        <f>"河南省南阳市西峡县"</f>
        <v>河南省南阳市西峡县</v>
      </c>
      <c r="H4563" s="1" t="str">
        <f>"初级会计资格证"</f>
        <v>初级会计资格证</v>
      </c>
      <c r="I4563" s="1" t="str">
        <f>"202109-202507在河南科技学院经济与管理学院会计学专业就读，是全日制学历"</f>
        <v>202109-202507在河南科技学院经济与管理学院会计学专业就读，是全日制学历</v>
      </c>
    </row>
    <row r="4564" spans="1:9">
      <c r="A4564" s="1" t="str">
        <f>"411330199804074818"</f>
        <v>411330199804074818</v>
      </c>
      <c r="B4564" s="1" t="str">
        <f t="shared" ref="B4564:B4567" si="2264">"群众"</f>
        <v>群众</v>
      </c>
      <c r="C4564" s="1" t="str">
        <f t="shared" si="2263"/>
        <v>本科</v>
      </c>
      <c r="D4564" s="1" t="str">
        <f>"20000710"</f>
        <v>20000710</v>
      </c>
      <c r="E4564" s="1" t="str">
        <f>"黄河科技学院"</f>
        <v>黄河科技学院</v>
      </c>
      <c r="F4564" s="1" t="str">
        <f>"材料成型及控制工程"</f>
        <v>材料成型及控制工程</v>
      </c>
      <c r="G4564" s="1" t="str">
        <f>"河南省南阳市西峡县军马河乡独阜岭村"</f>
        <v>河南省南阳市西峡县军马河乡独阜岭村</v>
      </c>
      <c r="H4564" s="1" t="str">
        <f t="shared" ref="H4564:H4578" si="2265">"无"</f>
        <v>无</v>
      </c>
      <c r="I4564" s="1" t="str">
        <f>"201609-202007 黄河科技学院 材料成型及控制工程专业 全日制本科 202007-202507-30 西峡县待业"</f>
        <v>201609-202007 黄河科技学院 材料成型及控制工程专业 全日制本科 202007-202507-30 西峡县待业</v>
      </c>
    </row>
    <row r="4565" spans="1:9">
      <c r="A4565" s="1" t="str">
        <f>"411327199910220024"</f>
        <v>411327199910220024</v>
      </c>
      <c r="B4565" s="1" t="str">
        <f t="shared" si="2264"/>
        <v>群众</v>
      </c>
      <c r="C4565" s="1" t="str">
        <f t="shared" si="2263"/>
        <v>本科</v>
      </c>
      <c r="D4565" s="1" t="str">
        <f>"20210701"</f>
        <v>20210701</v>
      </c>
      <c r="E4565" s="1" t="str">
        <f>"信阳学院"</f>
        <v>信阳学院</v>
      </c>
      <c r="F4565" s="1" t="str">
        <f>"历史学"</f>
        <v>历史学</v>
      </c>
      <c r="G4565" s="1" t="str">
        <f>"河南省内乡县城关镇大成路大成明珠西侧巷"</f>
        <v>河南省内乡县城关镇大成路大成明珠西侧巷</v>
      </c>
      <c r="H4565" s="1" t="str">
        <f t="shared" si="2265"/>
        <v>无</v>
      </c>
      <c r="I4565" s="1" t="str">
        <f>"201709-202106 信阳学院 就读"</f>
        <v>201709-202106 信阳学院 就读</v>
      </c>
    </row>
    <row r="4566" spans="1:9">
      <c r="A4566" s="1" t="str">
        <f>"411327200109060614"</f>
        <v>411327200109060614</v>
      </c>
      <c r="B4566" s="1" t="str">
        <f>"共青团员"</f>
        <v>共青团员</v>
      </c>
      <c r="C4566" s="1" t="str">
        <f>"专科"</f>
        <v>专科</v>
      </c>
      <c r="D4566" s="1" t="str">
        <f>"20220701"</f>
        <v>20220701</v>
      </c>
      <c r="E4566" s="1" t="str">
        <f>"郑州工商学院"</f>
        <v>郑州工商学院</v>
      </c>
      <c r="F4566" s="1" t="str">
        <f>"计算机网络技术"</f>
        <v>计算机网络技术</v>
      </c>
      <c r="G4566" s="1" t="str">
        <f>"河南省内乡县维多利亚小区"</f>
        <v>河南省内乡县维多利亚小区</v>
      </c>
      <c r="H4566" s="1" t="str">
        <f t="shared" si="2265"/>
        <v>无</v>
      </c>
      <c r="I4566" s="1" t="str">
        <f>"201909-202207郑州工商学院 计算机网络技术 全日制大专
202209-202212牧原
202301-至今 内乡县重力达物流有限公司"</f>
        <v>201909-202207郑州工商学院 计算机网络技术 全日制大专
202209-202212牧原
202301-至今 内乡县重力达物流有限公司</v>
      </c>
    </row>
    <row r="4567" spans="1:9">
      <c r="A4567" s="1" t="str">
        <f>"411327199905170018"</f>
        <v>411327199905170018</v>
      </c>
      <c r="B4567" s="1" t="str">
        <f t="shared" si="2264"/>
        <v>群众</v>
      </c>
      <c r="C4567" s="1" t="str">
        <f>"专科"</f>
        <v>专科</v>
      </c>
      <c r="D4567" s="1" t="str">
        <f>"2023-10-01"</f>
        <v>2023-10-01</v>
      </c>
      <c r="E4567" s="1" t="str">
        <f>"郑州工程技术学院"</f>
        <v>郑州工程技术学院</v>
      </c>
      <c r="F4567" s="1" t="str">
        <f>"市场营销"</f>
        <v>市场营销</v>
      </c>
      <c r="G4567" s="1" t="str">
        <f>"内乡县新都祥和阁2单元701"</f>
        <v>内乡县新都祥和阁2单元701</v>
      </c>
      <c r="H4567" s="1" t="str">
        <f t="shared" si="2265"/>
        <v>无</v>
      </c>
      <c r="I4567" s="1" t="str">
        <f>"202009-202209服役于中国人民解放军陆军第七十三集团军
201809-20231001毕业于郑州工程技术学院
20221101-至今工作于内乡县应急管理局"</f>
        <v>202009-202209服役于中国人民解放军陆军第七十三集团军
201809-20231001毕业于郑州工程技术学院
20221101-至今工作于内乡县应急管理局</v>
      </c>
    </row>
    <row r="4568" spans="1:9">
      <c r="A4568" s="1" t="str">
        <f>"411303199901135513"</f>
        <v>411303199901135513</v>
      </c>
      <c r="B4568" s="1" t="str">
        <f>"中共预备党员"</f>
        <v>中共预备党员</v>
      </c>
      <c r="C4568" s="1" t="str">
        <f t="shared" ref="C4568:C4572" si="2266">"本科"</f>
        <v>本科</v>
      </c>
      <c r="D4568" s="1" t="str">
        <f>"2024-06-01"</f>
        <v>2024-06-01</v>
      </c>
      <c r="E4568" s="1" t="str">
        <f>"河南师范大学"</f>
        <v>河南师范大学</v>
      </c>
      <c r="F4568" s="1" t="str">
        <f>"小学教育"</f>
        <v>小学教育</v>
      </c>
      <c r="G4568" s="1" t="str">
        <f>"河南省南阳市卧龙区陆营镇陆北社区"</f>
        <v>河南省南阳市卧龙区陆营镇陆北社区</v>
      </c>
      <c r="H4568" s="1" t="str">
        <f t="shared" si="2265"/>
        <v>无</v>
      </c>
      <c r="I4568" s="1" t="str">
        <f>"201709-201806 郑州师范学院 就读
201809-202009 武警西藏总队阿里支队日土中队 服役
202009-202207 郑州师范学院 就读
202209-202407 河南师范大学 就读"</f>
        <v>201709-201806 郑州师范学院 就读
201809-202009 武警西藏总队阿里支队日土中队 服役
202009-202207 郑州师范学院 就读
202209-202407 河南师范大学 就读</v>
      </c>
    </row>
    <row r="4569" spans="1:9">
      <c r="A4569" s="1" t="str">
        <f>"41132719981015332X"</f>
        <v>41132719981015332X</v>
      </c>
      <c r="B4569" s="1" t="str">
        <f>"群众"</f>
        <v>群众</v>
      </c>
      <c r="C4569" s="1" t="str">
        <f t="shared" si="2266"/>
        <v>本科</v>
      </c>
      <c r="D4569" s="1" t="str">
        <f>"20200630"</f>
        <v>20200630</v>
      </c>
      <c r="E4569" s="1" t="str">
        <f>"信阳师范学院"</f>
        <v>信阳师范学院</v>
      </c>
      <c r="F4569" s="1" t="str">
        <f>"思想政治教育"</f>
        <v>思想政治教育</v>
      </c>
      <c r="G4569" s="1" t="str">
        <f>"河南省南阳市内乡县七里坪乡后会村"</f>
        <v>河南省南阳市内乡县七里坪乡后会村</v>
      </c>
      <c r="H4569" s="1" t="str">
        <f t="shared" si="2265"/>
        <v>无</v>
      </c>
      <c r="I4569" s="1" t="str">
        <f>"201609-202006信阳师范学院马克思主义学院思想政治教育专业就读，全日制
202007-202008待业
202008-202507内乡实验高中任职学科教师"</f>
        <v>201609-202006信阳师范学院马克思主义学院思想政治教育专业就读，全日制
202007-202008待业
202008-202507内乡实验高中任职学科教师</v>
      </c>
    </row>
    <row r="4570" spans="1:9">
      <c r="A4570" s="1" t="str">
        <f>"411327200004013926"</f>
        <v>411327200004013926</v>
      </c>
      <c r="B4570" s="1" t="str">
        <f t="shared" ref="B4570:B4575" si="2267">"中共党员"</f>
        <v>中共党员</v>
      </c>
      <c r="C4570" s="1" t="str">
        <f t="shared" si="2266"/>
        <v>本科</v>
      </c>
      <c r="D4570" s="1" t="str">
        <f>"20220701"</f>
        <v>20220701</v>
      </c>
      <c r="E4570" s="1" t="str">
        <f>"商丘师范学院"</f>
        <v>商丘师范学院</v>
      </c>
      <c r="F4570" s="1" t="str">
        <f>"秘书学"</f>
        <v>秘书学</v>
      </c>
      <c r="G4570" s="1" t="str">
        <f>"河南省南阳市内乡县"</f>
        <v>河南省南阳市内乡县</v>
      </c>
      <c r="H4570" s="1" t="str">
        <f t="shared" si="2265"/>
        <v>无</v>
      </c>
      <c r="I4570" s="1" t="str">
        <f>"201809-202207商丘师范学院秘书学就读全日制
202207-202507内乡县待业"</f>
        <v>201809-202207商丘师范学院秘书学就读全日制
202207-202507内乡县待业</v>
      </c>
    </row>
    <row r="4571" spans="1:9">
      <c r="A4571" s="1" t="str">
        <f>"411330199105111528"</f>
        <v>411330199105111528</v>
      </c>
      <c r="B4571" s="1" t="str">
        <f t="shared" si="2267"/>
        <v>中共党员</v>
      </c>
      <c r="C4571" s="1" t="str">
        <f t="shared" si="2266"/>
        <v>本科</v>
      </c>
      <c r="D4571" s="1" t="str">
        <f>"20200710"</f>
        <v>20200710</v>
      </c>
      <c r="E4571" s="1" t="str">
        <f>"西安交通大学"</f>
        <v>西安交通大学</v>
      </c>
      <c r="F4571" s="1" t="str">
        <f>"法学"</f>
        <v>法学</v>
      </c>
      <c r="G4571" s="1" t="str">
        <f>"南阳"</f>
        <v>南阳</v>
      </c>
      <c r="H4571" s="1" t="str">
        <f t="shared" si="2265"/>
        <v>无</v>
      </c>
      <c r="I4571" s="1" t="str">
        <f>"201709-202007西安交通大学法学专业，非全日制"</f>
        <v>201709-202007西安交通大学法学专业，非全日制</v>
      </c>
    </row>
    <row r="4572" spans="1:9">
      <c r="A4572" s="1" t="str">
        <f>"413026200005144214"</f>
        <v>413026200005144214</v>
      </c>
      <c r="B4572" s="1" t="str">
        <f>"共青团员"</f>
        <v>共青团员</v>
      </c>
      <c r="C4572" s="1" t="str">
        <f t="shared" si="2266"/>
        <v>本科</v>
      </c>
      <c r="D4572" s="1" t="str">
        <f>"20230701"</f>
        <v>20230701</v>
      </c>
      <c r="E4572" s="1" t="str">
        <f>"河南省洛阳理工学院"</f>
        <v>河南省洛阳理工学院</v>
      </c>
      <c r="F4572" s="1" t="str">
        <f>"数字媒体艺术"</f>
        <v>数字媒体艺术</v>
      </c>
      <c r="G4572" s="1" t="str">
        <f>"河南省固始县祖师庙镇街道"</f>
        <v>河南省固始县祖师庙镇街道</v>
      </c>
      <c r="H4572" s="1" t="str">
        <f t="shared" si="2265"/>
        <v>无</v>
      </c>
      <c r="I4572" s="1" t="str">
        <f>"201909-202307  洛阳理工学院  艺术系 数字媒体艺术专业  全日制本科
202308-202507  在家行业"</f>
        <v>201909-202307  洛阳理工学院  艺术系 数字媒体艺术专业  全日制本科
202308-202507  在家行业</v>
      </c>
    </row>
    <row r="4573" spans="1:9">
      <c r="A4573" s="1" t="str">
        <f>"372323200010080634"</f>
        <v>372323200010080634</v>
      </c>
      <c r="B4573" s="1" t="str">
        <f t="shared" ref="B4573:B4577" si="2268">"群众"</f>
        <v>群众</v>
      </c>
      <c r="C4573" s="1" t="str">
        <f t="shared" ref="C4573:C4576" si="2269">"专科"</f>
        <v>专科</v>
      </c>
      <c r="D4573" s="1" t="str">
        <f>"2022-07-01"</f>
        <v>2022-07-01</v>
      </c>
      <c r="E4573" s="1" t="str">
        <f>"上海电子信息职业技术学院"</f>
        <v>上海电子信息职业技术学院</v>
      </c>
      <c r="F4573" s="1" t="str">
        <f>"计算机应用技术专业"</f>
        <v>计算机应用技术专业</v>
      </c>
      <c r="G4573" s="1" t="str">
        <f>"山东省滨州市阳信县温店镇西李什村035号"</f>
        <v>山东省滨州市阳信县温店镇西李什村035号</v>
      </c>
      <c r="H4573" s="1" t="str">
        <f t="shared" si="2265"/>
        <v>无</v>
      </c>
      <c r="I4573" s="1" t="str">
        <f>"201909-202207 上海电子信息职业技术学院 通信与信息工程学院 计算机应用技术专业 就读，是全日制学历
202207-202210 上海思慧德安防设备有限公司 硬件测试工程师职位就职
202210-202304 在山东滨州待业
202304-202312 上海欣遇电源科技有限公司 结构设计工程师职位就职
202312-202507 在山东滨州待业"</f>
        <v>201909-202207 上海电子信息职业技术学院 通信与信息工程学院 计算机应用技术专业 就读，是全日制学历
202207-202210 上海思慧德安防设备有限公司 硬件测试工程师职位就职
202210-202304 在山东滨州待业
202304-202312 上海欣遇电源科技有限公司 结构设计工程师职位就职
202312-202507 在山东滨州待业</v>
      </c>
    </row>
    <row r="4574" spans="1:9">
      <c r="A4574" s="1" t="str">
        <f>"411381199911240316"</f>
        <v>411381199911240316</v>
      </c>
      <c r="B4574" s="1" t="str">
        <f t="shared" ref="B4574:B4580" si="2270">"共青团员"</f>
        <v>共青团员</v>
      </c>
      <c r="C4574" s="1" t="str">
        <f t="shared" si="2269"/>
        <v>专科</v>
      </c>
      <c r="D4574" s="1" t="str">
        <f>"20210630"</f>
        <v>20210630</v>
      </c>
      <c r="E4574" s="1" t="str">
        <f>"武昌理工学院"</f>
        <v>武昌理工学院</v>
      </c>
      <c r="F4574" s="1" t="str">
        <f>"计算机网络技术"</f>
        <v>计算机网络技术</v>
      </c>
      <c r="G4574" s="1" t="str">
        <f>"邓州市民政局家属院"</f>
        <v>邓州市民政局家属院</v>
      </c>
      <c r="H4574" s="1" t="str">
        <f t="shared" si="2265"/>
        <v>无</v>
      </c>
      <c r="I4574" s="1" t="str">
        <f>"201809-202106 武昌理工学院 计算机网络技术专业 就读 全日制
202107-至今 邓州市公安局
"</f>
        <v>201809-202106 武昌理工学院 计算机网络技术专业 就读 全日制
202107-至今 邓州市公安局
</v>
      </c>
    </row>
    <row r="4575" spans="1:9">
      <c r="A4575" s="1" t="str">
        <f>"411327199810231543"</f>
        <v>411327199810231543</v>
      </c>
      <c r="B4575" s="1" t="str">
        <f t="shared" si="2267"/>
        <v>中共党员</v>
      </c>
      <c r="C4575" s="1" t="str">
        <f>"硕士研究生"</f>
        <v>硕士研究生</v>
      </c>
      <c r="D4575" s="1" t="str">
        <f>"202306"</f>
        <v>202306</v>
      </c>
      <c r="E4575" s="1" t="str">
        <f>"中国青年政治学院"</f>
        <v>中国青年政治学院</v>
      </c>
      <c r="F4575" s="1" t="str">
        <f>"思想政治教育"</f>
        <v>思想政治教育</v>
      </c>
      <c r="G4575" s="1" t="str">
        <f>"河南省南阳市福成金色嘉园"</f>
        <v>河南省南阳市福成金色嘉园</v>
      </c>
      <c r="H4575" s="1" t="str">
        <f t="shared" si="2265"/>
        <v>无</v>
      </c>
      <c r="I4575" s="1" t="str">
        <f>"201609-202007 新乡学院历史与社会发展学院文化产业管理专业就读（全日制）
202009-202306 中国青年政治学院青少年工作系思想政治教育专业就读（全日制）"</f>
        <v>201609-202007 新乡学院历史与社会发展学院文化产业管理专业就读（全日制）
202009-202306 中国青年政治学院青少年工作系思想政治教育专业就读（全日制）</v>
      </c>
    </row>
    <row r="4576" spans="1:9">
      <c r="A4576" s="1" t="str">
        <f>"411327199612043947"</f>
        <v>411327199612043947</v>
      </c>
      <c r="B4576" s="1" t="str">
        <f t="shared" si="2268"/>
        <v>群众</v>
      </c>
      <c r="C4576" s="1" t="str">
        <f t="shared" si="2269"/>
        <v>专科</v>
      </c>
      <c r="D4576" s="1" t="str">
        <f>"20190630"</f>
        <v>20190630</v>
      </c>
      <c r="E4576" s="1" t="str">
        <f>"郑州轻工业大学"</f>
        <v>郑州轻工业大学</v>
      </c>
      <c r="F4576" s="1" t="str">
        <f>"艺术设计"</f>
        <v>艺术设计</v>
      </c>
      <c r="G4576" s="1" t="str">
        <f>"南阳市西峡县油厂路28"</f>
        <v>南阳市西峡县油厂路28</v>
      </c>
      <c r="H4576" s="1" t="str">
        <f t="shared" si="2265"/>
        <v>无</v>
      </c>
      <c r="I4576" s="1" t="str">
        <f>"2016.09-2019.06就读于郑州轻工业大学电子线艺术设计专业，是全日制学历
2019.07-2024.08年在个体户就业
2024.09-至今任职于西峡县广开外国语学校"</f>
        <v>2016.09-2019.06就读于郑州轻工业大学电子线艺术设计专业，是全日制学历
2019.07-2024.08年在个体户就业
2024.09-至今任职于西峡县广开外国语学校</v>
      </c>
    </row>
    <row r="4577" spans="1:9">
      <c r="A4577" s="1" t="str">
        <f>"411327199110020032"</f>
        <v>411327199110020032</v>
      </c>
      <c r="B4577" s="1" t="str">
        <f t="shared" si="2268"/>
        <v>群众</v>
      </c>
      <c r="C4577" s="1" t="str">
        <f t="shared" ref="C4577:C4581" si="2271">"本科"</f>
        <v>本科</v>
      </c>
      <c r="D4577" s="1" t="str">
        <f>"20160630"</f>
        <v>20160630</v>
      </c>
      <c r="E4577" s="1" t="str">
        <f>"吉林师范大学博达学院"</f>
        <v>吉林师范大学博达学院</v>
      </c>
      <c r="F4577" s="1" t="str">
        <f>"学前教育"</f>
        <v>学前教育</v>
      </c>
      <c r="G4577" s="1" t="str">
        <f>"河南省南阳市内乡县城关镇"</f>
        <v>河南省南阳市内乡县城关镇</v>
      </c>
      <c r="H4577" s="1" t="str">
        <f t="shared" si="2265"/>
        <v>无</v>
      </c>
      <c r="I4577" s="1" t="str">
        <f>"201209-201606 吉林师范大学博达学院学前教育就读
201607-202507 自由职业"</f>
        <v>201209-201606 吉林师范大学博达学院学前教育就读
201607-202507 自由职业</v>
      </c>
    </row>
    <row r="4578" spans="1:9">
      <c r="A4578" s="1" t="str">
        <f>"411503200102020062"</f>
        <v>411503200102020062</v>
      </c>
      <c r="B4578" s="1" t="str">
        <f t="shared" si="2270"/>
        <v>共青团员</v>
      </c>
      <c r="C4578" s="1" t="str">
        <f t="shared" si="2271"/>
        <v>本科</v>
      </c>
      <c r="D4578" s="1" t="str">
        <f>"20220622"</f>
        <v>20220622</v>
      </c>
      <c r="E4578" s="1" t="str">
        <f>"郑州大学"</f>
        <v>郑州大学</v>
      </c>
      <c r="F4578" s="1" t="str">
        <f>"金融学"</f>
        <v>金融学</v>
      </c>
      <c r="G4578" s="1" t="str">
        <f>"河南省信阳市平桥区"</f>
        <v>河南省信阳市平桥区</v>
      </c>
      <c r="H4578" s="1" t="str">
        <f t="shared" si="2265"/>
        <v>无</v>
      </c>
      <c r="I4578" s="1" t="str">
        <f>"201809-202206 郑州大学西亚斯国际学院就读 获得郑州大学金融学学士学历 全日制"</f>
        <v>201809-202206 郑州大学西亚斯国际学院就读 获得郑州大学金融学学士学历 全日制</v>
      </c>
    </row>
    <row r="4579" spans="1:9">
      <c r="A4579" s="1" t="str">
        <f>"410881200101226522"</f>
        <v>410881200101226522</v>
      </c>
      <c r="B4579" s="1" t="str">
        <f t="shared" si="2270"/>
        <v>共青团员</v>
      </c>
      <c r="C4579" s="1" t="str">
        <f t="shared" si="2271"/>
        <v>本科</v>
      </c>
      <c r="D4579" s="1" t="str">
        <f>"20220701"</f>
        <v>20220701</v>
      </c>
      <c r="E4579" s="1" t="str">
        <f>"江西科技师范大学理工学院"</f>
        <v>江西科技师范大学理工学院</v>
      </c>
      <c r="F4579" s="1" t="str">
        <f>"汉语言文学"</f>
        <v>汉语言文学</v>
      </c>
      <c r="G4579" s="1" t="str">
        <f>"河南省济源市克井镇逢南新村"</f>
        <v>河南省济源市克井镇逢南新村</v>
      </c>
      <c r="H4579" s="1" t="str">
        <f>"教师资格证"</f>
        <v>教师资格证</v>
      </c>
      <c r="I4579" s="1" t="str">
        <f>"201809-202207 江西科技师范大学理工学院 汉语言文学专业就读，是全日制学历
202209-202309  河南省济源市思礼镇政府  见习岗
202309至今  待业"</f>
        <v>201809-202207 江西科技师范大学理工学院 汉语言文学专业就读，是全日制学历
202209-202309  河南省济源市思礼镇政府  见习岗
202309至今  待业</v>
      </c>
    </row>
    <row r="4580" spans="1:9">
      <c r="A4580" s="1" t="str">
        <f>"411327200105060035"</f>
        <v>411327200105060035</v>
      </c>
      <c r="B4580" s="1" t="str">
        <f t="shared" si="2270"/>
        <v>共青团员</v>
      </c>
      <c r="C4580" s="1" t="str">
        <f t="shared" si="2271"/>
        <v>本科</v>
      </c>
      <c r="D4580" s="1" t="str">
        <f>"20190620"</f>
        <v>20190620</v>
      </c>
      <c r="E4580" s="1" t="str">
        <f>"西南大学"</f>
        <v>西南大学</v>
      </c>
      <c r="F4580" s="1" t="str">
        <f>"动物科学专业"</f>
        <v>动物科学专业</v>
      </c>
      <c r="G4580" s="1" t="str">
        <f>"河南省南阳市内乡县渚阳大街国税局正对面"</f>
        <v>河南省南阳市内乡县渚阳大街国税局正对面</v>
      </c>
      <c r="H4580" s="1" t="str">
        <f t="shared" ref="H4580:H4586" si="2272">"无"</f>
        <v>无</v>
      </c>
      <c r="I4580" s="1" t="str">
        <f>"201909-202306 西南大学荣昌校区动物科学技术学院动物科学专业就读 全日制学历"</f>
        <v>201909-202306 西南大学荣昌校区动物科学技术学院动物科学专业就读 全日制学历</v>
      </c>
    </row>
    <row r="4581" spans="1:9">
      <c r="A4581" s="1" t="str">
        <f>"411327199009100011"</f>
        <v>411327199009100011</v>
      </c>
      <c r="B4581" s="1" t="str">
        <f t="shared" ref="B4581:B4585" si="2273">"群众"</f>
        <v>群众</v>
      </c>
      <c r="C4581" s="1" t="str">
        <f t="shared" si="2271"/>
        <v>本科</v>
      </c>
      <c r="D4581" s="1" t="str">
        <f>"20130630"</f>
        <v>20130630</v>
      </c>
      <c r="E4581" s="1" t="str">
        <f>"湖北汽车工业学院科技学院"</f>
        <v>湖北汽车工业学院科技学院</v>
      </c>
      <c r="F4581" s="1" t="str">
        <f>"工商管理"</f>
        <v>工商管理</v>
      </c>
      <c r="G4581" s="1" t="str">
        <f>"河南省内乡县湍东镇七里河畔"</f>
        <v>河南省内乡县湍东镇七里河畔</v>
      </c>
      <c r="H4581" s="1" t="str">
        <f t="shared" si="2272"/>
        <v>无</v>
      </c>
      <c r="I4581" s="1" t="str">
        <f>"200909-201306 湖北汽车工业学院科技学院就读，全日制本科
201306-201406 湖北神河汽车有限公司
201407-201507 郑州东风日产
201508-201511 内乡待业
201512-202002 牧原食品有限公司
202003-202505 北京雪鸮科技有限公司"</f>
        <v>200909-201306 湖北汽车工业学院科技学院就读，全日制本科
201306-201406 湖北神河汽车有限公司
201407-201507 郑州东风日产
201508-201511 内乡待业
201512-202002 牧原食品有限公司
202003-202505 北京雪鸮科技有限公司</v>
      </c>
    </row>
    <row r="4582" spans="1:9">
      <c r="A4582" s="1" t="str">
        <f>"411303199502164835"</f>
        <v>411303199502164835</v>
      </c>
      <c r="B4582" s="1" t="str">
        <f>"中共党员"</f>
        <v>中共党员</v>
      </c>
      <c r="C4582" s="1" t="str">
        <f>"专科"</f>
        <v>专科</v>
      </c>
      <c r="D4582" s="1" t="str">
        <f>"20170701"</f>
        <v>20170701</v>
      </c>
      <c r="E4582" s="1" t="str">
        <f>"郑州职业技术学院"</f>
        <v>郑州职业技术学院</v>
      </c>
      <c r="F4582" s="1" t="str">
        <f>"模具设计与制造"</f>
        <v>模具设计与制造</v>
      </c>
      <c r="G4582" s="1" t="str">
        <f>"河南省南阳市潦河镇前宋马营村6组250号"</f>
        <v>河南省南阳市潦河镇前宋马营村6组250号</v>
      </c>
      <c r="H4582" s="1" t="str">
        <f t="shared" si="2272"/>
        <v>无</v>
      </c>
      <c r="I4582" s="1" t="str">
        <f>"201407-201707在郑州职业技术学院材料工程系模具设计与制造专业就读，是全日制学历
201707-201910在苏州赛力新材料科技有限公司工作
201910-202408在南阳天骄科技有限公司工作
202408-至今在河南智信劳务派遣服务有限公司工作"</f>
        <v>201407-201707在郑州职业技术学院材料工程系模具设计与制造专业就读，是全日制学历
201707-201910在苏州赛力新材料科技有限公司工作
201910-202408在南阳天骄科技有限公司工作
202408-至今在河南智信劳务派遣服务有限公司工作</v>
      </c>
    </row>
    <row r="4583" spans="1:9">
      <c r="A4583" s="1" t="str">
        <f>"411327200111270020"</f>
        <v>411327200111270020</v>
      </c>
      <c r="B4583" s="1" t="str">
        <f t="shared" si="2273"/>
        <v>群众</v>
      </c>
      <c r="C4583" s="1" t="str">
        <f t="shared" ref="C4583:C4587" si="2274">"本科"</f>
        <v>本科</v>
      </c>
      <c r="D4583" s="1" t="str">
        <f>"20230620"</f>
        <v>20230620</v>
      </c>
      <c r="E4583" s="1" t="str">
        <f>"天津科技大学"</f>
        <v>天津科技大学</v>
      </c>
      <c r="F4583" s="1" t="str">
        <f>"金融工程"</f>
        <v>金融工程</v>
      </c>
      <c r="G4583" s="1" t="str">
        <f>"河南省南阳市内乡县城关镇大成西路18街11排12号"</f>
        <v>河南省南阳市内乡县城关镇大成西路18街11排12号</v>
      </c>
      <c r="H4583" s="1" t="str">
        <f t="shared" si="2272"/>
        <v>无</v>
      </c>
      <c r="I4583" s="1" t="str">
        <f>"201909-202306 天津科技大学就读
202307-202312 待业
202401至今 内乡县社保中心公益岗"</f>
        <v>201909-202306 天津科技大学就读
202307-202312 待业
202401至今 内乡县社保中心公益岗</v>
      </c>
    </row>
    <row r="4584" spans="1:9">
      <c r="A4584" s="1" t="str">
        <f>"411302200111290032"</f>
        <v>411302200111290032</v>
      </c>
      <c r="B4584" s="1" t="str">
        <f t="shared" ref="B4584:B4589" si="2275">"共青团员"</f>
        <v>共青团员</v>
      </c>
      <c r="C4584" s="1" t="str">
        <f t="shared" si="2274"/>
        <v>本科</v>
      </c>
      <c r="D4584" s="1" t="str">
        <f>"2025-09-30"</f>
        <v>2025-09-30</v>
      </c>
      <c r="E4584" s="1" t="str">
        <f>"郑州科技学院"</f>
        <v>郑州科技学院</v>
      </c>
      <c r="F4584" s="1" t="str">
        <f>"动画"</f>
        <v>动画</v>
      </c>
      <c r="G4584" s="1" t="str">
        <f>"河南省南阳市宛城区建设东路47号"</f>
        <v>河南省南阳市宛城区建设东路47号</v>
      </c>
      <c r="H4584" s="1" t="str">
        <f t="shared" si="2272"/>
        <v>无</v>
      </c>
      <c r="I4584" s="1" t="str">
        <f>"202109-202506 郑州科技学院艺术学院动画专业就读
是全日制本科"</f>
        <v>202109-202506 郑州科技学院艺术学院动画专业就读
是全日制本科</v>
      </c>
    </row>
    <row r="4585" spans="1:9">
      <c r="A4585" s="1" t="str">
        <f>"411327200306104225"</f>
        <v>411327200306104225</v>
      </c>
      <c r="B4585" s="1" t="str">
        <f t="shared" si="2273"/>
        <v>群众</v>
      </c>
      <c r="C4585" s="1" t="str">
        <f t="shared" si="2274"/>
        <v>本科</v>
      </c>
      <c r="D4585" s="1" t="str">
        <f>"20250630"</f>
        <v>20250630</v>
      </c>
      <c r="E4585" s="1" t="str">
        <f>"郑州西亚斯学院"</f>
        <v>郑州西亚斯学院</v>
      </c>
      <c r="F4585" s="1" t="str">
        <f>"大数据管理与应用"</f>
        <v>大数据管理与应用</v>
      </c>
      <c r="G4585" s="1" t="str">
        <f>"河南省内乡县余关乡东王庄村"</f>
        <v>河南省内乡县余关乡东王庄村</v>
      </c>
      <c r="H4585" s="1" t="str">
        <f t="shared" si="2272"/>
        <v>无</v>
      </c>
      <c r="I4585" s="1" t="str">
        <f>"202109-202506 郑州西亚斯学院 就读"</f>
        <v>202109-202506 郑州西亚斯学院 就读</v>
      </c>
    </row>
    <row r="4586" spans="1:9">
      <c r="A4586" s="1" t="str">
        <f>"411327200006200629"</f>
        <v>411327200006200629</v>
      </c>
      <c r="B4586" s="1" t="str">
        <f t="shared" si="2275"/>
        <v>共青团员</v>
      </c>
      <c r="C4586" s="1" t="str">
        <f t="shared" si="2274"/>
        <v>本科</v>
      </c>
      <c r="D4586" s="1" t="str">
        <f>"20220701"</f>
        <v>20220701</v>
      </c>
      <c r="E4586" s="1" t="str">
        <f>"信阳学院"</f>
        <v>信阳学院</v>
      </c>
      <c r="F4586" s="1" t="str">
        <f>"汉语言文学"</f>
        <v>汉语言文学</v>
      </c>
      <c r="G4586" s="1" t="str">
        <f>"河南省内乡县马山口镇"</f>
        <v>河南省内乡县马山口镇</v>
      </c>
      <c r="H4586" s="1" t="str">
        <f t="shared" si="2272"/>
        <v>无</v>
      </c>
      <c r="I4586" s="1" t="str">
        <f>"201809-202206 信阳学院文学院汉语言文学 就读 全日制
202207-202208 马山口镇待业
202209-202210 郑州富士康 职员
202211-202301 马山口镇待业
202302-202308 内乡郦都学校 教师
202309-202404 上海乐的meland 职员
202405-至今 马山口镇待业
"</f>
        <v>201809-202206 信阳学院文学院汉语言文学 就读 全日制
202207-202208 马山口镇待业
202209-202210 郑州富士康 职员
202211-202301 马山口镇待业
202302-202308 内乡郦都学校 教师
202309-202404 上海乐的meland 职员
202405-至今 马山口镇待业
</v>
      </c>
    </row>
    <row r="4587" spans="1:9">
      <c r="A4587" s="1" t="str">
        <f>"411327200207124220"</f>
        <v>411327200207124220</v>
      </c>
      <c r="B4587" s="1" t="str">
        <f>"群众"</f>
        <v>群众</v>
      </c>
      <c r="C4587" s="1" t="str">
        <f t="shared" si="2274"/>
        <v>本科</v>
      </c>
      <c r="D4587" s="1" t="str">
        <f>"2024-06-05"</f>
        <v>2024-06-05</v>
      </c>
      <c r="E4587" s="1" t="str">
        <f>"安阳学院"</f>
        <v>安阳学院</v>
      </c>
      <c r="F4587" s="1" t="str">
        <f>"音乐学"</f>
        <v>音乐学</v>
      </c>
      <c r="G4587" s="1" t="str">
        <f>"河南省南阳市内乡县五里堡转盘"</f>
        <v>河南省南阳市内乡县五里堡转盘</v>
      </c>
      <c r="H4587" s="1" t="str">
        <f>"高级中学音乐教师资格证"</f>
        <v>高级中学音乐教师资格证</v>
      </c>
      <c r="I4587" s="1" t="str">
        <f>"2020.09-2024.06安阳学院音乐与传媒学院音乐学专业在读  为全日制大学本科学历。
2018.09-2024.06内乡第三高级中学在读"</f>
        <v>2020.09-2024.06安阳学院音乐与传媒学院音乐学专业在读  为全日制大学本科学历。
2018.09-2024.06内乡第三高级中学在读</v>
      </c>
    </row>
    <row r="4588" spans="1:9">
      <c r="A4588" s="1" t="str">
        <f>"411381200402190483"</f>
        <v>411381200402190483</v>
      </c>
      <c r="B4588" s="1" t="str">
        <f>"中共预备党员"</f>
        <v>中共预备党员</v>
      </c>
      <c r="C4588" s="1" t="str">
        <f>"专科"</f>
        <v>专科</v>
      </c>
      <c r="D4588" s="1" t="str">
        <f>"2025-06-10"</f>
        <v>2025-06-10</v>
      </c>
      <c r="E4588" s="1" t="str">
        <f>"新乡医学院三全学院"</f>
        <v>新乡医学院三全学院</v>
      </c>
      <c r="F4588" s="1" t="str">
        <f>"医疗器械经营与服务"</f>
        <v>医疗器械经营与服务</v>
      </c>
      <c r="G4588" s="1" t="str">
        <f>"河南省邓州市"</f>
        <v>河南省邓州市</v>
      </c>
      <c r="H4588" s="1" t="str">
        <f t="shared" ref="H4588:H4593" si="2276">"无"</f>
        <v>无</v>
      </c>
      <c r="I4588" s="1" t="str">
        <f>"202209-202506 新乡医学院三全学院 就读 全日制大专"</f>
        <v>202209-202506 新乡医学院三全学院 就读 全日制大专</v>
      </c>
    </row>
    <row r="4589" spans="1:9">
      <c r="A4589" s="1" t="str">
        <f>"411327200001064226"</f>
        <v>411327200001064226</v>
      </c>
      <c r="B4589" s="1" t="str">
        <f t="shared" si="2275"/>
        <v>共青团员</v>
      </c>
      <c r="C4589" s="1" t="str">
        <f t="shared" ref="C4589:C4603" si="2277">"本科"</f>
        <v>本科</v>
      </c>
      <c r="D4589" s="1" t="str">
        <f>"20220701"</f>
        <v>20220701</v>
      </c>
      <c r="E4589" s="1" t="str">
        <f>"河南牧业经济学院"</f>
        <v>河南牧业经济学院</v>
      </c>
      <c r="F4589" s="1" t="str">
        <f>"市场营销（市场数据分析营销方向）"</f>
        <v>市场营销（市场数据分析营销方向）</v>
      </c>
      <c r="G4589" s="1" t="str">
        <f>"河南省南阳市"</f>
        <v>河南省南阳市</v>
      </c>
      <c r="H4589" s="1" t="str">
        <f t="shared" si="2276"/>
        <v>无</v>
      </c>
      <c r="I4589" s="1" t="str">
        <f>"201809-202207在河南牧业经济学院工商管理学院市场营销专业就读，全日制本科学历；
202208-2024.11居家待业；
2024.12-2025.07在郑州优胜实验中学就业。"</f>
        <v>201809-202207在河南牧业经济学院工商管理学院市场营销专业就读，全日制本科学历；
202208-2024.11居家待业；
2024.12-2025.07在郑州优胜实验中学就业。</v>
      </c>
    </row>
    <row r="4590" spans="1:9">
      <c r="A4590" s="1" t="str">
        <f>"360402200003214761"</f>
        <v>360402200003214761</v>
      </c>
      <c r="B4590" s="1" t="str">
        <f>"中共党员"</f>
        <v>中共党员</v>
      </c>
      <c r="C4590" s="1" t="str">
        <f t="shared" si="2277"/>
        <v>本科</v>
      </c>
      <c r="D4590" s="1" t="str">
        <f>"2023-07-01"</f>
        <v>2023-07-01</v>
      </c>
      <c r="E4590" s="1" t="str">
        <f>"郑州财经学院"</f>
        <v>郑州财经学院</v>
      </c>
      <c r="F4590" s="1" t="str">
        <f>"会计学"</f>
        <v>会计学</v>
      </c>
      <c r="G4590" s="1" t="str">
        <f>"河南省南阳市内乡县安泰荣盛公馆"</f>
        <v>河南省南阳市内乡县安泰荣盛公馆</v>
      </c>
      <c r="H4590" s="1" t="str">
        <f>"初级会计证"</f>
        <v>初级会计证</v>
      </c>
      <c r="I4590" s="1" t="str">
        <f>"201909-202306 郑州财经学院  会计学 是全日制"</f>
        <v>201909-202306 郑州财经学院  会计学 是全日制</v>
      </c>
    </row>
    <row r="4591" spans="1:9">
      <c r="A4591" s="1" t="str">
        <f>"411323199911285334"</f>
        <v>411323199911285334</v>
      </c>
      <c r="B4591" s="1" t="str">
        <f>"中共党员"</f>
        <v>中共党员</v>
      </c>
      <c r="C4591" s="1" t="str">
        <f t="shared" si="2277"/>
        <v>本科</v>
      </c>
      <c r="D4591" s="1" t="str">
        <f>"2024-06-15"</f>
        <v>2024-06-15</v>
      </c>
      <c r="E4591" s="1" t="str">
        <f>"新疆工程学院"</f>
        <v>新疆工程学院</v>
      </c>
      <c r="F4591" s="1" t="str">
        <f>"测绘工程"</f>
        <v>测绘工程</v>
      </c>
      <c r="G4591" s="1" t="str">
        <f>"南阳市邓州市裴营乡"</f>
        <v>南阳市邓州市裴营乡</v>
      </c>
      <c r="H4591" s="1" t="str">
        <f t="shared" si="2276"/>
        <v>无</v>
      </c>
      <c r="I4591" s="1" t="str">
        <f>"202010-202406 新疆工程学院土木工程学院测绘工程专业就读 全日制学历
202407-至今 南阳市邓州市裴营乡和谐社区待业"</f>
        <v>202010-202406 新疆工程学院土木工程学院测绘工程专业就读 全日制学历
202407-至今 南阳市邓州市裴营乡和谐社区待业</v>
      </c>
    </row>
    <row r="4592" spans="1:9">
      <c r="A4592" s="1" t="str">
        <f>"411327199708203335"</f>
        <v>411327199708203335</v>
      </c>
      <c r="B4592" s="1" t="str">
        <f>"共青团员"</f>
        <v>共青团员</v>
      </c>
      <c r="C4592" s="1" t="str">
        <f t="shared" si="2277"/>
        <v>本科</v>
      </c>
      <c r="D4592" s="1" t="str">
        <f>"2021-07-01"</f>
        <v>2021-07-01</v>
      </c>
      <c r="E4592" s="1" t="str">
        <f>"河南科技大学"</f>
        <v>河南科技大学</v>
      </c>
      <c r="F4592" s="1" t="str">
        <f>"食品质量与安全"</f>
        <v>食品质量与安全</v>
      </c>
      <c r="G4592" s="1" t="str">
        <f>"河南省内省县七里坪乡靳河村周南27号"</f>
        <v>河南省内省县七里坪乡靳河村周南27号</v>
      </c>
      <c r="H4592" s="1" t="str">
        <f t="shared" si="2276"/>
        <v>无</v>
      </c>
      <c r="I4592" s="1" t="str">
        <f>"201709-202107河南科技大学就读。202107-202306在洛阳沃普森生物科技有限公司。202307至今在河南南阳内乡待业"</f>
        <v>201709-202107河南科技大学就读。202107-202306在洛阳沃普森生物科技有限公司。202307至今在河南南阳内乡待业</v>
      </c>
    </row>
    <row r="4593" spans="1:9">
      <c r="A4593" s="1" t="str">
        <f>"411321200004120029"</f>
        <v>411321200004120029</v>
      </c>
      <c r="B4593" s="1" t="str">
        <f t="shared" ref="B4593:B4599" si="2278">"群众"</f>
        <v>群众</v>
      </c>
      <c r="C4593" s="1" t="str">
        <f t="shared" si="2277"/>
        <v>本科</v>
      </c>
      <c r="D4593" s="1" t="str">
        <f>"20220701"</f>
        <v>20220701</v>
      </c>
      <c r="E4593" s="1" t="str">
        <f>"郑州升达经贸管理学院"</f>
        <v>郑州升达经贸管理学院</v>
      </c>
      <c r="F4593" s="1" t="str">
        <f>"市场营销"</f>
        <v>市场营销</v>
      </c>
      <c r="G4593" s="1" t="str">
        <f>"河南省南阳市桐柏县新华街"</f>
        <v>河南省南阳市桐柏县新华街</v>
      </c>
      <c r="H4593" s="1" t="str">
        <f t="shared" si="2276"/>
        <v>无</v>
      </c>
      <c r="I4593" s="1" t="str">
        <f>"201809-202207 郑州升达经贸管理学院商学院市场营销专业就读 全日制学历
202207-至今 在南阳待业"</f>
        <v>201809-202207 郑州升达经贸管理学院商学院市场营销专业就读 全日制学历
202207-至今 在南阳待业</v>
      </c>
    </row>
    <row r="4594" spans="1:9">
      <c r="A4594" s="1" t="str">
        <f>"411327199910254224"</f>
        <v>411327199910254224</v>
      </c>
      <c r="B4594" s="1" t="str">
        <f>"共青团员"</f>
        <v>共青团员</v>
      </c>
      <c r="C4594" s="1" t="str">
        <f t="shared" si="2277"/>
        <v>本科</v>
      </c>
      <c r="D4594" s="1" t="str">
        <f>"20220706"</f>
        <v>20220706</v>
      </c>
      <c r="E4594" s="1" t="str">
        <f>"河南师范大学"</f>
        <v>河南师范大学</v>
      </c>
      <c r="F4594" s="1" t="str">
        <f>"日语·"</f>
        <v>日语·</v>
      </c>
      <c r="G4594" s="1" t="str">
        <f>" 河南省南阳市内乡县余关乡谢寨村"</f>
        <v> 河南省南阳市内乡县余关乡谢寨村</v>
      </c>
      <c r="H4594" s="1" t="str">
        <f>"1、高中日语和高中政治教资；2、日语专八证书；3、日语N2证书；4、英语四级证；5、计算机二级证；"</f>
        <v>1、高中日语和高中政治教资；2、日语专八证书；3、日语N2证书；4、英语四级证；5、计算机二级证；</v>
      </c>
      <c r="I4594" s="1" t="str">
        <f>"1、2018年9月至2022年7月在河南师范大学外国语学院日语专业就读，为全日制。2022年9月至2024年1月在驻马店市苏豫中学任教高一高二日语；2024年2月至2025年6月在内乡灌涨中学任教高三日语，对标准日语和人教版都熟悉，有完整一轮教学经验。
2、证书有高中日语教资证；日语专八证书；日语N2证书；计算机二级证书；普通话二级甲等证书；高中政治教资。"</f>
        <v>1、2018年9月至2022年7月在河南师范大学外国语学院日语专业就读，为全日制。2022年9月至2024年1月在驻马店市苏豫中学任教高一高二日语；2024年2月至2025年6月在内乡灌涨中学任教高三日语，对标准日语和人教版都熟悉，有完整一轮教学经验。
2、证书有高中日语教资证；日语专八证书；日语N2证书；计算机二级证书；普通话二级甲等证书；高中政治教资。</v>
      </c>
    </row>
    <row r="4595" spans="1:9">
      <c r="A4595" s="1" t="str">
        <f>"411381199710256717"</f>
        <v>411381199710256717</v>
      </c>
      <c r="B4595" s="1" t="str">
        <f t="shared" si="2278"/>
        <v>群众</v>
      </c>
      <c r="C4595" s="1" t="str">
        <f t="shared" si="2277"/>
        <v>本科</v>
      </c>
      <c r="D4595" s="1" t="str">
        <f>"2022-07-01"</f>
        <v>2022-07-01</v>
      </c>
      <c r="E4595" s="1" t="str">
        <f>"河南理工大学"</f>
        <v>河南理工大学</v>
      </c>
      <c r="F4595" s="1" t="str">
        <f>"环境工程"</f>
        <v>环境工程</v>
      </c>
      <c r="G4595" s="1" t="str">
        <f>"河南省邓州市南一环丰泽苑1号楼二单元16楼1601"</f>
        <v>河南省邓州市南一环丰泽苑1号楼二单元16楼1601</v>
      </c>
      <c r="H4595" s="1" t="str">
        <f>"水文地质工四级"</f>
        <v>水文地质工四级</v>
      </c>
      <c r="I4595" s="1" t="str">
        <f>"2015.09-2017.07     河南理工大学                       学生（全日制）
2017.08-2018.09	河南省煤田地质局一队	    技术员
2018.09-2022.06	河南省煤田地质局三队	    技术员
2020.03-2022.06     河南理工大学                       学生（非全日制）
2022.6-至今        金马国际有限公司                    职工"</f>
        <v>2015.09-2017.07     河南理工大学                       学生（全日制）
2017.08-2018.09	河南省煤田地质局一队	    技术员
2018.09-2022.06	河南省煤田地质局三队	    技术员
2020.03-2022.06     河南理工大学                       学生（非全日制）
2022.6-至今        金马国际有限公司                    职工</v>
      </c>
    </row>
    <row r="4596" spans="1:9">
      <c r="A4596" s="1" t="str">
        <f>"410381199806227338"</f>
        <v>410381199806227338</v>
      </c>
      <c r="B4596" s="1" t="str">
        <f t="shared" si="2278"/>
        <v>群众</v>
      </c>
      <c r="C4596" s="1" t="str">
        <f t="shared" si="2277"/>
        <v>本科</v>
      </c>
      <c r="D4596" s="1" t="str">
        <f>"20250616"</f>
        <v>20250616</v>
      </c>
      <c r="E4596" s="1" t="str">
        <f>"河南大学"</f>
        <v>河南大学</v>
      </c>
      <c r="F4596" s="1" t="str">
        <f>"行政管理"</f>
        <v>行政管理</v>
      </c>
      <c r="G4596" s="1" t="str">
        <f>"河南省洛阳市洛龙区安乐镇中街9号院"</f>
        <v>河南省洛阳市洛龙区安乐镇中街9号院</v>
      </c>
      <c r="H4596" s="1" t="str">
        <f t="shared" ref="H4596:H4598" si="2279">"无"</f>
        <v>无</v>
      </c>
      <c r="I4596" s="1" t="str">
        <f>"201409-201909 洛阳师范学院 学前教育学院 英语教育（学前方向）专业就读 普通全日制 大学专科
201909-202103 翰林国际幼儿园 英语教师
202103-202506 河南大学 哲学与公共管理学院 行政管理专业就读 非全日制 大学本科
202506-至今 洛阳天保堂医疗器械有限公司 出纳"</f>
        <v>201409-201909 洛阳师范学院 学前教育学院 英语教育（学前方向）专业就读 普通全日制 大学专科
201909-202103 翰林国际幼儿园 英语教师
202103-202506 河南大学 哲学与公共管理学院 行政管理专业就读 非全日制 大学本科
202506-至今 洛阳天保堂医疗器械有限公司 出纳</v>
      </c>
    </row>
    <row r="4597" spans="1:9">
      <c r="A4597" s="1" t="str">
        <f>"411024199701104048"</f>
        <v>411024199701104048</v>
      </c>
      <c r="B4597" s="1" t="str">
        <f t="shared" si="2278"/>
        <v>群众</v>
      </c>
      <c r="C4597" s="1" t="str">
        <f t="shared" si="2277"/>
        <v>本科</v>
      </c>
      <c r="D4597" s="1" t="str">
        <f>"20020715"</f>
        <v>20020715</v>
      </c>
      <c r="E4597" s="1" t="str">
        <f>"对外经济贸易大学"</f>
        <v>对外经济贸易大学</v>
      </c>
      <c r="F4597" s="1" t="str">
        <f>"工商管理"</f>
        <v>工商管理</v>
      </c>
      <c r="G4597" s="1" t="str">
        <f>"河南省许昌市鄢陵县"</f>
        <v>河南省许昌市鄢陵县</v>
      </c>
      <c r="H4597" s="1" t="str">
        <f t="shared" si="2279"/>
        <v>无</v>
      </c>
      <c r="I4597" s="1" t="str">
        <f>"201406-201712 郑州科技学院  软件技术（统招专科）
201712-200003 待业
200003-202207  对外经济贸易大学  工商管理 （成人本科）
200207-至今 待业"</f>
        <v>201406-201712 郑州科技学院  软件技术（统招专科）
201712-200003 待业
200003-202207  对外经济贸易大学  工商管理 （成人本科）
200207-至今 待业</v>
      </c>
    </row>
    <row r="4598" spans="1:9">
      <c r="A4598" s="1" t="str">
        <f>"411302200311150130"</f>
        <v>411302200311150130</v>
      </c>
      <c r="B4598" s="1" t="str">
        <f t="shared" si="2278"/>
        <v>群众</v>
      </c>
      <c r="C4598" s="1" t="str">
        <f t="shared" si="2277"/>
        <v>本科</v>
      </c>
      <c r="D4598" s="1" t="str">
        <f>"2025-07-01"</f>
        <v>2025-07-01</v>
      </c>
      <c r="E4598" s="1" t="str">
        <f>"黄河科技学院"</f>
        <v>黄河科技学院</v>
      </c>
      <c r="F4598" s="1" t="str">
        <f>"物联网工程"</f>
        <v>物联网工程</v>
      </c>
      <c r="G4598" s="1" t="str">
        <f>"河南省南阳市宛城区白河街道穆斯林市场"</f>
        <v>河南省南阳市宛城区白河街道穆斯林市场</v>
      </c>
      <c r="H4598" s="1" t="str">
        <f t="shared" si="2279"/>
        <v>无</v>
      </c>
      <c r="I4598" s="1" t="str">
        <f>"202109-202507 黄河科技学院物联网工程专业就读，为全日制学历
202507-至今 待业"</f>
        <v>202109-202507 黄河科技学院物联网工程专业就读，为全日制学历
202507-至今 待业</v>
      </c>
    </row>
    <row r="4599" spans="1:9">
      <c r="A4599" s="1" t="str">
        <f>"411323200104022023"</f>
        <v>411323200104022023</v>
      </c>
      <c r="B4599" s="1" t="str">
        <f t="shared" si="2278"/>
        <v>群众</v>
      </c>
      <c r="C4599" s="1" t="str">
        <f t="shared" si="2277"/>
        <v>本科</v>
      </c>
      <c r="D4599" s="1" t="str">
        <f>"20240701"</f>
        <v>20240701</v>
      </c>
      <c r="E4599" s="1" t="str">
        <f>"周口师范学院"</f>
        <v>周口师范学院</v>
      </c>
      <c r="F4599" s="1" t="str">
        <f>"人力资源管理"</f>
        <v>人力资源管理</v>
      </c>
      <c r="G4599" s="1" t="str">
        <f>"河南省南阳市西峡县五里桥杨岗村白沙组"</f>
        <v>河南省南阳市西峡县五里桥杨岗村白沙组</v>
      </c>
      <c r="H4599" s="1" t="str">
        <f>"初级会计"</f>
        <v>初级会计</v>
      </c>
      <c r="I4599" s="1" t="str">
        <f>"200809-201308就读于杨岗小学
201309-201608就读于五里桥初中
201608-201906就读于西峡县第一高级中学
201908-202006就读于西峡县第二高级中学
202009-202407就读于周口师范学院人力资源管理专业
202407至今待业"</f>
        <v>200809-201308就读于杨岗小学
201309-201608就读于五里桥初中
201608-201906就读于西峡县第一高级中学
201908-202006就读于西峡县第二高级中学
202009-202407就读于周口师范学院人力资源管理专业
202407至今待业</v>
      </c>
    </row>
    <row r="4600" spans="1:9">
      <c r="A4600" s="1" t="str">
        <f>"411323200203091542"</f>
        <v>411323200203091542</v>
      </c>
      <c r="B4600" s="1" t="str">
        <f t="shared" ref="B4600:B4603" si="2280">"共青团员"</f>
        <v>共青团员</v>
      </c>
      <c r="C4600" s="1" t="str">
        <f t="shared" si="2277"/>
        <v>本科</v>
      </c>
      <c r="D4600" s="1" t="str">
        <f>"2025年7月1日"</f>
        <v>2025年7月1日</v>
      </c>
      <c r="E4600" s="1" t="str">
        <f>"西安财经大学行知学院"</f>
        <v>西安财经大学行知学院</v>
      </c>
      <c r="F4600" s="1" t="str">
        <f>"财务管理"</f>
        <v>财务管理</v>
      </c>
      <c r="G4600" s="1" t="str">
        <f>"河南省南阳市西峡县城关镇北大街155号附3号"</f>
        <v>河南省南阳市西峡县城关镇北大街155号附3号</v>
      </c>
      <c r="H4600" s="1" t="str">
        <f>"初级会计证"</f>
        <v>初级会计证</v>
      </c>
      <c r="I4600" s="1" t="str">
        <f>"202009–202306西安培华学院会计学院财务管理专业就读
202309–202506西安财经大学行知学院会计学院财务管理专业就读"</f>
        <v>202009–202306西安培华学院会计学院财务管理专业就读
202309–202506西安财经大学行知学院会计学院财务管理专业就读</v>
      </c>
    </row>
    <row r="4601" spans="1:9">
      <c r="A4601" s="1" t="str">
        <f>"411381200308276520"</f>
        <v>411381200308276520</v>
      </c>
      <c r="B4601" s="1" t="str">
        <f t="shared" si="2280"/>
        <v>共青团员</v>
      </c>
      <c r="C4601" s="1" t="str">
        <f t="shared" si="2277"/>
        <v>本科</v>
      </c>
      <c r="D4601" s="1" t="str">
        <f>"20250627"</f>
        <v>20250627</v>
      </c>
      <c r="E4601" s="1" t="str">
        <f>"河南财经政法大学"</f>
        <v>河南财经政法大学</v>
      </c>
      <c r="F4601" s="1" t="str">
        <f>"社会工作"</f>
        <v>社会工作</v>
      </c>
      <c r="G4601" s="1" t="str">
        <f>"河南省南阳市邓州市都司镇姚李村"</f>
        <v>河南省南阳市邓州市都司镇姚李村</v>
      </c>
      <c r="H4601" s="1" t="str">
        <f t="shared" ref="H4601:H4607" si="2281">"无"</f>
        <v>无</v>
      </c>
      <c r="I4601" s="1" t="str">
        <f>"202109-202507于河南财经明法书院政府管理学院社会工作专业就读，全日制学历。"</f>
        <v>202109-202507于河南财经明法书院政府管理学院社会工作专业就读，全日制学历。</v>
      </c>
    </row>
    <row r="4602" spans="1:9">
      <c r="A4602" s="1" t="str">
        <f>"411327199110112519"</f>
        <v>411327199110112519</v>
      </c>
      <c r="B4602" s="1" t="str">
        <f t="shared" ref="B4602:B4608" si="2282">"群众"</f>
        <v>群众</v>
      </c>
      <c r="C4602" s="1" t="str">
        <f t="shared" si="2277"/>
        <v>本科</v>
      </c>
      <c r="D4602" s="1" t="str">
        <f>"20160701"</f>
        <v>20160701</v>
      </c>
      <c r="E4602" s="1" t="str">
        <f>"河南理工大学"</f>
        <v>河南理工大学</v>
      </c>
      <c r="F4602" s="1" t="str">
        <f>"电子信息技术及仪器"</f>
        <v>电子信息技术及仪器</v>
      </c>
      <c r="G4602" s="1" t="str">
        <f>"内乡县湍东林场小区"</f>
        <v>内乡县湍东林场小区</v>
      </c>
      <c r="H4602" s="1" t="str">
        <f t="shared" si="2281"/>
        <v>无</v>
      </c>
      <c r="I4602" s="1" t="str">
        <f>"2012.9-2016.7 河南理工大学电气学院电子信息技术及仪器专业学习
2016.9-2017.2 上海免息贷网络科技有限公司
2017.3-2018.6 上海金碟有限公司
2018.6-2019.3  上海亿邦科技有限公司
2019.5-至今 内乡菊潭高中"</f>
        <v>2012.9-2016.7 河南理工大学电气学院电子信息技术及仪器专业学习
2016.9-2017.2 上海免息贷网络科技有限公司
2017.3-2018.6 上海金碟有限公司
2018.6-2019.3  上海亿邦科技有限公司
2019.5-至今 内乡菊潭高中</v>
      </c>
    </row>
    <row r="4603" spans="1:9">
      <c r="A4603" s="1" t="str">
        <f>"411327200004190076"</f>
        <v>411327200004190076</v>
      </c>
      <c r="B4603" s="1" t="str">
        <f t="shared" si="2280"/>
        <v>共青团员</v>
      </c>
      <c r="C4603" s="1" t="str">
        <f t="shared" si="2277"/>
        <v>本科</v>
      </c>
      <c r="D4603" s="1" t="str">
        <f>"20240612"</f>
        <v>20240612</v>
      </c>
      <c r="E4603" s="1" t="str">
        <f>"河南农业大学"</f>
        <v>河南农业大学</v>
      </c>
      <c r="F4603" s="1" t="str">
        <f>"行政管理"</f>
        <v>行政管理</v>
      </c>
      <c r="G4603" s="1" t="str">
        <f>"河南省内乡县城关镇县衙路电视台组"</f>
        <v>河南省内乡县城关镇县衙路电视台组</v>
      </c>
      <c r="H4603" s="1" t="str">
        <f t="shared" si="2281"/>
        <v>无</v>
      </c>
      <c r="I4603" s="1" t="str">
        <f>"201809-202106 山东交通职业学院 就读 航海技术 专业 全日制
202203-202406 河南农业大学 就读 行政管理 专业 非全日制"</f>
        <v>201809-202106 山东交通职业学院 就读 航海技术 专业 全日制
202203-202406 河南农业大学 就读 行政管理 专业 非全日制</v>
      </c>
    </row>
    <row r="4604" spans="1:9">
      <c r="A4604" s="1" t="str">
        <f>"410811199609180030"</f>
        <v>410811199609180030</v>
      </c>
      <c r="B4604" s="1" t="str">
        <f t="shared" si="2282"/>
        <v>群众</v>
      </c>
      <c r="C4604" s="1" t="str">
        <f>"专科"</f>
        <v>专科</v>
      </c>
      <c r="D4604" s="1" t="str">
        <f>"2022-07-22"</f>
        <v>2022-07-22</v>
      </c>
      <c r="E4604" s="1" t="str">
        <f>"国家开放大学"</f>
        <v>国家开放大学</v>
      </c>
      <c r="F4604" s="1" t="str">
        <f>"行政管理"</f>
        <v>行政管理</v>
      </c>
      <c r="G4604" s="1" t="str">
        <f>"河南省焦作市山阳区新城办事处和兴东方名城西区"</f>
        <v>河南省焦作市山阳区新城办事处和兴东方名城西区</v>
      </c>
      <c r="H4604" s="1" t="str">
        <f t="shared" si="2281"/>
        <v>无</v>
      </c>
      <c r="I4604" s="1" t="str">
        <f>"201509-201609 就读于河南理工大学万方科技学院
201609-202109服役于武警河北总队邯郸市支队
202111-202507在焦作市司法局示范区分局工作"</f>
        <v>201509-201609 就读于河南理工大学万方科技学院
201609-202109服役于武警河北总队邯郸市支队
202111-202507在焦作市司法局示范区分局工作</v>
      </c>
    </row>
    <row r="4605" spans="1:9">
      <c r="A4605" s="1" t="str">
        <f>"411327200012132984"</f>
        <v>411327200012132984</v>
      </c>
      <c r="B4605" s="1" t="str">
        <f>"中共党员"</f>
        <v>中共党员</v>
      </c>
      <c r="C4605" s="1" t="str">
        <f t="shared" ref="C4605:C4609" si="2283">"本科"</f>
        <v>本科</v>
      </c>
      <c r="D4605" s="1" t="str">
        <f>"20220615"</f>
        <v>20220615</v>
      </c>
      <c r="E4605" s="1" t="str">
        <f>"武夷学院"</f>
        <v>武夷学院</v>
      </c>
      <c r="F4605" s="1" t="str">
        <f>"汉语言文学"</f>
        <v>汉语言文学</v>
      </c>
      <c r="G4605" s="1" t="str">
        <f>"河南省南阳市内乡县瓦亭镇魏河村"</f>
        <v>河南省南阳市内乡县瓦亭镇魏河村</v>
      </c>
      <c r="H4605" s="1" t="str">
        <f t="shared" si="2281"/>
        <v>无</v>
      </c>
      <c r="I4605" s="1" t="str">
        <f>"201809-202206武夷学院人文与教师教育学院汉语言文学专业就读
全日制本科
202209-至今河南省南阳市淅川县德威书院任初中语文教师"</f>
        <v>201809-202206武夷学院人文与教师教育学院汉语言文学专业就读
全日制本科
202209-至今河南省南阳市淅川县德威书院任初中语文教师</v>
      </c>
    </row>
    <row r="4606" spans="1:9">
      <c r="A4606" s="1" t="str">
        <f>"411330200204050519"</f>
        <v>411330200204050519</v>
      </c>
      <c r="B4606" s="1" t="str">
        <f t="shared" ref="B4606:B4611" si="2284">"共青团员"</f>
        <v>共青团员</v>
      </c>
      <c r="C4606" s="1" t="str">
        <f t="shared" si="2283"/>
        <v>本科</v>
      </c>
      <c r="D4606" s="1" t="str">
        <f>"20250701"</f>
        <v>20250701</v>
      </c>
      <c r="E4606" s="1" t="str">
        <f>"安阳学院（原阳校区）"</f>
        <v>安阳学院（原阳校区）</v>
      </c>
      <c r="F4606" s="1" t="str">
        <f>"汉语言文学"</f>
        <v>汉语言文学</v>
      </c>
      <c r="G4606" s="1" t="str">
        <f>"河南省南阳市西峡县田关镇"</f>
        <v>河南省南阳市西峡县田关镇</v>
      </c>
      <c r="H4606" s="1" t="str">
        <f t="shared" si="2281"/>
        <v>无</v>
      </c>
      <c r="I4606" s="1" t="str">
        <f>"202109-202507 安阳学院原阳校区文法学院汉语言文学就读，全日制学历
201709-202106 西峡县第二高级中学就读
201309-201706 田关镇第二高级中学就读
200709-201306 田关镇中心小学就读"</f>
        <v>202109-202507 安阳学院原阳校区文法学院汉语言文学就读，全日制学历
201709-202106 西峡县第二高级中学就读
201309-201706 田关镇第二高级中学就读
200709-201306 田关镇中心小学就读</v>
      </c>
    </row>
    <row r="4607" spans="1:9">
      <c r="A4607" s="1" t="str">
        <f>"410324199801102563"</f>
        <v>410324199801102563</v>
      </c>
      <c r="B4607" s="1" t="str">
        <f t="shared" si="2282"/>
        <v>群众</v>
      </c>
      <c r="C4607" s="1" t="str">
        <f t="shared" si="2283"/>
        <v>本科</v>
      </c>
      <c r="D4607" s="1" t="str">
        <f>"20230701"</f>
        <v>20230701</v>
      </c>
      <c r="E4607" s="1" t="str">
        <f>"郑州商学院"</f>
        <v>郑州商学院</v>
      </c>
      <c r="F4607" s="1" t="str">
        <f>"工商管理"</f>
        <v>工商管理</v>
      </c>
      <c r="G4607" s="1" t="str">
        <f>"河南省洛阳市栾川县耕莘街道橡树公馆"</f>
        <v>河南省洛阳市栾川县耕莘街道橡树公馆</v>
      </c>
      <c r="H4607" s="1" t="str">
        <f t="shared" si="2281"/>
        <v>无</v>
      </c>
      <c r="I4607" s="1" t="str">
        <f>"2018年9月到2021年6月，洛阳理工学院
2021年9月到2023年6月，郑州商学院
2023年9月到2025年7月，河南省西部计划志愿者"</f>
        <v>2018年9月到2021年6月，洛阳理工学院
2021年9月到2023年6月，郑州商学院
2023年9月到2025年7月，河南省西部计划志愿者</v>
      </c>
    </row>
    <row r="4608" spans="1:9">
      <c r="A4608" s="1" t="str">
        <f>"411327199010092020"</f>
        <v>411327199010092020</v>
      </c>
      <c r="B4608" s="1" t="str">
        <f t="shared" si="2282"/>
        <v>群众</v>
      </c>
      <c r="C4608" s="1" t="str">
        <f t="shared" si="2283"/>
        <v>本科</v>
      </c>
      <c r="D4608" s="1" t="str">
        <f>"20170701"</f>
        <v>20170701</v>
      </c>
      <c r="E4608" s="1" t="str">
        <f>"郑州航空工业管理学院"</f>
        <v>郑州航空工业管理学院</v>
      </c>
      <c r="F4608" s="1" t="str">
        <f>"国际经济与贸易"</f>
        <v>国际经济与贸易</v>
      </c>
      <c r="G4608" s="1" t="str">
        <f>"河南省南阳市内乡县建业森林半岛19号楼"</f>
        <v>河南省南阳市内乡县建业森林半岛19号楼</v>
      </c>
      <c r="H4608" s="1" t="str">
        <f>"银行从业资格证"</f>
        <v>银行从业资格证</v>
      </c>
      <c r="I4608" s="1" t="str">
        <f>"2013年9月1日-2021年7月1日，郑州航空工业管理学院
院系：经贸学院，专业：国际经济与贸易，是全日制本科
2010年9月1日-2013年7月1日，内乡县第一高级中学
2006年9月1日-2010年7月1日，内乡县第一初级中学"</f>
        <v>2013年9月1日-2021年7月1日，郑州航空工业管理学院
院系：经贸学院，专业：国际经济与贸易，是全日制本科
2010年9月1日-2013年7月1日，内乡县第一高级中学
2006年9月1日-2010年7月1日，内乡县第一初级中学</v>
      </c>
    </row>
    <row r="4609" spans="1:9">
      <c r="A4609" s="1" t="str">
        <f>"41272720011016451X"</f>
        <v>41272720011016451X</v>
      </c>
      <c r="B4609" s="1" t="str">
        <f t="shared" si="2284"/>
        <v>共青团员</v>
      </c>
      <c r="C4609" s="1" t="str">
        <f t="shared" si="2283"/>
        <v>本科</v>
      </c>
      <c r="D4609" s="1" t="str">
        <f>"2024-06-07"</f>
        <v>2024-06-07</v>
      </c>
      <c r="E4609" s="1" t="str">
        <f>"河南科技大学"</f>
        <v>河南科技大学</v>
      </c>
      <c r="F4609" s="1" t="str">
        <f>"能源与动力工程"</f>
        <v>能源与动力工程</v>
      </c>
      <c r="G4609" s="1" t="str">
        <f>"河南省周口市淮阳区鲁台镇高香庄"</f>
        <v>河南省周口市淮阳区鲁台镇高香庄</v>
      </c>
      <c r="H4609" s="1" t="str">
        <f>"无 "</f>
        <v>无 </v>
      </c>
      <c r="I4609" s="1" t="str">
        <f>"2020.9-2024.6 就读于河南科技大学车辆与交通工程学院 能源与动力工程专业全日制学历"</f>
        <v>2020.9-2024.6 就读于河南科技大学车辆与交通工程学院 能源与动力工程专业全日制学历</v>
      </c>
    </row>
    <row r="4610" spans="1:9">
      <c r="A4610" s="1" t="str">
        <f>"411330200403250820"</f>
        <v>411330200403250820</v>
      </c>
      <c r="B4610" s="1" t="str">
        <f t="shared" si="2284"/>
        <v>共青团员</v>
      </c>
      <c r="C4610" s="1" t="str">
        <f t="shared" ref="C4610:C4615" si="2285">"专科"</f>
        <v>专科</v>
      </c>
      <c r="D4610" s="1" t="str">
        <f>"2025-07-01"</f>
        <v>2025-07-01</v>
      </c>
      <c r="E4610" s="1" t="str">
        <f>"济源职业技术学院"</f>
        <v>济源职业技术学院</v>
      </c>
      <c r="F4610" s="1" t="str">
        <f>"学前教育"</f>
        <v>学前教育</v>
      </c>
      <c r="G4610" s="1" t="str">
        <f>"河南省南阳市西峡县锦江名都"</f>
        <v>河南省南阳市西峡县锦江名都</v>
      </c>
      <c r="H4610" s="1" t="str">
        <f t="shared" ref="H4610:H4618" si="2286">"无"</f>
        <v>无</v>
      </c>
      <c r="I4610" s="1" t="str">
        <f>"20220901-20250701济源职业技术学院教育艺术系学前教育专业就读，全日制大专学历，已获得幼儿教师资格证和二甲普通话证，在校期间表现优秀获得个人荣誉证书。本人学习能力沟通能力以及环境适应能力强，性格开朗热情，热爱学习敢于突破自己，对待工作认真负责态度严谨自立自强。"</f>
        <v>20220901-20250701济源职业技术学院教育艺术系学前教育专业就读，全日制大专学历，已获得幼儿教师资格证和二甲普通话证，在校期间表现优秀获得个人荣誉证书。本人学习能力沟通能力以及环境适应能力强，性格开朗热情，热爱学习敢于突破自己，对待工作认真负责态度严谨自立自强。</v>
      </c>
    </row>
    <row r="4611" spans="1:9">
      <c r="A4611" s="1" t="str">
        <f>"411302200011020828"</f>
        <v>411302200011020828</v>
      </c>
      <c r="B4611" s="1" t="str">
        <f t="shared" si="2284"/>
        <v>共青团员</v>
      </c>
      <c r="C4611" s="1" t="str">
        <f>"硕士研究生"</f>
        <v>硕士研究生</v>
      </c>
      <c r="D4611" s="1" t="str">
        <f>"20250620"</f>
        <v>20250620</v>
      </c>
      <c r="E4611" s="1" t="str">
        <f>"河南财经政法大学"</f>
        <v>河南财经政法大学</v>
      </c>
      <c r="F4611" s="1" t="str">
        <f>"国际商务"</f>
        <v>国际商务</v>
      </c>
      <c r="G4611" s="1" t="str">
        <f>"河南省南阳市宛城区东关街道建设中路16号"</f>
        <v>河南省南阳市宛城区东关街道建设中路16号</v>
      </c>
      <c r="H4611" s="1" t="str">
        <f t="shared" si="2286"/>
        <v>无</v>
      </c>
      <c r="I4611" s="1" t="str">
        <f>"201809-202207 河南财经政法大学 国际经济与贸易学院 国际经济与贸易专业 全日制 本科；202209-202506 河南财经政法大学 国际经济与贸易学院 国际商务专业 全日制 硕士研究生；202506-至今 待业 河南省南阳市宛城区东关街道红卫社区建设中路16号"</f>
        <v>201809-202207 河南财经政法大学 国际经济与贸易学院 国际经济与贸易专业 全日制 本科；202209-202506 河南财经政法大学 国际经济与贸易学院 国际商务专业 全日制 硕士研究生；202506-至今 待业 河南省南阳市宛城区东关街道红卫社区建设中路16号</v>
      </c>
    </row>
    <row r="4612" spans="1:9">
      <c r="A4612" s="1" t="str">
        <f>"411327199812201129"</f>
        <v>411327199812201129</v>
      </c>
      <c r="B4612" s="1" t="str">
        <f t="shared" ref="B4612:B4617" si="2287">"群众"</f>
        <v>群众</v>
      </c>
      <c r="C4612" s="1" t="str">
        <f t="shared" ref="C4612:C4616" si="2288">"本科"</f>
        <v>本科</v>
      </c>
      <c r="D4612" s="1" t="str">
        <f>"20240701"</f>
        <v>20240701</v>
      </c>
      <c r="E4612" s="1" t="str">
        <f>"河南财经政法大学"</f>
        <v>河南财经政法大学</v>
      </c>
      <c r="F4612" s="1" t="str">
        <f>"会计学"</f>
        <v>会计学</v>
      </c>
      <c r="G4612" s="1" t="str">
        <f>"河南省南阳市"</f>
        <v>河南省南阳市</v>
      </c>
      <c r="H4612" s="1" t="str">
        <f>"初级会计职称证书"</f>
        <v>初级会计职称证书</v>
      </c>
      <c r="I4612" s="1" t="str">
        <f>"201709-202006 郑州财税金融职业学院就读全日制大专，202209-202406河南财经政法大学就读非全日制本科。"</f>
        <v>201709-202006 郑州财税金融职业学院就读全日制大专，202209-202406河南财经政法大学就读非全日制本科。</v>
      </c>
    </row>
    <row r="4613" spans="1:9">
      <c r="A4613" s="1" t="str">
        <f>"411327199601024222"</f>
        <v>411327199601024222</v>
      </c>
      <c r="B4613" s="1" t="str">
        <f t="shared" ref="B4613:B4616" si="2289">"共青团员"</f>
        <v>共青团员</v>
      </c>
      <c r="C4613" s="1" t="str">
        <f t="shared" si="2285"/>
        <v>专科</v>
      </c>
      <c r="D4613" s="1" t="str">
        <f>"20180630"</f>
        <v>20180630</v>
      </c>
      <c r="E4613" s="1" t="str">
        <f>"湖北水利水电职业技术学院"</f>
        <v>湖北水利水电职业技术学院</v>
      </c>
      <c r="F4613" s="1" t="str">
        <f>"工程造价"</f>
        <v>工程造价</v>
      </c>
      <c r="G4613" s="1" t="str">
        <f>"内乡县城关镇华安公馆"</f>
        <v>内乡县城关镇华安公馆</v>
      </c>
      <c r="H4613" s="1" t="str">
        <f t="shared" si="2286"/>
        <v>无</v>
      </c>
      <c r="I4613" s="1" t="str">
        <f>"201509-2018-06  湖北水利水电职业技术学院工程造价专业全日制学生
201809-至今 牧原智慧物流园  职工"</f>
        <v>201509-2018-06  湖北水利水电职业技术学院工程造价专业全日制学生
201809-至今 牧原智慧物流园  职工</v>
      </c>
    </row>
    <row r="4614" spans="1:9">
      <c r="A4614" s="1" t="str">
        <f>"411327199909090015"</f>
        <v>411327199909090015</v>
      </c>
      <c r="B4614" s="1" t="str">
        <f t="shared" si="2289"/>
        <v>共青团员</v>
      </c>
      <c r="C4614" s="1" t="str">
        <f t="shared" si="2288"/>
        <v>本科</v>
      </c>
      <c r="D4614" s="1" t="str">
        <f>"20211018"</f>
        <v>20211018</v>
      </c>
      <c r="E4614" s="1" t="str">
        <f>"河南科技学院"</f>
        <v>河南科技学院</v>
      </c>
      <c r="F4614" s="1" t="str">
        <f>"市场营销"</f>
        <v>市场营销</v>
      </c>
      <c r="G4614" s="1" t="str">
        <f>"河南省内乡县南园村3组"</f>
        <v>河南省内乡县南园村3组</v>
      </c>
      <c r="H4614" s="1" t="str">
        <f t="shared" si="2286"/>
        <v>无</v>
      </c>
      <c r="I4614" s="1" t="str">
        <f>"1.201709-202110在河南科技学院经济与管理学院市场营销专业就读，全日制本科。
2.202111-202309在上海链家工作，工作内容为推销房子
3.202310-202502在交通银行工作，工作内容为处理金融数据相关内容"</f>
        <v>1.201709-202110在河南科技学院经济与管理学院市场营销专业就读，全日制本科。
2.202111-202309在上海链家工作，工作内容为推销房子
3.202310-202502在交通银行工作，工作内容为处理金融数据相关内容</v>
      </c>
    </row>
    <row r="4615" spans="1:9">
      <c r="A4615" s="1" t="str">
        <f>"411327200011152027"</f>
        <v>411327200011152027</v>
      </c>
      <c r="B4615" s="1" t="str">
        <f t="shared" si="2287"/>
        <v>群众</v>
      </c>
      <c r="C4615" s="1" t="str">
        <f t="shared" si="2285"/>
        <v>专科</v>
      </c>
      <c r="D4615" s="1" t="str">
        <f>"20220607"</f>
        <v>20220607</v>
      </c>
      <c r="E4615" s="1" t="str">
        <f>"河南师范大学新联学院"</f>
        <v>河南师范大学新联学院</v>
      </c>
      <c r="F4615" s="1" t="str">
        <f>"英语教育"</f>
        <v>英语教育</v>
      </c>
      <c r="G4615" s="1" t="str">
        <f>"内乡县新都祥和阁2单元701"</f>
        <v>内乡县新都祥和阁2单元701</v>
      </c>
      <c r="H4615" s="1" t="str">
        <f t="shared" si="2286"/>
        <v>无</v>
      </c>
      <c r="I4615" s="1" t="str">
        <f>"201909至202206就读于河南师范大学新联学院外国语学院，毕业后于内乡郦都学校任教"</f>
        <v>201909至202206就读于河南师范大学新联学院外国语学院，毕业后于内乡郦都学校任教</v>
      </c>
    </row>
    <row r="4616" spans="1:9">
      <c r="A4616" s="1" t="str">
        <f>"411326200101201148"</f>
        <v>411326200101201148</v>
      </c>
      <c r="B4616" s="1" t="str">
        <f t="shared" si="2289"/>
        <v>共青团员</v>
      </c>
      <c r="C4616" s="1" t="str">
        <f t="shared" si="2288"/>
        <v>本科</v>
      </c>
      <c r="D4616" s="1" t="str">
        <f>"20230701"</f>
        <v>20230701</v>
      </c>
      <c r="E4616" s="1" t="str">
        <f>"安阳师范学院"</f>
        <v>安阳师范学院</v>
      </c>
      <c r="F4616" s="1" t="str">
        <f>"行政管理"</f>
        <v>行政管理</v>
      </c>
      <c r="G4616" s="1" t="str">
        <f>"河南省南阳市南召县小店乡关庄村"</f>
        <v>河南省南阳市南召县小店乡关庄村</v>
      </c>
      <c r="H4616" s="1" t="str">
        <f t="shared" si="2286"/>
        <v>无</v>
      </c>
      <c r="I4616" s="1" t="str">
        <f>"201909-202307安阳师范学院马克思主义学院行政管理专业 就读全日制本科 202309-至今南召淯阳学校高中政治教师工作"</f>
        <v>201909-202307安阳师范学院马克思主义学院行政管理专业 就读全日制本科 202309-至今南召淯阳学校高中政治教师工作</v>
      </c>
    </row>
    <row r="4617" spans="1:9">
      <c r="A4617" s="1" t="str">
        <f>"411302200112160264"</f>
        <v>411302200112160264</v>
      </c>
      <c r="B4617" s="1" t="str">
        <f t="shared" si="2287"/>
        <v>群众</v>
      </c>
      <c r="C4617" s="1" t="str">
        <f>"专科"</f>
        <v>专科</v>
      </c>
      <c r="D4617" s="1" t="str">
        <f>"20230701"</f>
        <v>20230701</v>
      </c>
      <c r="E4617" s="1" t="str">
        <f>"河南工业职业技术学院"</f>
        <v>河南工业职业技术学院</v>
      </c>
      <c r="F4617" s="1" t="str">
        <f>"投资与理财"</f>
        <v>投资与理财</v>
      </c>
      <c r="G4617" s="1" t="str">
        <f>"河南南阳"</f>
        <v>河南南阳</v>
      </c>
      <c r="H4617" s="1" t="str">
        <f t="shared" si="2286"/>
        <v>无</v>
      </c>
      <c r="I4617" s="1" t="str">
        <f>"202103-202307通过成人高等教育在河南工业职业技术学院投资与理财专业就读"</f>
        <v>202103-202307通过成人高等教育在河南工业职业技术学院投资与理财专业就读</v>
      </c>
    </row>
    <row r="4618" spans="1:9">
      <c r="A4618" s="1" t="str">
        <f>"411324200112051111"</f>
        <v>411324200112051111</v>
      </c>
      <c r="B4618" s="1" t="str">
        <f t="shared" ref="B4618:B4623" si="2290">"共青团员"</f>
        <v>共青团员</v>
      </c>
      <c r="C4618" s="1" t="str">
        <f t="shared" ref="C4618:C4624" si="2291">"本科"</f>
        <v>本科</v>
      </c>
      <c r="D4618" s="1" t="str">
        <f>"20240620"</f>
        <v>20240620</v>
      </c>
      <c r="E4618" s="1" t="str">
        <f>"河南工学院"</f>
        <v>河南工学院</v>
      </c>
      <c r="F4618" s="1" t="str">
        <f>"环境工程"</f>
        <v>环境工程</v>
      </c>
      <c r="G4618" s="1" t="str">
        <f>"河南省南阳市镇平县老庄镇寺庄街"</f>
        <v>河南省南阳市镇平县老庄镇寺庄街</v>
      </c>
      <c r="H4618" s="1" t="str">
        <f t="shared" si="2286"/>
        <v>无</v>
      </c>
      <c r="I4618" s="1" t="str">
        <f>"202009-202406 在河南工学院 材料与工程学院 环境工程专业  就读 全日制学历。
202407至今在家待业。"</f>
        <v>202009-202406 在河南工学院 材料与工程学院 环境工程专业  就读 全日制学历。
202407至今在家待业。</v>
      </c>
    </row>
    <row r="4619" spans="1:9">
      <c r="A4619" s="1" t="str">
        <f>"410581200210189437"</f>
        <v>410581200210189437</v>
      </c>
      <c r="B4619" s="1" t="str">
        <f t="shared" ref="B4619:B4625" si="2292">"群众"</f>
        <v>群众</v>
      </c>
      <c r="C4619" s="1" t="str">
        <f t="shared" si="2291"/>
        <v>本科</v>
      </c>
      <c r="D4619" s="1" t="str">
        <f>"20250529"</f>
        <v>20250529</v>
      </c>
      <c r="E4619" s="1" t="str">
        <f>"郑州升达经贸管理学院"</f>
        <v>郑州升达经贸管理学院</v>
      </c>
      <c r="F4619" s="1" t="str">
        <f>"会计学"</f>
        <v>会计学</v>
      </c>
      <c r="G4619" s="1" t="str">
        <f>"河南省安阳市林州市河顺镇西里村东区5号"</f>
        <v>河南省安阳市林州市河顺镇西里村东区5号</v>
      </c>
      <c r="H4619" s="1" t="str">
        <f>"初级会计证书"</f>
        <v>初级会计证书</v>
      </c>
      <c r="I4619" s="1" t="str">
        <f>"20210901——20250529 郑州升达经贸管理学院就读。会计学院，会计学。全日制本科。"</f>
        <v>20210901——20250529 郑州升达经贸管理学院就读。会计学院，会计学。全日制本科。</v>
      </c>
    </row>
    <row r="4620" spans="1:9">
      <c r="A4620" s="1" t="str">
        <f>"411381200005013934"</f>
        <v>411381200005013934</v>
      </c>
      <c r="B4620" s="1" t="str">
        <f t="shared" si="2292"/>
        <v>群众</v>
      </c>
      <c r="C4620" s="1" t="str">
        <f>"专科"</f>
        <v>专科</v>
      </c>
      <c r="D4620" s="1" t="str">
        <f>"20240607"</f>
        <v>20240607</v>
      </c>
      <c r="E4620" s="1" t="str">
        <f>"天津海运职业学院"</f>
        <v>天津海运职业学院</v>
      </c>
      <c r="F4620" s="1" t="str">
        <f>"轮机工程技术专业"</f>
        <v>轮机工程技术专业</v>
      </c>
      <c r="G4620" s="1" t="str">
        <f>"河南省邓州市罗庄镇宅子村"</f>
        <v>河南省邓州市罗庄镇宅子村</v>
      </c>
      <c r="H4620" s="1" t="str">
        <f t="shared" ref="H4620:H4628" si="2293">"无"</f>
        <v>无</v>
      </c>
      <c r="I4620" s="1" t="str">
        <f>"202109-202406天津海运职业学院航海技术系轮机工程技术专业就读全日制学历"</f>
        <v>202109-202406天津海运职业学院航海技术系轮机工程技术专业就读全日制学历</v>
      </c>
    </row>
    <row r="4621" spans="1:9">
      <c r="A4621" s="1" t="str">
        <f>"411327200206113917"</f>
        <v>411327200206113917</v>
      </c>
      <c r="B4621" s="1" t="str">
        <f t="shared" si="2290"/>
        <v>共青团员</v>
      </c>
      <c r="C4621" s="1" t="str">
        <f t="shared" si="2291"/>
        <v>本科</v>
      </c>
      <c r="D4621" s="1" t="str">
        <f>"2023.07"</f>
        <v>2023.07</v>
      </c>
      <c r="E4621" s="1" t="str">
        <f>"郑州科技学院"</f>
        <v>郑州科技学院</v>
      </c>
      <c r="F4621" s="1" t="str">
        <f>"土木工程"</f>
        <v>土木工程</v>
      </c>
      <c r="G4621" s="1" t="str">
        <f>"河南省南阳市内乡县"</f>
        <v>河南省南阳市内乡县</v>
      </c>
      <c r="H4621" s="1" t="str">
        <f>"建筑信息模型技术员三级"</f>
        <v>建筑信息模型技术员三级</v>
      </c>
      <c r="I4621" s="1" t="str">
        <f>"2016.09--2019.07  淅川县第二高级中学
2019.09--2023.07  郑州科技学院          土木工程  是全日制学历
2023.09至今一直在内乡郦都学校就业"</f>
        <v>2016.09--2019.07  淅川县第二高级中学
2019.09--2023.07  郑州科技学院          土木工程  是全日制学历
2023.09至今一直在内乡郦都学校就业</v>
      </c>
    </row>
    <row r="4622" ht="67.5" spans="1:9">
      <c r="A4622" s="1" t="str">
        <f>"342901199712041115"</f>
        <v>342901199712041115</v>
      </c>
      <c r="B4622" s="1" t="str">
        <f t="shared" si="2290"/>
        <v>共青团员</v>
      </c>
      <c r="C4622" s="1" t="str">
        <f t="shared" si="2291"/>
        <v>本科</v>
      </c>
      <c r="D4622" s="1" t="str">
        <f>"20200701"</f>
        <v>20200701</v>
      </c>
      <c r="E4622" s="1" t="str">
        <f>"巢湖学院"</f>
        <v>巢湖学院</v>
      </c>
      <c r="F4622" s="1" t="str">
        <f>"电气工程及其自动化"</f>
        <v>电气工程及其自动化</v>
      </c>
      <c r="G4622" s="1" t="str">
        <f>"安徽省池州市贵池区乌沙镇红庄村臧村组"</f>
        <v>安徽省池州市贵池区乌沙镇红庄村臧村组</v>
      </c>
      <c r="H4622" s="1" t="str">
        <f t="shared" si="2293"/>
        <v>无</v>
      </c>
      <c r="I4622" s="3" t="s">
        <v>283</v>
      </c>
    </row>
    <row r="4623" spans="1:9">
      <c r="A4623" s="1" t="str">
        <f>"41018320010718003X"</f>
        <v>41018320010718003X</v>
      </c>
      <c r="B4623" s="1" t="str">
        <f t="shared" si="2290"/>
        <v>共青团员</v>
      </c>
      <c r="C4623" s="1" t="str">
        <f t="shared" si="2291"/>
        <v>本科</v>
      </c>
      <c r="D4623" s="1" t="str">
        <f>"20230701"</f>
        <v>20230701</v>
      </c>
      <c r="E4623" s="1" t="str">
        <f>"郑州工业应用技术学院"</f>
        <v>郑州工业应用技术学院</v>
      </c>
      <c r="F4623" s="1" t="str">
        <f>"环境设计"</f>
        <v>环境设计</v>
      </c>
      <c r="G4623" s="1" t="str">
        <f>"河南省郑州市中原区颍河路"</f>
        <v>河南省郑州市中原区颍河路</v>
      </c>
      <c r="H4623" s="1" t="str">
        <f t="shared" si="2293"/>
        <v>无</v>
      </c>
      <c r="I4623" s="1" t="str">
        <f>"201909-202307郑州工业应用技术学院艺术学院环境设计专业就读全日制，202307-202411待业，202411-202507河南钰升人力资源管理有限公司"</f>
        <v>201909-202307郑州工业应用技术学院艺术学院环境设计专业就读全日制，202307-202411待业，202411-202507河南钰升人力资源管理有限公司</v>
      </c>
    </row>
    <row r="4624" spans="1:9">
      <c r="A4624" s="1" t="str">
        <f>"411423199404062027"</f>
        <v>411423199404062027</v>
      </c>
      <c r="B4624" s="1" t="str">
        <f t="shared" si="2292"/>
        <v>群众</v>
      </c>
      <c r="C4624" s="1" t="str">
        <f t="shared" si="2291"/>
        <v>本科</v>
      </c>
      <c r="D4624" s="1" t="str">
        <f>"20190701"</f>
        <v>20190701</v>
      </c>
      <c r="E4624" s="1" t="str">
        <f>"郑州航空工业管理学院"</f>
        <v>郑州航空工业管理学院</v>
      </c>
      <c r="F4624" s="1" t="str">
        <f>"工商管理"</f>
        <v>工商管理</v>
      </c>
      <c r="G4624" s="1" t="str">
        <f>"河南省宁陵县华堡乡腰庄村"</f>
        <v>河南省宁陵县华堡乡腰庄村</v>
      </c>
      <c r="H4624" s="1" t="str">
        <f t="shared" si="2293"/>
        <v>无</v>
      </c>
      <c r="I4624" s="1" t="str">
        <f>"201509-201907：郑州航空工业管理学院，商学院，工商管理专业，全日制本科
201207-202103：待业
202103-202203：北京力拓通达商贸有限公司郑州分公司，人事
202203-202309：待业
2023.09-2025.06：宁陵县求是学校，教师
2025.06-至今：待业"</f>
        <v>201509-201907：郑州航空工业管理学院，商学院，工商管理专业，全日制本科
201207-202103：待业
202103-202203：北京力拓通达商贸有限公司郑州分公司，人事
202203-202309：待业
2023.09-2025.06：宁陵县求是学校，教师
2025.06-至今：待业</v>
      </c>
    </row>
    <row r="4625" spans="1:9">
      <c r="A4625" s="1" t="str">
        <f>"411329200211104719"</f>
        <v>411329200211104719</v>
      </c>
      <c r="B4625" s="1" t="str">
        <f t="shared" si="2292"/>
        <v>群众</v>
      </c>
      <c r="C4625" s="1" t="str">
        <f>"专科"</f>
        <v>专科</v>
      </c>
      <c r="D4625" s="1" t="str">
        <f>"2023-07-01"</f>
        <v>2023-07-01</v>
      </c>
      <c r="E4625" s="1" t="str">
        <f>"三门峡职业技术学院"</f>
        <v>三门峡职业技术学院</v>
      </c>
      <c r="F4625" s="1" t="str">
        <f>"园林技术"</f>
        <v>园林技术</v>
      </c>
      <c r="G4625" s="1" t="str">
        <f>"河南省南阳市社旗县朱集乡李安村沙河张1号"</f>
        <v>河南省南阳市社旗县朱集乡李安村沙河张1号</v>
      </c>
      <c r="H4625" s="1" t="str">
        <f t="shared" si="2293"/>
        <v>无</v>
      </c>
      <c r="I4625" s="1" t="str">
        <f>"202009-202306 三门峡职业技术学院食品园林学院园林技术专业就读，全日制学历，
202306-至今 南阳市社旗县待业"</f>
        <v>202009-202306 三门峡职业技术学院食品园林学院园林技术专业就读，全日制学历，
202306-至今 南阳市社旗县待业</v>
      </c>
    </row>
    <row r="4626" spans="1:9">
      <c r="A4626" s="1" t="str">
        <f>"410325200006029880"</f>
        <v>410325200006029880</v>
      </c>
      <c r="B4626" s="1" t="str">
        <f>"中共党员"</f>
        <v>中共党员</v>
      </c>
      <c r="C4626" s="1" t="str">
        <f t="shared" ref="C4626:C4630" si="2294">"本科"</f>
        <v>本科</v>
      </c>
      <c r="D4626" s="1" t="str">
        <f>"20250701"</f>
        <v>20250701</v>
      </c>
      <c r="E4626" s="1" t="str">
        <f>"安阳师范学院"</f>
        <v>安阳师范学院</v>
      </c>
      <c r="F4626" s="1" t="str">
        <f>"汉语言文学"</f>
        <v>汉语言文学</v>
      </c>
      <c r="G4626" s="1" t="str">
        <f>"河南省洛阳市嵩县城关镇中医院旁祥和公寓"</f>
        <v>河南省洛阳市嵩县城关镇中医院旁祥和公寓</v>
      </c>
      <c r="H4626" s="1" t="str">
        <f t="shared" si="2293"/>
        <v>无</v>
      </c>
      <c r="I4626" s="1" t="str">
        <f>"201809—202107 焦作师范高等专科学校就读
202304—202507 安阳师范学院就读"</f>
        <v>201809—202107 焦作师范高等专科学校就读
202304—202507 安阳师范学院就读</v>
      </c>
    </row>
    <row r="4627" spans="1:9">
      <c r="A4627" s="1" t="str">
        <f>"411330200109292536"</f>
        <v>411330200109292536</v>
      </c>
      <c r="B4627" s="1" t="str">
        <f>"中共党员"</f>
        <v>中共党员</v>
      </c>
      <c r="C4627" s="1" t="str">
        <f t="shared" si="2294"/>
        <v>本科</v>
      </c>
      <c r="D4627" s="1" t="str">
        <f>"2025年6月12日"</f>
        <v>2025年6月12日</v>
      </c>
      <c r="E4627" s="1" t="str">
        <f>"黄淮学院"</f>
        <v>黄淮学院</v>
      </c>
      <c r="F4627" s="1" t="str">
        <f>"音乐学"</f>
        <v>音乐学</v>
      </c>
      <c r="G4627" s="1" t="str">
        <f>"河南省南阳市西峡县丁河镇"</f>
        <v>河南省南阳市西峡县丁河镇</v>
      </c>
      <c r="H4627" s="1" t="str">
        <f t="shared" si="2293"/>
        <v>无</v>
      </c>
      <c r="I4627" s="1" t="str">
        <f>"202109-202506在黄淮学院就读；是全日制学历"</f>
        <v>202109-202506在黄淮学院就读；是全日制学历</v>
      </c>
    </row>
    <row r="4628" spans="1:9">
      <c r="A4628" s="1" t="str">
        <f>"410324200009010329"</f>
        <v>410324200009010329</v>
      </c>
      <c r="B4628" s="1" t="str">
        <f t="shared" ref="B4628:B4631" si="2295">"群众"</f>
        <v>群众</v>
      </c>
      <c r="C4628" s="1" t="str">
        <f t="shared" si="2294"/>
        <v>本科</v>
      </c>
      <c r="D4628" s="1" t="str">
        <f>"20220631"</f>
        <v>20220631</v>
      </c>
      <c r="E4628" s="1" t="str">
        <f>"信阳学院"</f>
        <v>信阳学院</v>
      </c>
      <c r="F4628" s="1" t="str">
        <f>"汉语言文学"</f>
        <v>汉语言文学</v>
      </c>
      <c r="G4628" s="1" t="str">
        <f>"河南省洛阳市栾川县栾川乡朝阳村13组"</f>
        <v>河南省洛阳市栾川县栾川乡朝阳村13组</v>
      </c>
      <c r="H4628" s="1" t="str">
        <f t="shared" si="2293"/>
        <v>无</v>
      </c>
      <c r="I4628" s="1" t="str">
        <f>"201809-202206 信阳学院就读
202208-202403 汉语志愿者（泰国）
202404-至今 待业"</f>
        <v>201809-202206 信阳学院就读
202208-202403 汉语志愿者（泰国）
202404-至今 待业</v>
      </c>
    </row>
    <row r="4629" spans="1:9">
      <c r="A4629" s="1" t="str">
        <f>"411327199004144218"</f>
        <v>411327199004144218</v>
      </c>
      <c r="B4629" s="1" t="str">
        <f t="shared" ref="B4629:B4634" si="2296">"共青团员"</f>
        <v>共青团员</v>
      </c>
      <c r="C4629" s="1" t="str">
        <f t="shared" si="2294"/>
        <v>本科</v>
      </c>
      <c r="D4629" s="1" t="str">
        <f>"20150701"</f>
        <v>20150701</v>
      </c>
      <c r="E4629" s="1" t="str">
        <f>"河南科技学院"</f>
        <v>河南科技学院</v>
      </c>
      <c r="F4629" s="1" t="str">
        <f>"法学"</f>
        <v>法学</v>
      </c>
      <c r="G4629" s="1" t="str">
        <f>"南阳市内乡县余关镇户黄楝村黄南组"</f>
        <v>南阳市内乡县余关镇户黄楝村黄南组</v>
      </c>
      <c r="H4629" s="1" t="str">
        <f>"企业人力管理师四级"</f>
        <v>企业人力管理师四级</v>
      </c>
      <c r="I4629" s="1" t="str">
        <f>"201109-201507在河南科技学院体育学院社会体育专业以及人文学院法学专业就读，是全日制学历
201508-201701在晶城阳光健身会所任会籍顾问一职
201702-201911在爱云校从事一对一任学习规划师一职
201912-202110在郑州猿辅导信息科技公司任班主任一职
202111至，在私企个体工作从事招生以及培训工作"</f>
        <v>201109-201507在河南科技学院体育学院社会体育专业以及人文学院法学专业就读，是全日制学历
201508-201701在晶城阳光健身会所任会籍顾问一职
201702-201911在爱云校从事一对一任学习规划师一职
201912-202110在郑州猿辅导信息科技公司任班主任一职
202111至，在私企个体工作从事招生以及培训工作</v>
      </c>
    </row>
    <row r="4630" spans="1:9">
      <c r="A4630" s="1" t="str">
        <f>"411327200004064942"</f>
        <v>411327200004064942</v>
      </c>
      <c r="B4630" s="1" t="str">
        <f t="shared" si="2295"/>
        <v>群众</v>
      </c>
      <c r="C4630" s="1" t="str">
        <f t="shared" si="2294"/>
        <v>本科</v>
      </c>
      <c r="D4630" s="1" t="str">
        <f>"20220701"</f>
        <v>20220701</v>
      </c>
      <c r="E4630" s="1" t="str">
        <f>"郑州商学院"</f>
        <v>郑州商学院</v>
      </c>
      <c r="F4630" s="1" t="str">
        <f>"环境设计"</f>
        <v>环境设计</v>
      </c>
      <c r="G4630" s="1" t="str">
        <f>"河南省南阳市内乡县湍东镇彩虹城"</f>
        <v>河南省南阳市内乡县湍东镇彩虹城</v>
      </c>
      <c r="H4630" s="1" t="str">
        <f>"普通话证书"</f>
        <v>普通话证书</v>
      </c>
      <c r="I4630" s="1" t="str">
        <f>"201809-202207郑州商学院艺术系环境设计就读，是本科全日制学校
202210-202301内乡县电商科技创业园客服
202302-202306在家待业
202309-202310内乡湍东烟站临时工
202311-202408在家待业
202409-202410湍东烟站临时工
202411-202507在家待业
"</f>
        <v>201809-202207郑州商学院艺术系环境设计就读，是本科全日制学校
202210-202301内乡县电商科技创业园客服
202302-202306在家待业
202309-202310内乡湍东烟站临时工
202311-202408在家待业
202409-202410湍东烟站临时工
202411-202507在家待业
</v>
      </c>
    </row>
    <row r="4631" spans="1:9">
      <c r="A4631" s="1" t="str">
        <f>"411327200411182540"</f>
        <v>411327200411182540</v>
      </c>
      <c r="B4631" s="1" t="str">
        <f t="shared" si="2295"/>
        <v>群众</v>
      </c>
      <c r="C4631" s="1" t="str">
        <f>"专科"</f>
        <v>专科</v>
      </c>
      <c r="D4631" s="1" t="str">
        <f>"20250701"</f>
        <v>20250701</v>
      </c>
      <c r="E4631" s="1" t="str">
        <f>"郑州黄河护理职业学院"</f>
        <v>郑州黄河护理职业学院</v>
      </c>
      <c r="F4631" s="1" t="str">
        <f>"护理"</f>
        <v>护理</v>
      </c>
      <c r="G4631" s="1" t="str">
        <f>"河南省南阳市内乡县鼎荣华府小区"</f>
        <v>河南省南阳市内乡县鼎荣华府小区</v>
      </c>
      <c r="H4631" s="1" t="str">
        <f t="shared" ref="H4631:H4635" si="2297">"无"</f>
        <v>无</v>
      </c>
      <c r="I4631" s="1" t="str">
        <f>"202209-202507 郑州黄河护理职业学院 护理专业 就读
202507-至今      待业"</f>
        <v>202209-202507 郑州黄河护理职业学院 护理专业 就读
202507-至今      待业</v>
      </c>
    </row>
    <row r="4632" spans="1:9">
      <c r="A4632" s="1" t="str">
        <f>"411327200302232027"</f>
        <v>411327200302232027</v>
      </c>
      <c r="B4632" s="1" t="str">
        <f t="shared" si="2296"/>
        <v>共青团员</v>
      </c>
      <c r="C4632" s="1" t="str">
        <f t="shared" ref="C4632:C4639" si="2298">"本科"</f>
        <v>本科</v>
      </c>
      <c r="D4632" s="1" t="str">
        <f>"20230701"</f>
        <v>20230701</v>
      </c>
      <c r="E4632" s="1" t="str">
        <f>"河南师范大学新联学院"</f>
        <v>河南师范大学新联学院</v>
      </c>
      <c r="F4632" s="1" t="str">
        <f>"学前教育"</f>
        <v>学前教育</v>
      </c>
      <c r="G4632" s="1" t="str">
        <f>"河南省南阳市西峡县荣耀龙城"</f>
        <v>河南省南阳市西峡县荣耀龙城</v>
      </c>
      <c r="H4632" s="1" t="str">
        <f t="shared" si="2297"/>
        <v>无</v>
      </c>
      <c r="I4632" s="1" t="str">
        <f>"2019.09-2023.06 河南师范大学新联学院教育学院学前教育全日制本科就读"</f>
        <v>2019.09-2023.06 河南师范大学新联学院教育学院学前教育全日制本科就读</v>
      </c>
    </row>
    <row r="4633" spans="1:9">
      <c r="A4633" s="1" t="str">
        <f>"411425200001252158"</f>
        <v>411425200001252158</v>
      </c>
      <c r="B4633" s="1" t="str">
        <f t="shared" si="2296"/>
        <v>共青团员</v>
      </c>
      <c r="C4633" s="1" t="str">
        <f t="shared" si="2298"/>
        <v>本科</v>
      </c>
      <c r="D4633" s="1" t="str">
        <f>"20220622"</f>
        <v>20220622</v>
      </c>
      <c r="E4633" s="1" t="str">
        <f>"郑州大学"</f>
        <v>郑州大学</v>
      </c>
      <c r="F4633" s="1" t="str">
        <f>"工业工程"</f>
        <v>工业工程</v>
      </c>
      <c r="G4633" s="1" t="str">
        <f>"河南省商丘市虞城县沙集乡马楼门牌078号"</f>
        <v>河南省商丘市虞城县沙集乡马楼门牌078号</v>
      </c>
      <c r="H4633" s="1" t="str">
        <f t="shared" si="2297"/>
        <v>无</v>
      </c>
      <c r="I4633" s="1" t="str">
        <f>"201809-202206 郑州大学 管理学院工业工程专业就读
202206-202409 上汽通用五菱汽车股份有限公司
202409-至今 待业"</f>
        <v>201809-202206 郑州大学 管理学院工业工程专业就读
202206-202409 上汽通用五菱汽车股份有限公司
202409-至今 待业</v>
      </c>
    </row>
    <row r="4634" spans="1:9">
      <c r="A4634" s="1" t="str">
        <f>"411024200102278519"</f>
        <v>411024200102278519</v>
      </c>
      <c r="B4634" s="1" t="str">
        <f t="shared" si="2296"/>
        <v>共青团员</v>
      </c>
      <c r="C4634" s="1" t="str">
        <f t="shared" si="2298"/>
        <v>本科</v>
      </c>
      <c r="D4634" s="1" t="str">
        <f>"20240627"</f>
        <v>20240627</v>
      </c>
      <c r="E4634" s="1" t="str">
        <f>"郑州轻工业大学"</f>
        <v>郑州轻工业大学</v>
      </c>
      <c r="F4634" s="1" t="str">
        <f>"软件工程"</f>
        <v>软件工程</v>
      </c>
      <c r="G4634" s="1" t="str">
        <f>"河南省许昌市鄢陵县安陵镇乾明寺路286号"</f>
        <v>河南省许昌市鄢陵县安陵镇乾明寺路286号</v>
      </c>
      <c r="H4634" s="1" t="str">
        <f t="shared" si="2297"/>
        <v>无</v>
      </c>
      <c r="I4634" s="1" t="str">
        <f>"201909-202206    黄河科技学院国际学院计算机网络技术专业就读  全日制；
202209-202206    郑州轻工业大学软件学院软件工程专业就读   全日制；"</f>
        <v>201909-202206    黄河科技学院国际学院计算机网络技术专业就读  全日制；
202209-202206    郑州轻工业大学软件学院软件工程专业就读   全日制；</v>
      </c>
    </row>
    <row r="4635" spans="1:9">
      <c r="A4635" s="1" t="str">
        <f>"411327200202060328"</f>
        <v>411327200202060328</v>
      </c>
      <c r="B4635" s="1" t="str">
        <f t="shared" ref="B4635:B4639" si="2299">"群众"</f>
        <v>群众</v>
      </c>
      <c r="C4635" s="1" t="str">
        <f t="shared" si="2298"/>
        <v>本科</v>
      </c>
      <c r="D4635" s="1" t="str">
        <f>"20240607"</f>
        <v>20240607</v>
      </c>
      <c r="E4635" s="1" t="str">
        <f>"安徽工程大学"</f>
        <v>安徽工程大学</v>
      </c>
      <c r="F4635" s="1" t="str">
        <f>"环境设计"</f>
        <v>环境设计</v>
      </c>
      <c r="G4635" s="1" t="str">
        <f>"河南省南阳市内乡县"</f>
        <v>河南省南阳市内乡县</v>
      </c>
      <c r="H4635" s="1" t="str">
        <f t="shared" si="2297"/>
        <v>无</v>
      </c>
      <c r="I4635" s="1" t="str">
        <f>"202009-202406 在安徽工程大学设计学院环境设计专业 就读
202406-202501 在安徽旭俊建设工程有限公司设计部担任设计师助理
202501-202503 在河南省内乡县待业
202503-202506 在郑州墅小样全案设计中心担任效果图设计师
202506至今 在河南省内乡县待业"</f>
        <v>202009-202406 在安徽工程大学设计学院环境设计专业 就读
202406-202501 在安徽旭俊建设工程有限公司设计部担任设计师助理
202501-202503 在河南省内乡县待业
202503-202506 在郑州墅小样全案设计中心担任效果图设计师
202506至今 在河南省内乡县待业</v>
      </c>
    </row>
    <row r="4636" spans="1:9">
      <c r="A4636" s="1" t="str">
        <f>"411327200202184929"</f>
        <v>411327200202184929</v>
      </c>
      <c r="B4636" s="1" t="str">
        <f>"中共党员"</f>
        <v>中共党员</v>
      </c>
      <c r="C4636" s="1" t="str">
        <f t="shared" si="2298"/>
        <v>本科</v>
      </c>
      <c r="D4636" s="1" t="str">
        <f>"20240701"</f>
        <v>20240701</v>
      </c>
      <c r="E4636" s="1" t="str">
        <f>"河南工程学院"</f>
        <v>河南工程学院</v>
      </c>
      <c r="F4636" s="1" t="str">
        <f>"计算机科学与技术"</f>
        <v>计算机科学与技术</v>
      </c>
      <c r="G4636" s="1" t="str">
        <f>"河南省南阳市内乡县湍东镇菊城豪庭"</f>
        <v>河南省南阳市内乡县湍东镇菊城豪庭</v>
      </c>
      <c r="H4636" s="1" t="str">
        <f>"cet-4"</f>
        <v>cet-4</v>
      </c>
      <c r="I4636" s="1" t="str">
        <f>"201909-202206 郑州铁路职业技术学院人工智能学院计算机网络技术专业就读 全日制
202209-202407 河南工程学院计算机学院计算机科学与技术专业就读 全日制
202407-至今 河南省南阳市内乡县待业"</f>
        <v>201909-202206 郑州铁路职业技术学院人工智能学院计算机网络技术专业就读 全日制
202209-202407 河南工程学院计算机学院计算机科学与技术专业就读 全日制
202407-至今 河南省南阳市内乡县待业</v>
      </c>
    </row>
    <row r="4637" spans="1:9">
      <c r="A4637" s="1" t="str">
        <f>"411324199311080032"</f>
        <v>411324199311080032</v>
      </c>
      <c r="B4637" s="1" t="str">
        <f t="shared" si="2299"/>
        <v>群众</v>
      </c>
      <c r="C4637" s="1" t="str">
        <f t="shared" si="2298"/>
        <v>本科</v>
      </c>
      <c r="D4637" s="1" t="str">
        <f>"20160701"</f>
        <v>20160701</v>
      </c>
      <c r="E4637" s="1" t="str">
        <f>"安阳工学院"</f>
        <v>安阳工学院</v>
      </c>
      <c r="F4637" s="1" t="str">
        <f>"动画"</f>
        <v>动画</v>
      </c>
      <c r="G4637" s="1" t="str">
        <f>"河南省郑州市惠济区锦艺四季城香榭苑"</f>
        <v>河南省郑州市惠济区锦艺四季城香榭苑</v>
      </c>
      <c r="H4637" s="1" t="str">
        <f t="shared" ref="H4637:H4644" si="2300">"无"</f>
        <v>无</v>
      </c>
      <c r="I4637" s="1" t="str">
        <f>"201409-201607安阳工学院就读"</f>
        <v>201409-201607安阳工学院就读</v>
      </c>
    </row>
    <row r="4638" spans="1:9">
      <c r="A4638" s="1" t="str">
        <f>"411381200008165327"</f>
        <v>411381200008165327</v>
      </c>
      <c r="B4638" s="1" t="str">
        <f t="shared" si="2299"/>
        <v>群众</v>
      </c>
      <c r="C4638" s="1" t="str">
        <f t="shared" si="2298"/>
        <v>本科</v>
      </c>
      <c r="D4638" s="1" t="str">
        <f>"2024-06-07"</f>
        <v>2024-06-07</v>
      </c>
      <c r="E4638" s="1" t="str">
        <f>"河南牧业经济学院"</f>
        <v>河南牧业经济学院</v>
      </c>
      <c r="F4638" s="1" t="str">
        <f>"视觉传达设计"</f>
        <v>视觉传达设计</v>
      </c>
      <c r="G4638" s="1" t="str">
        <f>"河南省南阳市邓州市古城街道小西关社区交通路26-3"</f>
        <v>河南省南阳市邓州市古城街道小西关社区交通路26-3</v>
      </c>
      <c r="H4638" s="1" t="str">
        <f t="shared" si="2300"/>
        <v>无</v>
      </c>
      <c r="I4638" s="1" t="str">
        <f>"2020.09-2024.06在河南牧业经济学院艺术学院视觉传达设计专业就读，是全日制学历
2024.07-至今待业"</f>
        <v>2020.09-2024.06在河南牧业经济学院艺术学院视觉传达设计专业就读，是全日制学历
2024.07-至今待业</v>
      </c>
    </row>
    <row r="4639" spans="1:9">
      <c r="A4639" s="1" t="str">
        <f>"411327199812300012"</f>
        <v>411327199812300012</v>
      </c>
      <c r="B4639" s="1" t="str">
        <f t="shared" si="2299"/>
        <v>群众</v>
      </c>
      <c r="C4639" s="1" t="str">
        <f t="shared" si="2298"/>
        <v>本科</v>
      </c>
      <c r="D4639" s="1" t="str">
        <f>"2022-07-01"</f>
        <v>2022-07-01</v>
      </c>
      <c r="E4639" s="1" t="str">
        <f>"郑州工业应用技术学院"</f>
        <v>郑州工业应用技术学院</v>
      </c>
      <c r="F4639" s="1" t="str">
        <f>"交通运输"</f>
        <v>交通运输</v>
      </c>
      <c r="G4639" s="1" t="str">
        <f>"河南省南阳市内乡县城关镇郦都大道西六巷51号"</f>
        <v>河南省南阳市内乡县城关镇郦都大道西六巷51号</v>
      </c>
      <c r="H4639" s="1" t="str">
        <f>"低压电工操作证"</f>
        <v>低压电工操作证</v>
      </c>
      <c r="I4639" s="1" t="str">
        <f>"201709-202007 河南交通职业技术学院交通信息工程系智能交通技术运用专业就读
202009-202207 郑州工业应用技术学院机电工程系交通运输专业就读"</f>
        <v>201709-202007 河南交通职业技术学院交通信息工程系智能交通技术运用专业就读
202009-202207 郑州工业应用技术学院机电工程系交通运输专业就读</v>
      </c>
    </row>
    <row r="4640" spans="1:9">
      <c r="A4640" s="1" t="str">
        <f>"411327200111162521"</f>
        <v>411327200111162521</v>
      </c>
      <c r="B4640" s="1" t="str">
        <f>"中共预备党员"</f>
        <v>中共预备党员</v>
      </c>
      <c r="C4640" s="1" t="str">
        <f>"专科"</f>
        <v>专科</v>
      </c>
      <c r="D4640" s="1" t="str">
        <f>"20230706"</f>
        <v>20230706</v>
      </c>
      <c r="E4640" s="1" t="str">
        <f>"郑州城市职业学院"</f>
        <v>郑州城市职业学院</v>
      </c>
      <c r="F4640" s="1" t="str">
        <f>"建筑装饰工程技术"</f>
        <v>建筑装饰工程技术</v>
      </c>
      <c r="G4640" s="1" t="str">
        <f>"河南省南阳市内乡县王店镇雷沟村"</f>
        <v>河南省南阳市内乡县王店镇雷沟村</v>
      </c>
      <c r="H4640" s="1" t="str">
        <f>"材料员证书"</f>
        <v>材料员证书</v>
      </c>
      <c r="I4640" s="1" t="str">
        <f>"2020年9月-2023年7月在郑州城市职业学院就读建筑工程装饰全日制
2023年7月-2024年于内乡县建筑装饰公司职位设计师助理
2024年8月至今在复兴学校担任教师"</f>
        <v>2020年9月-2023年7月在郑州城市职业学院就读建筑工程装饰全日制
2023年7月-2024年于内乡县建筑装饰公司职位设计师助理
2024年8月至今在复兴学校担任教师</v>
      </c>
    </row>
    <row r="4641" spans="1:9">
      <c r="A4641" s="1" t="str">
        <f>"411381200001295612"</f>
        <v>411381200001295612</v>
      </c>
      <c r="B4641" s="1" t="str">
        <f>"中共党员"</f>
        <v>中共党员</v>
      </c>
      <c r="C4641" s="1" t="str">
        <f>"专科"</f>
        <v>专科</v>
      </c>
      <c r="D4641" s="1" t="str">
        <f t="shared" ref="D4641:D4644" si="2301">"20230701"</f>
        <v>20230701</v>
      </c>
      <c r="E4641" s="1" t="str">
        <f>"三门峡职业技术学院"</f>
        <v>三门峡职业技术学院</v>
      </c>
      <c r="F4641" s="1" t="str">
        <f>"电子信息工程技术"</f>
        <v>电子信息工程技术</v>
      </c>
      <c r="G4641" s="1" t="str">
        <f>"河南省邓州市彭桥镇"</f>
        <v>河南省邓州市彭桥镇</v>
      </c>
      <c r="H4641" s="1" t="str">
        <f t="shared" si="2300"/>
        <v>无</v>
      </c>
      <c r="I4641" s="1" t="str">
        <f>"202009–202307  三门峡职业技术学院
202309–至今  待业"</f>
        <v>202009–202307  三门峡职业技术学院
202309–至今  待业</v>
      </c>
    </row>
    <row r="4642" spans="1:9">
      <c r="A4642" s="1" t="str">
        <f>"412828199812181230"</f>
        <v>412828199812181230</v>
      </c>
      <c r="B4642" s="1" t="str">
        <f>"共青团员"</f>
        <v>共青团员</v>
      </c>
      <c r="C4642" s="1" t="str">
        <f t="shared" ref="C4642:C4647" si="2302">"本科"</f>
        <v>本科</v>
      </c>
      <c r="D4642" s="1" t="str">
        <f t="shared" si="2301"/>
        <v>20230701</v>
      </c>
      <c r="E4642" s="1" t="str">
        <f>"郑州财经学院"</f>
        <v>郑州财经学院</v>
      </c>
      <c r="F4642" s="1" t="str">
        <f>"投资学"</f>
        <v>投资学</v>
      </c>
      <c r="G4642" s="1" t="str">
        <f>"河南省驻马店市新蔡县顿岗乡吴张庄村委王庄"</f>
        <v>河南省驻马店市新蔡县顿岗乡吴张庄村委王庄</v>
      </c>
      <c r="H4642" s="1" t="str">
        <f t="shared" si="2300"/>
        <v>无</v>
      </c>
      <c r="I4642" s="1" t="str">
        <f>"201909-202307 郑州财经学院 金融学院 投资学 全日制
202307-至今      待业"</f>
        <v>201909-202307 郑州财经学院 金融学院 投资学 全日制
202307-至今      待业</v>
      </c>
    </row>
    <row r="4643" spans="1:9">
      <c r="A4643" s="1" t="str">
        <f>"411381199602280613"</f>
        <v>411381199602280613</v>
      </c>
      <c r="B4643" s="1" t="str">
        <f t="shared" ref="B4643:B4649" si="2303">"群众"</f>
        <v>群众</v>
      </c>
      <c r="C4643" s="1" t="str">
        <f t="shared" si="2302"/>
        <v>本科</v>
      </c>
      <c r="D4643" s="1" t="str">
        <f>"20240705"</f>
        <v>20240705</v>
      </c>
      <c r="E4643" s="1" t="str">
        <f>"西安石油大学"</f>
        <v>西安石油大学</v>
      </c>
      <c r="F4643" s="1" t="str">
        <f>"汉语言文学"</f>
        <v>汉语言文学</v>
      </c>
      <c r="G4643" s="1" t="str">
        <f>"河南省邓州市古城街道办事处团结西路247号"</f>
        <v>河南省邓州市古城街道办事处团结西路247号</v>
      </c>
      <c r="H4643" s="1" t="str">
        <f t="shared" si="2300"/>
        <v>无</v>
      </c>
      <c r="I4643" s="1" t="str">
        <f>"201303-201507南阳技师学院数控系就读，全日制学历。
201507-202203工作单位邓州市玉轩广告有限公司任职。
202203-202407西安石油大学，继续教育学院河南现代系，汉语言文学
专业，成人自考非全日制学历"</f>
        <v>201303-201507南阳技师学院数控系就读，全日制学历。
201507-202203工作单位邓州市玉轩广告有限公司任职。
202203-202407西安石油大学，继续教育学院河南现代系，汉语言文学
专业，成人自考非全日制学历</v>
      </c>
    </row>
    <row r="4644" spans="1:9">
      <c r="A4644" s="1" t="str">
        <f>"411327200103121121"</f>
        <v>411327200103121121</v>
      </c>
      <c r="B4644" s="1" t="str">
        <f>"共青团员"</f>
        <v>共青团员</v>
      </c>
      <c r="C4644" s="1" t="str">
        <f t="shared" si="2302"/>
        <v>本科</v>
      </c>
      <c r="D4644" s="1" t="str">
        <f t="shared" si="2301"/>
        <v>20230701</v>
      </c>
      <c r="E4644" s="1" t="str">
        <f>"华北水利水电大学"</f>
        <v>华北水利水电大学</v>
      </c>
      <c r="F4644" s="1" t="str">
        <f>"会计学"</f>
        <v>会计学</v>
      </c>
      <c r="G4644" s="1" t="str">
        <f>"河南省南阳市内乡县赤眉镇赤眉村张吕洼"</f>
        <v>河南省南阳市内乡县赤眉镇赤眉村张吕洼</v>
      </c>
      <c r="H4644" s="1" t="str">
        <f t="shared" si="2300"/>
        <v>无</v>
      </c>
      <c r="I4644" s="1" t="str">
        <f>"201909-202306 华北水利水电大学  管理与经济学院会计学专业就读 全日制
202307-202507 内乡菊潭高级中学 高中部政治教师 就业"</f>
        <v>201909-202306 华北水利水电大学  管理与经济学院会计学专业就读 全日制
202307-202507 内乡菊潭高级中学 高中部政治教师 就业</v>
      </c>
    </row>
    <row r="4645" spans="1:9">
      <c r="A4645" s="1" t="str">
        <f>"410184199105191836"</f>
        <v>410184199105191836</v>
      </c>
      <c r="B4645" s="1" t="str">
        <f t="shared" si="2303"/>
        <v>群众</v>
      </c>
      <c r="C4645" s="1" t="str">
        <f t="shared" si="2302"/>
        <v>本科</v>
      </c>
      <c r="D4645" s="1" t="str">
        <f>"20170701"</f>
        <v>20170701</v>
      </c>
      <c r="E4645" s="1" t="str">
        <f>"安阳师范学院人文管理学院"</f>
        <v>安阳师范学院人文管理学院</v>
      </c>
      <c r="F4645" s="1" t="str">
        <f>"行政管理"</f>
        <v>行政管理</v>
      </c>
      <c r="G4645" s="1" t="str">
        <f>"河南省新郑市郭店镇西贾庄268号"</f>
        <v>河南省新郑市郭店镇西贾庄268号</v>
      </c>
      <c r="H4645" s="1" t="str">
        <f>"高中教师资格证"</f>
        <v>高中教师资格证</v>
      </c>
      <c r="I4645" s="1" t="str">
        <f>"201209-201506焦作大学人文学院中文系行政管理专业就读是全日制；
201509-201707安阳师范学院人文管理学院经济与管理学院行政管理专业就读全日制；
201708-202102濮阳市龙源中学教学；
202102-202105郑州在家待业
202105-202303郑州市公安局辅警工作；
202303-202407郑州在家待业
202407-至今郑州津孚国际学校教学"</f>
        <v>201209-201506焦作大学人文学院中文系行政管理专业就读是全日制；
201509-201707安阳师范学院人文管理学院经济与管理学院行政管理专业就读全日制；
201708-202102濮阳市龙源中学教学；
202102-202105郑州在家待业
202105-202303郑州市公安局辅警工作；
202303-202407郑州在家待业
202407-至今郑州津孚国际学校教学</v>
      </c>
    </row>
    <row r="4646" spans="1:9">
      <c r="A4646" s="1" t="str">
        <f>"411330200301301527"</f>
        <v>411330200301301527</v>
      </c>
      <c r="B4646" s="1" t="str">
        <f t="shared" si="2303"/>
        <v>群众</v>
      </c>
      <c r="C4646" s="1" t="str">
        <f t="shared" si="2302"/>
        <v>本科</v>
      </c>
      <c r="D4646" s="1" t="str">
        <f>"20260630"</f>
        <v>20260630</v>
      </c>
      <c r="E4646" s="1" t="str">
        <f>"河南大学"</f>
        <v>河南大学</v>
      </c>
      <c r="F4646" s="1" t="str">
        <f>"汉语言文学"</f>
        <v>汉语言文学</v>
      </c>
      <c r="G4646" s="1" t="str">
        <f>"河南省南阳市西峡县东环路后营"</f>
        <v>河南省南阳市西峡县东环路后营</v>
      </c>
      <c r="H4646" s="1" t="str">
        <f t="shared" ref="H4646:H4649" si="2304">"无"</f>
        <v>无</v>
      </c>
      <c r="I4646" s="1" t="str">
        <f>"202209-202606河南大学汉语言文学专业就读，是全日制学历"</f>
        <v>202209-202606河南大学汉语言文学专业就读，是全日制学历</v>
      </c>
    </row>
    <row r="4647" spans="1:9">
      <c r="A4647" s="1" t="str">
        <f>"411327199901121120"</f>
        <v>411327199901121120</v>
      </c>
      <c r="B4647" s="1" t="str">
        <f t="shared" si="2303"/>
        <v>群众</v>
      </c>
      <c r="C4647" s="1" t="str">
        <f t="shared" si="2302"/>
        <v>本科</v>
      </c>
      <c r="D4647" s="1" t="str">
        <f>"20200701"</f>
        <v>20200701</v>
      </c>
      <c r="E4647" s="1" t="str">
        <f>"平顶山学院"</f>
        <v>平顶山学院</v>
      </c>
      <c r="F4647" s="1" t="str">
        <f>"体育教育"</f>
        <v>体育教育</v>
      </c>
      <c r="G4647" s="1" t="str">
        <f>"河南省南阳市内乡县城关镇明珠花园小区"</f>
        <v>河南省南阳市内乡县城关镇明珠花园小区</v>
      </c>
      <c r="H4647" s="1" t="str">
        <f>"高中体育教师资格证"</f>
        <v>高中体育教师资格证</v>
      </c>
      <c r="I4647" s="1" t="str">
        <f>"201609-2020-06 平顶山学院体育学院体育教育专业就读 全日制本科学历"</f>
        <v>201609-2020-06 平顶山学院体育学院体育教育专业就读 全日制本科学历</v>
      </c>
    </row>
    <row r="4648" spans="1:9">
      <c r="A4648" s="1" t="str">
        <f>"411324200208220039"</f>
        <v>411324200208220039</v>
      </c>
      <c r="B4648" s="1" t="str">
        <f t="shared" si="2303"/>
        <v>群众</v>
      </c>
      <c r="C4648" s="1" t="str">
        <f>"专科"</f>
        <v>专科</v>
      </c>
      <c r="D4648" s="1" t="str">
        <f>"2023-07-01"</f>
        <v>2023-07-01</v>
      </c>
      <c r="E4648" s="1" t="str">
        <f>"河南工业职工技术学院"</f>
        <v>河南工业职工技术学院</v>
      </c>
      <c r="F4648" s="1" t="str">
        <f>"电气自动化技术"</f>
        <v>电气自动化技术</v>
      </c>
      <c r="G4648" s="1" t="str">
        <f>"河南省南阳市镇平县"</f>
        <v>河南省南阳市镇平县</v>
      </c>
      <c r="H4648" s="1" t="str">
        <f t="shared" si="2304"/>
        <v>无</v>
      </c>
      <c r="I4648" s="1" t="str">
        <f>"201809-202307河南工业职业技术学院电气自动化技术专业"</f>
        <v>201809-202307河南工业职业技术学院电气自动化技术专业</v>
      </c>
    </row>
    <row r="4649" spans="1:9">
      <c r="A4649" s="1" t="str">
        <f>"410411199702165562"</f>
        <v>410411199702165562</v>
      </c>
      <c r="B4649" s="1" t="str">
        <f t="shared" si="2303"/>
        <v>群众</v>
      </c>
      <c r="C4649" s="1" t="str">
        <f>"硕士研究生"</f>
        <v>硕士研究生</v>
      </c>
      <c r="D4649" s="1" t="str">
        <f>"20220624"</f>
        <v>20220624</v>
      </c>
      <c r="E4649" s="1" t="str">
        <f>"华中农业大学"</f>
        <v>华中农业大学</v>
      </c>
      <c r="F4649" s="1" t="str">
        <f>"农艺与种业"</f>
        <v>农艺与种业</v>
      </c>
      <c r="G4649" s="1" t="str">
        <f>"河南省平顶山市湛河区曹镇乡齐务村"</f>
        <v>河南省平顶山市湛河区曹镇乡齐务村</v>
      </c>
      <c r="H4649" s="1" t="str">
        <f t="shared" si="2304"/>
        <v>无</v>
      </c>
      <c r="I4649" s="1" t="str">
        <f>"201509-201906 河南农业大学 应用科技学院园艺专业就读 全日制
201909-202206 华中农业大学 园艺林学学院农艺与种业专业就读 全日制
202207-202404 想念食品股份有限公司就业
202405-202503 正阳牧原农牧有限公司就业
202504-至今 待业"</f>
        <v>201509-201906 河南农业大学 应用科技学院园艺专业就读 全日制
201909-202206 华中农业大学 园艺林学学院农艺与种业专业就读 全日制
202207-202404 想念食品股份有限公司就业
202405-202503 正阳牧原农牧有限公司就业
202504-至今 待业</v>
      </c>
    </row>
    <row r="4650" spans="1:9">
      <c r="A4650" s="1" t="str">
        <f>"411327200110010323"</f>
        <v>411327200110010323</v>
      </c>
      <c r="B4650" s="1" t="str">
        <f>"共青团员"</f>
        <v>共青团员</v>
      </c>
      <c r="C4650" s="1" t="str">
        <f t="shared" ref="C4650:C4654" si="2305">"本科"</f>
        <v>本科</v>
      </c>
      <c r="D4650" s="1" t="str">
        <f>"2024-07-01"</f>
        <v>2024-07-01</v>
      </c>
      <c r="E4650" s="1" t="str">
        <f>"武昌首义学院"</f>
        <v>武昌首义学院</v>
      </c>
      <c r="F4650" s="1" t="str">
        <f>"财务管理"</f>
        <v>财务管理</v>
      </c>
      <c r="G4650" s="1" t="str">
        <f>"河南省南阳市内乡县大桥乡磙子岗村1组32号"</f>
        <v>河南省南阳市内乡县大桥乡磙子岗村1组32号</v>
      </c>
      <c r="H4650" s="1" t="str">
        <f>"初级会计资格证"</f>
        <v>初级会计资格证</v>
      </c>
      <c r="I4650" s="1" t="str">
        <f>"201909-202206武昌首义学院经济管理学院财务管理专业就读（全日制专科）
202209-202406武昌首义学院经济管理学院财务管理专业就读（全日制本科）
202406-至今  待业"</f>
        <v>201909-202206武昌首义学院经济管理学院财务管理专业就读（全日制专科）
202209-202406武昌首义学院经济管理学院财务管理专业就读（全日制本科）
202406-至今  待业</v>
      </c>
    </row>
    <row r="4651" spans="1:9">
      <c r="A4651" s="1" t="str">
        <f>"41092820000403002X"</f>
        <v>41092820000403002X</v>
      </c>
      <c r="B4651" s="1" t="str">
        <f t="shared" ref="B4651:B4655" si="2306">"群众"</f>
        <v>群众</v>
      </c>
      <c r="C4651" s="1" t="str">
        <f t="shared" si="2305"/>
        <v>本科</v>
      </c>
      <c r="D4651" s="1" t="str">
        <f>"2022-07-01"</f>
        <v>2022-07-01</v>
      </c>
      <c r="E4651" s="1" t="str">
        <f>"河南工程学院"</f>
        <v>河南工程学院</v>
      </c>
      <c r="F4651" s="1" t="str">
        <f>"市场营销"</f>
        <v>市场营销</v>
      </c>
      <c r="G4651" s="1" t="str">
        <f>"河南省濮阳县铁丘路"</f>
        <v>河南省濮阳县铁丘路</v>
      </c>
      <c r="H4651" s="1" t="str">
        <f t="shared" ref="H4651:H4664" si="2307">"无"</f>
        <v>无</v>
      </c>
      <c r="I4651" s="1" t="str">
        <f>"201509-202206 河南工程学院 商学院 市场营销专业就读 全日制学历
202206-202402 待业
202402-至今 濮阳市公安局 辅警"</f>
        <v>201509-202206 河南工程学院 商学院 市场营销专业就读 全日制学历
202206-202402 待业
202402-至今 濮阳市公安局 辅警</v>
      </c>
    </row>
    <row r="4652" spans="1:9">
      <c r="A4652" s="1" t="str">
        <f>"411327200202270018"</f>
        <v>411327200202270018</v>
      </c>
      <c r="B4652" s="1" t="str">
        <f>"共青团员"</f>
        <v>共青团员</v>
      </c>
      <c r="C4652" s="1" t="str">
        <f t="shared" si="2305"/>
        <v>本科</v>
      </c>
      <c r="D4652" s="1" t="str">
        <f>"20240618"</f>
        <v>20240618</v>
      </c>
      <c r="E4652" s="1" t="str">
        <f>"郑州工业应用技术学院"</f>
        <v>郑州工业应用技术学院</v>
      </c>
      <c r="F4652" s="1" t="str">
        <f>"电子信息工程"</f>
        <v>电子信息工程</v>
      </c>
      <c r="G4652" s="1" t="str">
        <f>"内乡县师范小区"</f>
        <v>内乡县师范小区</v>
      </c>
      <c r="H4652" s="1" t="str">
        <f t="shared" si="2307"/>
        <v>无</v>
      </c>
      <c r="I4652" s="1" t="str">
        <f>"20220918-20240618就读于郑州工业应用技术学院，全日制"</f>
        <v>20220918-20240618就读于郑州工业应用技术学院，全日制</v>
      </c>
    </row>
    <row r="4653" ht="148.5" spans="1:9">
      <c r="A4653" s="1" t="str">
        <f>"41138119900418033X"</f>
        <v>41138119900418033X</v>
      </c>
      <c r="B4653" s="1" t="str">
        <f t="shared" si="2306"/>
        <v>群众</v>
      </c>
      <c r="C4653" s="1" t="str">
        <f t="shared" si="2305"/>
        <v>本科</v>
      </c>
      <c r="D4653" s="1" t="str">
        <f>"20140701"</f>
        <v>20140701</v>
      </c>
      <c r="E4653" s="1" t="str">
        <f>"安阳工学院"</f>
        <v>安阳工学院</v>
      </c>
      <c r="F4653" s="1" t="str">
        <f>"应用化学"</f>
        <v>应用化学</v>
      </c>
      <c r="G4653" s="1" t="str">
        <f>"河南省邓州市翡翠城小区"</f>
        <v>河南省邓州市翡翠城小区</v>
      </c>
      <c r="H4653" s="1" t="str">
        <f t="shared" si="2307"/>
        <v>无</v>
      </c>
      <c r="I4653" s="3" t="s">
        <v>284</v>
      </c>
    </row>
    <row r="4654" spans="1:9">
      <c r="A4654" s="1" t="str">
        <f>"411327199911100016"</f>
        <v>411327199911100016</v>
      </c>
      <c r="B4654" s="1" t="str">
        <f>"中共党员"</f>
        <v>中共党员</v>
      </c>
      <c r="C4654" s="1" t="str">
        <f t="shared" si="2305"/>
        <v>本科</v>
      </c>
      <c r="D4654" s="1" t="str">
        <f>"2022.07"</f>
        <v>2022.07</v>
      </c>
      <c r="E4654" s="1" t="str">
        <f>"郑州航空工业管理学院"</f>
        <v>郑州航空工业管理学院</v>
      </c>
      <c r="F4654" s="1" t="str">
        <f>"机械设计制造及其自动化"</f>
        <v>机械设计制造及其自动化</v>
      </c>
      <c r="G4654" s="1" t="str">
        <f>"河南省南阳市内乡县城关镇西城社区158号"</f>
        <v>河南省南阳市内乡县城关镇西城社区158号</v>
      </c>
      <c r="H4654" s="1" t="str">
        <f t="shared" si="2307"/>
        <v>无</v>
      </c>
      <c r="I4654" s="1" t="str">
        <f>"201809-202207 郑州航空工业管理学院机械工程学院机械设计制造及其自动化专业 就读 全日制学历
202207至今待业"</f>
        <v>201809-202207 郑州航空工业管理学院机械工程学院机械设计制造及其自动化专业 就读 全日制学历
202207至今待业</v>
      </c>
    </row>
    <row r="4655" spans="1:9">
      <c r="A4655" s="1" t="str">
        <f>"411327200310242524"</f>
        <v>411327200310242524</v>
      </c>
      <c r="B4655" s="1" t="str">
        <f t="shared" si="2306"/>
        <v>群众</v>
      </c>
      <c r="C4655" s="1" t="str">
        <f>"专科"</f>
        <v>专科</v>
      </c>
      <c r="D4655" s="1" t="str">
        <f>"20250701"</f>
        <v>20250701</v>
      </c>
      <c r="E4655" s="1" t="str">
        <f>"湖北健康职业学院"</f>
        <v>湖北健康职业学院</v>
      </c>
      <c r="F4655" s="1" t="str">
        <f>"口腔医学技术"</f>
        <v>口腔医学技术</v>
      </c>
      <c r="G4655" s="1" t="str">
        <f>"河南省南阳市内乡县王店镇四张村薛营76号"</f>
        <v>河南省南阳市内乡县王店镇四张村薛营76号</v>
      </c>
      <c r="H4655" s="1" t="str">
        <f t="shared" si="2307"/>
        <v>无</v>
      </c>
      <c r="I4655" s="1" t="str">
        <f>"202209-202507湖北健康职业学院医学技术系口腔医学技术专业就读，是全日制学历"</f>
        <v>202209-202507湖北健康职业学院医学技术系口腔医学技术专业就读，是全日制学历</v>
      </c>
    </row>
    <row r="4656" spans="1:9">
      <c r="A4656" s="1" t="str">
        <f>"411326200105075820"</f>
        <v>411326200105075820</v>
      </c>
      <c r="B4656" s="1" t="str">
        <f t="shared" ref="B4656:B4659" si="2308">"共青团员"</f>
        <v>共青团员</v>
      </c>
      <c r="C4656" s="1" t="str">
        <f t="shared" ref="C4656:C4662" si="2309">"本科"</f>
        <v>本科</v>
      </c>
      <c r="D4656" s="1" t="str">
        <f>"20230507"</f>
        <v>20230507</v>
      </c>
      <c r="E4656" s="1" t="str">
        <f>"安阳工学院"</f>
        <v>安阳工学院</v>
      </c>
      <c r="F4656" s="1" t="str">
        <f>"环境设计"</f>
        <v>环境设计</v>
      </c>
      <c r="G4656" s="1" t="str">
        <f>"河南省南阳市乔端镇"</f>
        <v>河南省南阳市乔端镇</v>
      </c>
      <c r="H4656" s="1" t="str">
        <f t="shared" si="2307"/>
        <v>无</v>
      </c>
      <c r="I4656" s="1" t="str">
        <f>"201909-202307安阳工学院艺术设计学院环境设计专业就读 全日制学历
202307-202503在家待业
202503至今河南省宛东建筑安装工程有限公司（唐河县县属国有企业）就业
"</f>
        <v>201909-202307安阳工学院艺术设计学院环境设计专业就读 全日制学历
202307-202503在家待业
202503至今河南省宛东建筑安装工程有限公司（唐河县县属国有企业）就业
</v>
      </c>
    </row>
    <row r="4657" spans="1:9">
      <c r="A4657" s="1" t="str">
        <f>"411328200112082941"</f>
        <v>411328200112082941</v>
      </c>
      <c r="B4657" s="1" t="str">
        <f>"群众"</f>
        <v>群众</v>
      </c>
      <c r="C4657" s="1" t="str">
        <f>"专科"</f>
        <v>专科</v>
      </c>
      <c r="D4657" s="1" t="str">
        <f>"202300701"</f>
        <v>202300701</v>
      </c>
      <c r="E4657" s="1" t="str">
        <f>"河南机电职业学院"</f>
        <v>河南机电职业学院</v>
      </c>
      <c r="F4657" s="1" t="str">
        <f>"学前教育"</f>
        <v>学前教育</v>
      </c>
      <c r="G4657" s="1" t="str">
        <f>"河南省南阳市官庄工区大庆区南市场"</f>
        <v>河南省南阳市官庄工区大庆区南市场</v>
      </c>
      <c r="H4657" s="1" t="str">
        <f t="shared" si="2307"/>
        <v>无</v>
      </c>
      <c r="I4657" s="1" t="str">
        <f>"202009--202307河南机电职业学院   教育学院  学前教育专业就读   是全日制学历"</f>
        <v>202009--202307河南机电职业学院   教育学院  学前教育专业就读   是全日制学历</v>
      </c>
    </row>
    <row r="4658" spans="1:9">
      <c r="A4658" s="1" t="str">
        <f>"411327200104010036"</f>
        <v>411327200104010036</v>
      </c>
      <c r="B4658" s="1" t="str">
        <f t="shared" si="2308"/>
        <v>共青团员</v>
      </c>
      <c r="C4658" s="1" t="str">
        <f t="shared" si="2309"/>
        <v>本科</v>
      </c>
      <c r="D4658" s="1" t="str">
        <f>"20230701"</f>
        <v>20230701</v>
      </c>
      <c r="E4658" s="1" t="str">
        <f>"河南农业大学"</f>
        <v>河南农业大学</v>
      </c>
      <c r="F4658" s="1" t="str">
        <f>"林学"</f>
        <v>林学</v>
      </c>
      <c r="G4658" s="1" t="str">
        <f>"内乡县蓝天小区63号"</f>
        <v>内乡县蓝天小区63号</v>
      </c>
      <c r="H4658" s="1" t="str">
        <f t="shared" si="2307"/>
        <v>无</v>
      </c>
      <c r="I4658" s="1" t="str">
        <f>"201909-202306 河南农业大学林学院林学专业就读，全日制学历
202307至今 待业
"</f>
        <v>201909-202306 河南农业大学林学院林学专业就读，全日制学历
202307至今 待业
</v>
      </c>
    </row>
    <row r="4659" spans="1:9">
      <c r="A4659" s="1" t="str">
        <f>"411323200110041415"</f>
        <v>411323200110041415</v>
      </c>
      <c r="B4659" s="1" t="str">
        <f t="shared" si="2308"/>
        <v>共青团员</v>
      </c>
      <c r="C4659" s="1" t="str">
        <f t="shared" si="2309"/>
        <v>本科</v>
      </c>
      <c r="D4659" s="1" t="str">
        <f>"20250701"</f>
        <v>20250701</v>
      </c>
      <c r="E4659" s="1" t="str">
        <f>"商丘学院应用科技学院"</f>
        <v>商丘学院应用科技学院</v>
      </c>
      <c r="F4659" s="1" t="str">
        <f>"汉语言文学（师范）"</f>
        <v>汉语言文学（师范）</v>
      </c>
      <c r="G4659" s="1" t="str">
        <f>"西峡县重阳镇"</f>
        <v>西峡县重阳镇</v>
      </c>
      <c r="H4659" s="1" t="str">
        <f t="shared" si="2307"/>
        <v>无</v>
      </c>
      <c r="I4659" s="1" t="str">
        <f>"202109—-202507商丘学院应用科技学院就读"</f>
        <v>202109—-202507商丘学院应用科技学院就读</v>
      </c>
    </row>
    <row r="4660" spans="1:9">
      <c r="A4660" s="1" t="str">
        <f>"41132720020930003X"</f>
        <v>41132720020930003X</v>
      </c>
      <c r="B4660" s="1" t="str">
        <f>"群众"</f>
        <v>群众</v>
      </c>
      <c r="C4660" s="1" t="str">
        <f t="shared" si="2309"/>
        <v>本科</v>
      </c>
      <c r="D4660" s="1" t="str">
        <f>"20240612"</f>
        <v>20240612</v>
      </c>
      <c r="E4660" s="1" t="str">
        <f>"天津城建大学"</f>
        <v>天津城建大学</v>
      </c>
      <c r="F4660" s="1" t="str">
        <f>"工程管理"</f>
        <v>工程管理</v>
      </c>
      <c r="G4660" s="1" t="str">
        <f>"内乡县城关镇茶庵村许西村94号"</f>
        <v>内乡县城关镇茶庵村许西村94号</v>
      </c>
      <c r="H4660" s="1" t="str">
        <f t="shared" si="2307"/>
        <v>无</v>
      </c>
      <c r="I4660" s="1" t="str">
        <f>"2020-2024 天津城建大学全日制就读
2025-至今 内乡宛西公路工程有限公司实习"</f>
        <v>2020-2024 天津城建大学全日制就读
2025-至今 内乡宛西公路工程有限公司实习</v>
      </c>
    </row>
    <row r="4661" spans="1:9">
      <c r="A4661" s="1" t="str">
        <f>"411327200211012520"</f>
        <v>411327200211012520</v>
      </c>
      <c r="B4661" s="1" t="str">
        <f t="shared" ref="B4661:B4664" si="2310">"共青团员"</f>
        <v>共青团员</v>
      </c>
      <c r="C4661" s="1" t="str">
        <f t="shared" si="2309"/>
        <v>本科</v>
      </c>
      <c r="D4661" s="1" t="str">
        <f>"20250610"</f>
        <v>20250610</v>
      </c>
      <c r="E4661" s="1" t="str">
        <f>"太原学院"</f>
        <v>太原学院</v>
      </c>
      <c r="F4661" s="1" t="str">
        <f>"视觉传达设计"</f>
        <v>视觉传达设计</v>
      </c>
      <c r="G4661" s="1" t="str">
        <f>"河南省南阳市内乡县"</f>
        <v>河南省南阳市内乡县</v>
      </c>
      <c r="H4661" s="1" t="str">
        <f t="shared" si="2307"/>
        <v>无</v>
      </c>
      <c r="I4661" s="1" t="str">
        <f>"202109-202506 太原学院 就读。"</f>
        <v>202109-202506 太原学院 就读。</v>
      </c>
    </row>
    <row r="4662" spans="1:9">
      <c r="A4662" s="1" t="str">
        <f>"411323200211100023"</f>
        <v>411323200211100023</v>
      </c>
      <c r="B4662" s="1" t="str">
        <f t="shared" si="2310"/>
        <v>共青团员</v>
      </c>
      <c r="C4662" s="1" t="str">
        <f t="shared" si="2309"/>
        <v>本科</v>
      </c>
      <c r="D4662" s="1" t="str">
        <f>"20240605"</f>
        <v>20240605</v>
      </c>
      <c r="E4662" s="1" t="str">
        <f>"商丘学院"</f>
        <v>商丘学院</v>
      </c>
      <c r="F4662" s="1" t="str">
        <f>"小学教育（师范）"</f>
        <v>小学教育（师范）</v>
      </c>
      <c r="G4662" s="1" t="str">
        <f>"河南省淅川县城关镇灌河路80附108号"</f>
        <v>河南省淅川县城关镇灌河路80附108号</v>
      </c>
      <c r="H4662" s="1" t="str">
        <f t="shared" si="2307"/>
        <v>无</v>
      </c>
      <c r="I4662" s="1" t="str">
        <f>"202009-202406 商丘学院 应用科技学院 小学教育（师范）专业就读，是全日制本科。
202406-至今 待业。"</f>
        <v>202009-202406 商丘学院 应用科技学院 小学教育（师范）专业就读，是全日制本科。
202406-至今 待业。</v>
      </c>
    </row>
    <row r="4663" spans="1:9">
      <c r="A4663" s="1" t="str">
        <f>"410526199910180513"</f>
        <v>410526199910180513</v>
      </c>
      <c r="B4663" s="1" t="str">
        <f t="shared" si="2310"/>
        <v>共青团员</v>
      </c>
      <c r="C4663" s="1" t="str">
        <f>"硕士研究生"</f>
        <v>硕士研究生</v>
      </c>
      <c r="D4663" s="1" t="str">
        <f>"20250701"</f>
        <v>20250701</v>
      </c>
      <c r="E4663" s="1" t="str">
        <f>"北京中医药大学"</f>
        <v>北京中医药大学</v>
      </c>
      <c r="F4663" s="1" t="str">
        <f>"公共管理"</f>
        <v>公共管理</v>
      </c>
      <c r="G4663" s="1" t="str">
        <f>"河南省安阳市滑县城关街道文明路巴庄三胡同"</f>
        <v>河南省安阳市滑县城关街道文明路巴庄三胡同</v>
      </c>
      <c r="H4663" s="1" t="str">
        <f t="shared" si="2307"/>
        <v>无</v>
      </c>
      <c r="I4663" s="1" t="str">
        <f>"201609-202007，新乡医学院管理学院市场营销专业就读，全日制；
202008-202108，河南省安阳市滑县待业；
202109-202507，北京中医药大学管理学院公共管理专业就读，全日制；"</f>
        <v>201609-202007，新乡医学院管理学院市场营销专业就读，全日制；
202008-202108，河南省安阳市滑县待业；
202109-202507，北京中医药大学管理学院公共管理专业就读，全日制；</v>
      </c>
    </row>
    <row r="4664" spans="1:9">
      <c r="A4664" s="1" t="str">
        <f>"411381200004283940"</f>
        <v>411381200004283940</v>
      </c>
      <c r="B4664" s="1" t="str">
        <f t="shared" si="2310"/>
        <v>共青团员</v>
      </c>
      <c r="C4664" s="1" t="str">
        <f t="shared" ref="C4664:C4667" si="2311">"专科"</f>
        <v>专科</v>
      </c>
      <c r="D4664" s="1" t="str">
        <f>"20220630"</f>
        <v>20220630</v>
      </c>
      <c r="E4664" s="1" t="str">
        <f>"郑州科技学院"</f>
        <v>郑州科技学院</v>
      </c>
      <c r="F4664" s="1" t="str">
        <f>"商务英语"</f>
        <v>商务英语</v>
      </c>
      <c r="G4664" s="1" t="str">
        <f>"河南省内乡县城关镇实验初中对面"</f>
        <v>河南省内乡县城关镇实验初中对面</v>
      </c>
      <c r="H4664" s="1" t="str">
        <f t="shared" si="2307"/>
        <v>无</v>
      </c>
      <c r="I4664" s="1" t="str">
        <f>"201909-202206郑州科技学院外国语学院商务英语就读，全日制学历
202209-202506内乡县菊潭学校担任英语教师"</f>
        <v>201909-202206郑州科技学院外国语学院商务英语就读，全日制学历
202209-202506内乡县菊潭学校担任英语教师</v>
      </c>
    </row>
    <row r="4665" spans="1:9">
      <c r="A4665" s="1" t="str">
        <f>"411327200211234932"</f>
        <v>411327200211234932</v>
      </c>
      <c r="B4665" s="1" t="str">
        <f t="shared" ref="B4665:B4668" si="2312">"群众"</f>
        <v>群众</v>
      </c>
      <c r="C4665" s="1" t="str">
        <f t="shared" ref="C4665:C4674" si="2313">"本科"</f>
        <v>本科</v>
      </c>
      <c r="D4665" s="1" t="str">
        <f>"2025701"</f>
        <v>2025701</v>
      </c>
      <c r="E4665" s="1" t="str">
        <f>"上海外国语大学贤达经济人文学院"</f>
        <v>上海外国语大学贤达经济人文学院</v>
      </c>
      <c r="F4665" s="1" t="str">
        <f>"会计学"</f>
        <v>会计学</v>
      </c>
      <c r="G4665" s="1" t="str">
        <f>"河南省南阳市内乡县灌涨镇水田村赵坡69号"</f>
        <v>河南省南阳市内乡县灌涨镇水田村赵坡69号</v>
      </c>
      <c r="H4665" s="1" t="str">
        <f>"会计专业技术资格（初级）"</f>
        <v>会计专业技术资格（初级）</v>
      </c>
      <c r="I4665" s="1" t="str">
        <f>"202109-202507在上海外国语大学贤达经济人文学院的商学院会计学专业就读，属于全日制学历。"</f>
        <v>202109-202507在上海外国语大学贤达经济人文学院的商学院会计学专业就读，属于全日制学历。</v>
      </c>
    </row>
    <row r="4666" spans="1:9">
      <c r="A4666" s="1" t="str">
        <f>"411326200407225820"</f>
        <v>411326200407225820</v>
      </c>
      <c r="B4666" s="1" t="str">
        <f t="shared" si="2312"/>
        <v>群众</v>
      </c>
      <c r="C4666" s="1" t="str">
        <f t="shared" si="2311"/>
        <v>专科</v>
      </c>
      <c r="D4666" s="1" t="str">
        <f>"2025年6月12日"</f>
        <v>2025年6月12日</v>
      </c>
      <c r="E4666" s="1" t="str">
        <f>"郑州工业应用技术学院"</f>
        <v>郑州工业应用技术学院</v>
      </c>
      <c r="F4666" s="1" t="str">
        <f>"艺术设计"</f>
        <v>艺术设计</v>
      </c>
      <c r="G4666" s="1" t="str">
        <f>"河南省南阳市南召县乔端镇"</f>
        <v>河南省南阳市南召县乔端镇</v>
      </c>
      <c r="H4666" s="1" t="str">
        <f t="shared" ref="H4666:H4669" si="2314">"无"</f>
        <v>无</v>
      </c>
      <c r="I4666" s="1" t="str">
        <f>"2020年9月-2025年6月在郑州工业应用技术学院艺术设计学院就读全日制专科"</f>
        <v>2020年9月-2025年6月在郑州工业应用技术学院艺术设计学院就读全日制专科</v>
      </c>
    </row>
    <row r="4667" spans="1:9">
      <c r="A4667" s="1" t="str">
        <f>"411330200203101521"</f>
        <v>411330200203101521</v>
      </c>
      <c r="B4667" s="1" t="str">
        <f t="shared" si="2312"/>
        <v>群众</v>
      </c>
      <c r="C4667" s="1" t="str">
        <f t="shared" si="2311"/>
        <v>专科</v>
      </c>
      <c r="D4667" s="1" t="str">
        <f>"20230625"</f>
        <v>20230625</v>
      </c>
      <c r="E4667" s="1" t="str">
        <f>"河南林业职业技术学院"</f>
        <v>河南林业职业技术学院</v>
      </c>
      <c r="F4667" s="1" t="str">
        <f>"园林技术"</f>
        <v>园林技术</v>
      </c>
      <c r="G4667" s="1" t="str">
        <f>"河南省南阳市西峡县"</f>
        <v>河南省南阳市西峡县</v>
      </c>
      <c r="H4667" s="1" t="str">
        <f t="shared" si="2314"/>
        <v>无</v>
      </c>
      <c r="I4667" s="1" t="str">
        <f>"202010-202306 河南林业职业技术学院园林系园林技术专业就读是全日制学历"</f>
        <v>202010-202306 河南林业职业技术学院园林系园林技术专业就读是全日制学历</v>
      </c>
    </row>
    <row r="4668" spans="1:9">
      <c r="A4668" s="1" t="str">
        <f>"41302619980206692X"</f>
        <v>41302619980206692X</v>
      </c>
      <c r="B4668" s="1" t="str">
        <f t="shared" si="2312"/>
        <v>群众</v>
      </c>
      <c r="C4668" s="1" t="str">
        <f t="shared" si="2313"/>
        <v>本科</v>
      </c>
      <c r="D4668" s="1" t="str">
        <f>"20200701"</f>
        <v>20200701</v>
      </c>
      <c r="E4668" s="1" t="str">
        <f>"安徽财经大学"</f>
        <v>安徽财经大学</v>
      </c>
      <c r="F4668" s="1" t="str">
        <f>"应用统计学"</f>
        <v>应用统计学</v>
      </c>
      <c r="G4668" s="1" t="str">
        <f>"苏州市虎丘区东延路46号东延四季公寓10栋1204室"</f>
        <v>苏州市虎丘区东延路46号东延四季公寓10栋1204室</v>
      </c>
      <c r="H4668" s="1" t="str">
        <f t="shared" si="2314"/>
        <v>无</v>
      </c>
      <c r="I4668" s="1" t="str">
        <f>"2016年9月1日-2020年7月1日 安徽财经大学 ，应用统计学专业
2020年8月1日-2022年1月31日 中国邮政集团有限公司河南省新县分公司，综合柜员
2022年2月1日-2023年8月31日 翰博高新材料（合肥）股份有限公司，供应商管理岗位，从事采购工作
2023年9月1日-至今：金龙联合汽车工业（苏州）有限公司，供应商管理岗位，从事采购工作。"</f>
        <v>2016年9月1日-2020年7月1日 安徽财经大学 ，应用统计学专业
2020年8月1日-2022年1月31日 中国邮政集团有限公司河南省新县分公司，综合柜员
2022年2月1日-2023年8月31日 翰博高新材料（合肥）股份有限公司，供应商管理岗位，从事采购工作
2023年9月1日-至今：金龙联合汽车工业（苏州）有限公司，供应商管理岗位，从事采购工作。</v>
      </c>
    </row>
    <row r="4669" spans="1:9">
      <c r="A4669" s="1" t="str">
        <f>"411327200207150023"</f>
        <v>411327200207150023</v>
      </c>
      <c r="B4669" s="1" t="str">
        <f t="shared" ref="B4669:B4675" si="2315">"共青团员"</f>
        <v>共青团员</v>
      </c>
      <c r="C4669" s="1" t="str">
        <f t="shared" si="2313"/>
        <v>本科</v>
      </c>
      <c r="D4669" s="1" t="str">
        <f>"20250701"</f>
        <v>20250701</v>
      </c>
      <c r="E4669" s="1" t="str">
        <f>"郑州工程技术学院"</f>
        <v>郑州工程技术学院</v>
      </c>
      <c r="F4669" s="1" t="str">
        <f>"软件工程"</f>
        <v>软件工程</v>
      </c>
      <c r="G4669" s="1" t="str">
        <f>"河南省南阳市内乡县"</f>
        <v>河南省南阳市内乡县</v>
      </c>
      <c r="H4669" s="1" t="str">
        <f t="shared" si="2314"/>
        <v>无</v>
      </c>
      <c r="I4669" s="1" t="str">
        <f>"202009-202307 专科于河南司法警官职业学院的信息技术系计算机应用技术专业就读，是全日制学历
202309-202507 本科于郑州工程技术学院的软件学院的软件工程专业就读，是全日制学历"</f>
        <v>202009-202307 专科于河南司法警官职业学院的信息技术系计算机应用技术专业就读，是全日制学历
202309-202507 本科于郑州工程技术学院的软件学院的软件工程专业就读，是全日制学历</v>
      </c>
    </row>
    <row r="4670" spans="1:9">
      <c r="A4670" s="1" t="str">
        <f>"411303200103256746"</f>
        <v>411303200103256746</v>
      </c>
      <c r="B4670" s="1" t="str">
        <f>"中共党员"</f>
        <v>中共党员</v>
      </c>
      <c r="C4670" s="1" t="str">
        <f t="shared" si="2313"/>
        <v>本科</v>
      </c>
      <c r="D4670" s="1" t="str">
        <f>"20240701"</f>
        <v>20240701</v>
      </c>
      <c r="E4670" s="1" t="str">
        <f>"南阳师范学院"</f>
        <v>南阳师范学院</v>
      </c>
      <c r="F4670" s="1" t="str">
        <f>"学前教育"</f>
        <v>学前教育</v>
      </c>
      <c r="G4670" s="1" t="str">
        <f>"河南省南阳市宛城区张衡东路丰源小区"</f>
        <v>河南省南阳市宛城区张衡东路丰源小区</v>
      </c>
      <c r="H4670" s="1" t="str">
        <f>"小学教师资格证"</f>
        <v>小学教师资格证</v>
      </c>
      <c r="I4670" s="1" t="str">
        <f>"201609-202107南阳师范学院 教育科学学院 学前教育专业 就读 是全日制专科
202203-202407南阳师范学院 教育科学学院 学前教育专业 就读 函授本科"</f>
        <v>201609-202107南阳师范学院 教育科学学院 学前教育专业 就读 是全日制专科
202203-202407南阳师范学院 教育科学学院 学前教育专业 就读 函授本科</v>
      </c>
    </row>
    <row r="4671" ht="283.5" spans="1:9">
      <c r="A4671" s="1" t="str">
        <f>"411024199004136212"</f>
        <v>411024199004136212</v>
      </c>
      <c r="B4671" s="1" t="str">
        <f>"群众"</f>
        <v>群众</v>
      </c>
      <c r="C4671" s="1" t="str">
        <f t="shared" si="2313"/>
        <v>本科</v>
      </c>
      <c r="D4671" s="1" t="str">
        <f>"2013.07"</f>
        <v>2013.07</v>
      </c>
      <c r="E4671" s="1" t="str">
        <f>"郑州大学"</f>
        <v>郑州大学</v>
      </c>
      <c r="F4671" s="1" t="str">
        <f>"计算机科学与技术(计算机辅助设计)"</f>
        <v>计算机科学与技术(计算机辅助设计)</v>
      </c>
      <c r="G4671" s="1" t="str">
        <f>"河南省许昌市鄢陵县柏梁镇党东村8组"</f>
        <v>河南省许昌市鄢陵县柏梁镇党东村8组</v>
      </c>
      <c r="H4671" s="1" t="str">
        <f t="shared" ref="H4671:H4688" si="2316">"无"</f>
        <v>无</v>
      </c>
      <c r="I4671" s="3" t="s">
        <v>285</v>
      </c>
    </row>
    <row r="4672" spans="1:9">
      <c r="A4672" s="1" t="str">
        <f>"411322200010191022"</f>
        <v>411322200010191022</v>
      </c>
      <c r="B4672" s="1" t="str">
        <f>"群众"</f>
        <v>群众</v>
      </c>
      <c r="C4672" s="1" t="str">
        <f t="shared" si="2313"/>
        <v>本科</v>
      </c>
      <c r="D4672" s="1" t="str">
        <f>"20240620"</f>
        <v>20240620</v>
      </c>
      <c r="E4672" s="1" t="str">
        <f>"郑州航空工业管理学院"</f>
        <v>郑州航空工业管理学院</v>
      </c>
      <c r="F4672" s="1" t="str">
        <f>"环境设计"</f>
        <v>环境设计</v>
      </c>
      <c r="G4672" s="1" t="str">
        <f>"河南省南阳市方城县城关镇北环路"</f>
        <v>河南省南阳市方城县城关镇北环路</v>
      </c>
      <c r="H4672" s="1" t="str">
        <f t="shared" si="2316"/>
        <v>无</v>
      </c>
      <c r="I4672" s="1" t="str">
        <f>"202006-202406在郑州航空工业学院艺术设计学院环境设计专业就读"</f>
        <v>202006-202406在郑州航空工业学院艺术设计学院环境设计专业就读</v>
      </c>
    </row>
    <row r="4673" spans="1:9">
      <c r="A4673" s="1" t="str">
        <f>"411423200303051025"</f>
        <v>411423200303051025</v>
      </c>
      <c r="B4673" s="1" t="str">
        <f t="shared" si="2315"/>
        <v>共青团员</v>
      </c>
      <c r="C4673" s="1" t="str">
        <f t="shared" si="2313"/>
        <v>本科</v>
      </c>
      <c r="D4673" s="1" t="str">
        <f>"20240701"</f>
        <v>20240701</v>
      </c>
      <c r="E4673" s="1" t="str">
        <f>"河南师范大学"</f>
        <v>河南师范大学</v>
      </c>
      <c r="F4673" s="1" t="str">
        <f>"经济学"</f>
        <v>经济学</v>
      </c>
      <c r="G4673" s="1" t="str">
        <f>"河南省商丘市宁陵县"</f>
        <v>河南省商丘市宁陵县</v>
      </c>
      <c r="H4673" s="1" t="str">
        <f t="shared" si="2316"/>
        <v>无</v>
      </c>
      <c r="I4673" s="1" t="str">
        <f>"202009-202407在河南师范大学国际教育学院经济学专业就读，全日制学历
202407-至今在河南省商丘市宁陵县待业"</f>
        <v>202009-202407在河南师范大学国际教育学院经济学专业就读，全日制学历
202407-至今在河南省商丘市宁陵县待业</v>
      </c>
    </row>
    <row r="4674" spans="1:9">
      <c r="A4674" s="1" t="str">
        <f>"411327199802080028"</f>
        <v>411327199802080028</v>
      </c>
      <c r="B4674" s="1" t="str">
        <f t="shared" si="2315"/>
        <v>共青团员</v>
      </c>
      <c r="C4674" s="1" t="str">
        <f t="shared" si="2313"/>
        <v>本科</v>
      </c>
      <c r="D4674" s="1" t="str">
        <f>"20200702"</f>
        <v>20200702</v>
      </c>
      <c r="E4674" s="1" t="str">
        <f>"华北理工大学"</f>
        <v>华北理工大学</v>
      </c>
      <c r="F4674" s="1" t="str">
        <f>"无机非金属材料工程"</f>
        <v>无机非金属材料工程</v>
      </c>
      <c r="G4674" s="1" t="str">
        <f>"河南省南阳市内乡县城关镇宏达路地毯厂家属院"</f>
        <v>河南省南阳市内乡县城关镇宏达路地毯厂家属院</v>
      </c>
      <c r="H4674" s="1" t="str">
        <f t="shared" si="2316"/>
        <v>无</v>
      </c>
      <c r="I4674" s="1" t="str">
        <f>"201609-202007华北理工大学 材料科学与工程院 无机非金属材料工程专业 就读
202008-202112 牧原食品股份有限公司 材料工程师
202201-202303河南省南阳市内乡县城关镇 待业
202304-202406 南阳市乐家物业有限公司 行政管理
202407-至今 南阳市科达电气有限公司 技术员"</f>
        <v>201609-202007华北理工大学 材料科学与工程院 无机非金属材料工程专业 就读
202008-202112 牧原食品股份有限公司 材料工程师
202201-202303河南省南阳市内乡县城关镇 待业
202304-202406 南阳市乐家物业有限公司 行政管理
202407-至今 南阳市科达电气有限公司 技术员</v>
      </c>
    </row>
    <row r="4675" spans="1:9">
      <c r="A4675" s="1" t="str">
        <f>"411303200309070111"</f>
        <v>411303200309070111</v>
      </c>
      <c r="B4675" s="1" t="str">
        <f t="shared" si="2315"/>
        <v>共青团员</v>
      </c>
      <c r="C4675" s="1" t="str">
        <f t="shared" ref="C4675:C4679" si="2317">"专科"</f>
        <v>专科</v>
      </c>
      <c r="D4675" s="1" t="str">
        <f>"2024.07"</f>
        <v>2024.07</v>
      </c>
      <c r="E4675" s="1" t="str">
        <f>"河南质量工程职业学院"</f>
        <v>河南质量工程职业学院</v>
      </c>
      <c r="F4675" s="1" t="str">
        <f>"计算机网络技术"</f>
        <v>计算机网络技术</v>
      </c>
      <c r="G4675" s="1" t="str">
        <f>"河南省南阳市宛城区食品公司家属院77号"</f>
        <v>河南省南阳市宛城区食品公司家属院77号</v>
      </c>
      <c r="H4675" s="1" t="str">
        <f t="shared" si="2316"/>
        <v>无</v>
      </c>
      <c r="I4675" s="1" t="str">
        <f>"2021 09-2024-07 在河南质量工程职业学院 计算机学院 计算机网络即使学院就读 属于全日制学历"</f>
        <v>2021 09-2024-07 在河南质量工程职业学院 计算机学院 计算机网络即使学院就读 属于全日制学历</v>
      </c>
    </row>
    <row r="4676" spans="1:9">
      <c r="A4676" s="1" t="str">
        <f>"411323199903293027"</f>
        <v>411323199903293027</v>
      </c>
      <c r="B4676" s="1" t="str">
        <f>"中共党员"</f>
        <v>中共党员</v>
      </c>
      <c r="C4676" s="1" t="str">
        <f t="shared" si="2317"/>
        <v>专科</v>
      </c>
      <c r="D4676" s="1" t="str">
        <f>"20190701"</f>
        <v>20190701</v>
      </c>
      <c r="E4676" s="1" t="str">
        <f>"郑州铁路职业技术学院"</f>
        <v>郑州铁路职业技术学院</v>
      </c>
      <c r="F4676" s="1" t="str">
        <f>"铁道信号自动控制"</f>
        <v>铁道信号自动控制</v>
      </c>
      <c r="G4676" s="1" t="str">
        <f>"河南省南阳市淅川县老城镇"</f>
        <v>河南省南阳市淅川县老城镇</v>
      </c>
      <c r="H4676" s="1" t="str">
        <f t="shared" si="2316"/>
        <v>无</v>
      </c>
      <c r="I4676" s="1" t="str">
        <f>"201609—201907  郑州铁路职业技术学院就读  全日制"</f>
        <v>201609—201907  郑州铁路职业技术学院就读  全日制</v>
      </c>
    </row>
    <row r="4677" spans="1:9">
      <c r="A4677" s="1" t="str">
        <f>"411327199910062521"</f>
        <v>411327199910062521</v>
      </c>
      <c r="B4677" s="1" t="str">
        <f t="shared" ref="B4677:B4679" si="2318">"共青团员"</f>
        <v>共青团员</v>
      </c>
      <c r="C4677" s="1" t="str">
        <f t="shared" ref="C4677:C4680" si="2319">"本科"</f>
        <v>本科</v>
      </c>
      <c r="D4677" s="1" t="str">
        <f>"20220701"</f>
        <v>20220701</v>
      </c>
      <c r="E4677" s="1" t="str">
        <f>"黄河交通学院"</f>
        <v>黄河交通学院</v>
      </c>
      <c r="F4677" s="1" t="str">
        <f>"数据科学与大数据技术"</f>
        <v>数据科学与大数据技术</v>
      </c>
      <c r="G4677" s="1" t="str">
        <f>"河南省南阳市内乡县"</f>
        <v>河南省南阳市内乡县</v>
      </c>
      <c r="H4677" s="1" t="str">
        <f t="shared" si="2316"/>
        <v>无</v>
      </c>
      <c r="I4677" s="1" t="str">
        <f>"201809-202207 在黄河交通学院机电工程系机电工程学院数据科学与大数技术专业就读
"</f>
        <v>201809-202207 在黄河交通学院机电工程系机电工程学院数据科学与大数技术专业就读
</v>
      </c>
    </row>
    <row r="4678" spans="1:9">
      <c r="A4678" s="1" t="str">
        <f>"411303200205190063"</f>
        <v>411303200205190063</v>
      </c>
      <c r="B4678" s="1" t="str">
        <f t="shared" si="2318"/>
        <v>共青团员</v>
      </c>
      <c r="C4678" s="1" t="str">
        <f t="shared" si="2319"/>
        <v>本科</v>
      </c>
      <c r="D4678" s="1" t="str">
        <f>"20250620"</f>
        <v>20250620</v>
      </c>
      <c r="E4678" s="1" t="str">
        <f>"上海中侨职业技术大学"</f>
        <v>上海中侨职业技术大学</v>
      </c>
      <c r="F4678" s="1" t="str">
        <f>"视觉传达设计"</f>
        <v>视觉传达设计</v>
      </c>
      <c r="G4678" s="1" t="str">
        <f>"河南省南阳市宛城区建设东路宇信凯旋城"</f>
        <v>河南省南阳市宛城区建设东路宇信凯旋城</v>
      </c>
      <c r="H4678" s="1" t="str">
        <f t="shared" si="2316"/>
        <v>无</v>
      </c>
      <c r="I4678" s="1" t="str">
        <f>"202009-202306 上海出版印刷高等专科学校 艺术设计（中法）全日制
202309-202506 上海中侨职业技术大学 视觉传达设计 全日制"</f>
        <v>202009-202306 上海出版印刷高等专科学校 艺术设计（中法）全日制
202309-202506 上海中侨职业技术大学 视觉传达设计 全日制</v>
      </c>
    </row>
    <row r="4679" spans="1:9">
      <c r="A4679" s="1" t="str">
        <f>"411327200010280190"</f>
        <v>411327200010280190</v>
      </c>
      <c r="B4679" s="1" t="str">
        <f t="shared" si="2318"/>
        <v>共青团员</v>
      </c>
      <c r="C4679" s="1" t="str">
        <f t="shared" si="2317"/>
        <v>专科</v>
      </c>
      <c r="D4679" s="1" t="str">
        <f>"20210701"</f>
        <v>20210701</v>
      </c>
      <c r="E4679" s="1" t="str">
        <f>"河南牧业经济学院"</f>
        <v>河南牧业经济学院</v>
      </c>
      <c r="F4679" s="1" t="str">
        <f>"证券与期货"</f>
        <v>证券与期货</v>
      </c>
      <c r="G4679" s="1" t="str">
        <f>"河南省内乡县郦都花园"</f>
        <v>河南省内乡县郦都花园</v>
      </c>
      <c r="H4679" s="1" t="str">
        <f t="shared" si="2316"/>
        <v>无</v>
      </c>
      <c r="I4679" s="1" t="str">
        <f>"201809-202107 河南牧业经济学院学校金融系证券与期货专业就读 是全日制学历"</f>
        <v>201809-202107 河南牧业经济学院学校金融系证券与期货专业就读 是全日制学历</v>
      </c>
    </row>
    <row r="4680" spans="1:9">
      <c r="A4680" s="1" t="str">
        <f>"411327200202164928"</f>
        <v>411327200202164928</v>
      </c>
      <c r="B4680" s="1" t="str">
        <f>"群众"</f>
        <v>群众</v>
      </c>
      <c r="C4680" s="1" t="str">
        <f t="shared" si="2319"/>
        <v>本科</v>
      </c>
      <c r="D4680" s="1" t="str">
        <f>"20240630"</f>
        <v>20240630</v>
      </c>
      <c r="E4680" s="1" t="str">
        <f>"白城师范学院"</f>
        <v>白城师范学院</v>
      </c>
      <c r="F4680" s="1" t="str">
        <f>"环境设计"</f>
        <v>环境设计</v>
      </c>
      <c r="G4680" s="1" t="str">
        <f>"河南省南阳市内乡县灌涨镇府前路139号"</f>
        <v>河南省南阳市内乡县灌涨镇府前路139号</v>
      </c>
      <c r="H4680" s="1" t="str">
        <f t="shared" si="2316"/>
        <v>无</v>
      </c>
      <c r="I4680" s="1" t="str">
        <f>"2020年9月1日-2024年6月30日在白城师范学院美术学院环境设计专业就读，是全日制本科。"</f>
        <v>2020年9月1日-2024年6月30日在白城师范学院美术学院环境设计专业就读，是全日制本科。</v>
      </c>
    </row>
    <row r="4681" spans="1:9">
      <c r="A4681" s="1" t="str">
        <f>"411327199412200012"</f>
        <v>411327199412200012</v>
      </c>
      <c r="B4681" s="1" t="str">
        <f>"中共党员"</f>
        <v>中共党员</v>
      </c>
      <c r="C4681" s="1" t="str">
        <f>"专科"</f>
        <v>专科</v>
      </c>
      <c r="D4681" s="1" t="str">
        <f>"20160110"</f>
        <v>20160110</v>
      </c>
      <c r="E4681" s="1" t="str">
        <f>"中南大学"</f>
        <v>中南大学</v>
      </c>
      <c r="F4681" s="1" t="str">
        <f>"法学"</f>
        <v>法学</v>
      </c>
      <c r="G4681" s="1" t="str">
        <f>"河南省内乡县城关镇教育路22号"</f>
        <v>河南省内乡县城关镇教育路22号</v>
      </c>
      <c r="H4681" s="1" t="str">
        <f t="shared" si="2316"/>
        <v>无</v>
      </c>
      <c r="I4681" s="1" t="str">
        <f>"20111201-20161201在北京军事体育运动大队服役
20130901-20160110在中南大学法学专业就读，否全日制学历
20161201-20180520在家待业
20180520-20210531在内乡公务用车管理中心就业（政府购岗）
20210531至今在内乡县发展和改革委员会就业（政府购岗）
"</f>
        <v>20111201-20161201在北京军事体育运动大队服役
20130901-20160110在中南大学法学专业就读，否全日制学历
20161201-20180520在家待业
20180520-20210531在内乡公务用车管理中心就业（政府购岗）
20210531至今在内乡县发展和改革委员会就业（政府购岗）
</v>
      </c>
    </row>
    <row r="4682" spans="1:9">
      <c r="A4682" s="1" t="str">
        <f>"410523199911170035"</f>
        <v>410523199911170035</v>
      </c>
      <c r="B4682" s="1" t="str">
        <f t="shared" ref="B4682:B4684" si="2320">"共青团员"</f>
        <v>共青团员</v>
      </c>
      <c r="C4682" s="1" t="str">
        <f t="shared" ref="C4682:C4684" si="2321">"本科"</f>
        <v>本科</v>
      </c>
      <c r="D4682" s="1" t="str">
        <f>"2025-01-10"</f>
        <v>2025-01-10</v>
      </c>
      <c r="E4682" s="1" t="str">
        <f>"广东开放大学"</f>
        <v>广东开放大学</v>
      </c>
      <c r="F4682" s="1" t="str">
        <f>"电子商务"</f>
        <v>电子商务</v>
      </c>
      <c r="G4682" s="1" t="str">
        <f>"河南省汤阴县大南街东七想2号"</f>
        <v>河南省汤阴县大南街东七想2号</v>
      </c>
      <c r="H4682" s="1" t="str">
        <f t="shared" si="2316"/>
        <v>无</v>
      </c>
      <c r="I4682" s="1" t="str">
        <f>"2022.9.30—2025.1.31      广东开放大学，电子商务专业就读本科，否
2024.1.18—至今             汤阴县公安局交警大队   辅警"</f>
        <v>2022.9.30—2025.1.31      广东开放大学，电子商务专业就读本科，否
2024.1.18—至今             汤阴县公安局交警大队   辅警</v>
      </c>
    </row>
    <row r="4683" spans="1:9">
      <c r="A4683" s="1" t="str">
        <f>"411302200210190184"</f>
        <v>411302200210190184</v>
      </c>
      <c r="B4683" s="1" t="str">
        <f t="shared" si="2320"/>
        <v>共青团员</v>
      </c>
      <c r="C4683" s="1" t="str">
        <f t="shared" si="2321"/>
        <v>本科</v>
      </c>
      <c r="D4683" s="1" t="str">
        <f>"20240623"</f>
        <v>20240623</v>
      </c>
      <c r="E4683" s="1" t="str">
        <f>"浙江万里学院"</f>
        <v>浙江万里学院</v>
      </c>
      <c r="F4683" s="1" t="str">
        <f>"电子信息工程"</f>
        <v>电子信息工程</v>
      </c>
      <c r="G4683" s="1" t="str">
        <f>"河南省南阳市宛城区光武中路万家园5号小区"</f>
        <v>河南省南阳市宛城区光武中路万家园5号小区</v>
      </c>
      <c r="H4683" s="1" t="str">
        <f t="shared" si="2316"/>
        <v>无</v>
      </c>
      <c r="I4683" s="1" t="str">
        <f>"202009-202406 浙江万里学院 信息与智能工程院系 电子信息工程  全日制学历 就读
202406-至今 河南省南阳市宛城区 待业"</f>
        <v>202009-202406 浙江万里学院 信息与智能工程院系 电子信息工程  全日制学历 就读
202406-至今 河南省南阳市宛城区 待业</v>
      </c>
    </row>
    <row r="4684" spans="1:9">
      <c r="A4684" s="1" t="str">
        <f>"37048120011220384X"</f>
        <v>37048120011220384X</v>
      </c>
      <c r="B4684" s="1" t="str">
        <f t="shared" si="2320"/>
        <v>共青团员</v>
      </c>
      <c r="C4684" s="1" t="str">
        <f t="shared" si="2321"/>
        <v>本科</v>
      </c>
      <c r="D4684" s="1" t="str">
        <f>"20230620"</f>
        <v>20230620</v>
      </c>
      <c r="E4684" s="1" t="str">
        <f>"陇东学院"</f>
        <v>陇东学院</v>
      </c>
      <c r="F4684" s="1" t="str">
        <f>"视觉传达设计"</f>
        <v>视觉传达设计</v>
      </c>
      <c r="G4684" s="1" t="str">
        <f>"山东省枣庄市滕州市北辛街道1688号三盛星商城12栋2单元406"</f>
        <v>山东省枣庄市滕州市北辛街道1688号三盛星商城12栋2单元406</v>
      </c>
      <c r="H4684" s="1" t="str">
        <f t="shared" si="2316"/>
        <v>无</v>
      </c>
      <c r="I4684" s="1" t="str">
        <f>"201609-201906滕州市二中心校就读201909-202306陇东学院视觉传达设计是全日制学历202306-至今待业"</f>
        <v>201609-201906滕州市二中心校就读201909-202306陇东学院视觉传达设计是全日制学历202306-至今待业</v>
      </c>
    </row>
    <row r="4685" spans="1:9">
      <c r="A4685" s="1" t="str">
        <f>"411202199108013519"</f>
        <v>411202199108013519</v>
      </c>
      <c r="B4685" s="1" t="str">
        <f>"中共党员"</f>
        <v>中共党员</v>
      </c>
      <c r="C4685" s="1" t="str">
        <f>"专科"</f>
        <v>专科</v>
      </c>
      <c r="D4685" s="1" t="str">
        <f>"20130701"</f>
        <v>20130701</v>
      </c>
      <c r="E4685" s="1" t="str">
        <f>"西安外事学院"</f>
        <v>西安外事学院</v>
      </c>
      <c r="F4685" s="1" t="str">
        <f>"物流管理"</f>
        <v>物流管理</v>
      </c>
      <c r="G4685" s="1" t="str">
        <f>"河南省三门峡市湖滨区"</f>
        <v>河南省三门峡市湖滨区</v>
      </c>
      <c r="H4685" s="1" t="str">
        <f t="shared" si="2316"/>
        <v>无</v>
      </c>
      <c r="I4685" s="1" t="str">
        <f>"201009-201307在西安外事学院物流管理专业就读，是全日制大专。"</f>
        <v>201009-201307在西安外事学院物流管理专业就读，是全日制大专。</v>
      </c>
    </row>
    <row r="4686" spans="1:9">
      <c r="A4686" s="1" t="str">
        <f>"41132720000220004X"</f>
        <v>41132720000220004X</v>
      </c>
      <c r="B4686" s="1" t="str">
        <f t="shared" ref="B4686:B4690" si="2322">"共青团员"</f>
        <v>共青团员</v>
      </c>
      <c r="C4686" s="1" t="str">
        <f t="shared" ref="C4686:C4688" si="2323">"本科"</f>
        <v>本科</v>
      </c>
      <c r="D4686" s="1" t="str">
        <f>"20220701"</f>
        <v>20220701</v>
      </c>
      <c r="E4686" s="1" t="str">
        <f>"信阳学院"</f>
        <v>信阳学院</v>
      </c>
      <c r="F4686" s="1" t="str">
        <f>"法学"</f>
        <v>法学</v>
      </c>
      <c r="G4686" s="1" t="str">
        <f>"河南省南阳市内乡县软木厂"</f>
        <v>河南省南阳市内乡县软木厂</v>
      </c>
      <c r="H4686" s="1" t="str">
        <f t="shared" si="2316"/>
        <v>无</v>
      </c>
      <c r="I4686" s="1" t="str">
        <f>"201809-202207  信阳学院法学专业就读
202207-202210   待业
202211-                内乡县人力资源和社会保障局"</f>
        <v>201809-202207  信阳学院法学专业就读
202207-202210   待业
202211-                内乡县人力资源和社会保障局</v>
      </c>
    </row>
    <row r="4687" spans="1:9">
      <c r="A4687" s="1" t="str">
        <f>"411327200011262090"</f>
        <v>411327200011262090</v>
      </c>
      <c r="B4687" s="1" t="str">
        <f t="shared" ref="B4687:B4697" si="2324">"群众"</f>
        <v>群众</v>
      </c>
      <c r="C4687" s="1" t="str">
        <f t="shared" si="2323"/>
        <v>本科</v>
      </c>
      <c r="D4687" s="1" t="str">
        <f>"2024-06-10"</f>
        <v>2024-06-10</v>
      </c>
      <c r="E4687" s="1" t="str">
        <f>"信阳农林学院"</f>
        <v>信阳农林学院</v>
      </c>
      <c r="F4687" s="1" t="str">
        <f>"动物科学"</f>
        <v>动物科学</v>
      </c>
      <c r="G4687" s="1" t="str">
        <f>"河南省南阳市内乡县师岗镇"</f>
        <v>河南省南阳市内乡县师岗镇</v>
      </c>
      <c r="H4687" s="1" t="str">
        <f t="shared" si="2316"/>
        <v>无</v>
      </c>
      <c r="I4687" s="1" t="str">
        <f>"201909-202206 河南牧业经济学院 就读（全日制）
202209-202406信阳农林学院  就读（全日制）"</f>
        <v>201909-202206 河南牧业经济学院 就读（全日制）
202209-202406信阳农林学院  就读（全日制）</v>
      </c>
    </row>
    <row r="4688" spans="1:9">
      <c r="A4688" s="1" t="str">
        <f>"411327200103080024"</f>
        <v>411327200103080024</v>
      </c>
      <c r="B4688" s="1" t="str">
        <f t="shared" si="2324"/>
        <v>群众</v>
      </c>
      <c r="C4688" s="1" t="str">
        <f t="shared" si="2323"/>
        <v>本科</v>
      </c>
      <c r="D4688" s="1" t="str">
        <f>"2024-07-01"</f>
        <v>2024-07-01</v>
      </c>
      <c r="E4688" s="1" t="str">
        <f>"许昌学院"</f>
        <v>许昌学院</v>
      </c>
      <c r="F4688" s="1" t="str">
        <f>"美术学"</f>
        <v>美术学</v>
      </c>
      <c r="G4688" s="1" t="str">
        <f>"河南省南阳市内乡县大成桥西"</f>
        <v>河南省南阳市内乡县大成桥西</v>
      </c>
      <c r="H4688" s="1" t="str">
        <f t="shared" si="2316"/>
        <v>无</v>
      </c>
      <c r="I4688" s="1" t="str">
        <f>"201909--202206 郑州幼儿师范高等专科学校美术教育专业就读 
202209--202406 许昌学院美术与设计学院美术学专业就读
202406--今 待业"</f>
        <v>201909--202206 郑州幼儿师范高等专科学校美术教育专业就读 
202209--202406 许昌学院美术与设计学院美术学专业就读
202406--今 待业</v>
      </c>
    </row>
    <row r="4689" spans="1:9">
      <c r="A4689" s="1" t="str">
        <f>"410482199710170105"</f>
        <v>410482199710170105</v>
      </c>
      <c r="B4689" s="1" t="str">
        <f t="shared" si="2322"/>
        <v>共青团员</v>
      </c>
      <c r="C4689" s="1" t="str">
        <f>"硕士研究生"</f>
        <v>硕士研究生</v>
      </c>
      <c r="D4689" s="1" t="str">
        <f>"20240715"</f>
        <v>20240715</v>
      </c>
      <c r="E4689" s="1" t="str">
        <f>"新疆大学"</f>
        <v>新疆大学</v>
      </c>
      <c r="F4689" s="1" t="str">
        <f>"会计"</f>
        <v>会计</v>
      </c>
      <c r="G4689" s="1" t="str">
        <f>"河南省平顶山市汝州市丹阳西路62号"</f>
        <v>河南省平顶山市汝州市丹阳西路62号</v>
      </c>
      <c r="H4689" s="1" t="str">
        <f>"初级会计证书"</f>
        <v>初级会计证书</v>
      </c>
      <c r="I4689" s="1" t="str">
        <f>"2016-09-01 ~ 2020-07-01 河南理工大学 财经学院 会计学 本科 全日制
2021-09-10 ~ 2024-07-15 新疆大学 商学院 会计 硕士 全日制
2024-07-15~ 至今 待业"</f>
        <v>2016-09-01 ~ 2020-07-01 河南理工大学 财经学院 会计学 本科 全日制
2021-09-10 ~ 2024-07-15 新疆大学 商学院 会计 硕士 全日制
2024-07-15~ 至今 待业</v>
      </c>
    </row>
    <row r="4690" spans="1:9">
      <c r="A4690" s="1" t="str">
        <f>"411324200501263468"</f>
        <v>411324200501263468</v>
      </c>
      <c r="B4690" s="1" t="str">
        <f t="shared" si="2322"/>
        <v>共青团员</v>
      </c>
      <c r="C4690" s="1" t="str">
        <f>"专科"</f>
        <v>专科</v>
      </c>
      <c r="D4690" s="1" t="str">
        <f>"20250621"</f>
        <v>20250621</v>
      </c>
      <c r="E4690" s="1" t="str">
        <f>"信阳艺术职业学院"</f>
        <v>信阳艺术职业学院</v>
      </c>
      <c r="F4690" s="1" t="str">
        <f>"学前教育"</f>
        <v>学前教育</v>
      </c>
      <c r="G4690" s="1" t="str">
        <f>"河南省南阳市镇平县"</f>
        <v>河南省南阳市镇平县</v>
      </c>
      <c r="H4690" s="1" t="str">
        <f t="shared" ref="H4690:H4692" si="2325">"无"</f>
        <v>无</v>
      </c>
      <c r="I4690" s="1" t="str">
        <f>"202209-202506 信阳艺术职业学院学前教育学院学前教育专业就读全日制学历
"</f>
        <v>202209-202506 信阳艺术职业学院学前教育学院学前教育专业就读全日制学历
</v>
      </c>
    </row>
    <row r="4691" spans="1:9">
      <c r="A4691" s="1" t="str">
        <f>"411327199412061518"</f>
        <v>411327199412061518</v>
      </c>
      <c r="B4691" s="1" t="str">
        <f t="shared" si="2324"/>
        <v>群众</v>
      </c>
      <c r="C4691" s="1" t="str">
        <f t="shared" ref="C4691:C4693" si="2326">"本科"</f>
        <v>本科</v>
      </c>
      <c r="D4691" s="1" t="str">
        <f>"20190607"</f>
        <v>20190607</v>
      </c>
      <c r="E4691" s="1" t="str">
        <f>"河南师范大学新联学院"</f>
        <v>河南师范大学新联学院</v>
      </c>
      <c r="F4691" s="1" t="str">
        <f>"机械设计制造及其自动化"</f>
        <v>机械设计制造及其自动化</v>
      </c>
      <c r="G4691" s="1" t="str">
        <f>"河南省南阳市内乡县湍东镇bei"</f>
        <v>河南省南阳市内乡县湍东镇bei</v>
      </c>
      <c r="H4691" s="1" t="str">
        <f t="shared" si="2325"/>
        <v>无</v>
      </c>
      <c r="I4691" s="1" t="str">
        <f>"2014年8月-2017年6月黄河水利职业技术学院就读。机械工程学院机械设计与制造专业，全日制
2017年8月-2019年6月河南师范大学新联学院就读。机械工程学院机械设计制造及其自动化专业。全日制
2019年8月-2022年8月牧原食品股份有限公司
2022年12月-至今中国邮政集团有限公司内乡县分公司
"</f>
        <v>2014年8月-2017年6月黄河水利职业技术学院就读。机械工程学院机械设计与制造专业，全日制
2017年8月-2019年6月河南师范大学新联学院就读。机械工程学院机械设计制造及其自动化专业。全日制
2019年8月-2022年8月牧原食品股份有限公司
2022年12月-至今中国邮政集团有限公司内乡县分公司
</v>
      </c>
    </row>
    <row r="4692" spans="1:9">
      <c r="A4692" s="1" t="str">
        <f>"411327199802280011"</f>
        <v>411327199802280011</v>
      </c>
      <c r="B4692" s="1" t="str">
        <f t="shared" si="2324"/>
        <v>群众</v>
      </c>
      <c r="C4692" s="1" t="str">
        <f t="shared" si="2326"/>
        <v>本科</v>
      </c>
      <c r="D4692" s="1" t="str">
        <f>"20200730"</f>
        <v>20200730</v>
      </c>
      <c r="E4692" s="1" t="str">
        <f>"河南科技学院"</f>
        <v>河南科技学院</v>
      </c>
      <c r="F4692" s="1" t="str">
        <f>"农学"</f>
        <v>农学</v>
      </c>
      <c r="G4692" s="1" t="str">
        <f>"城关镇新民小区"</f>
        <v>城关镇新民小区</v>
      </c>
      <c r="H4692" s="1" t="str">
        <f t="shared" si="2325"/>
        <v>无</v>
      </c>
      <c r="I4692" s="1" t="str">
        <f>"201609-202007河南科技学院生命科技学院农学专业就读
202007至今待业
"</f>
        <v>201609-202007河南科技学院生命科技学院农学专业就读
202007至今待业
</v>
      </c>
    </row>
    <row r="4693" spans="1:9">
      <c r="A4693" s="1" t="str">
        <f>"411327199303234926"</f>
        <v>411327199303234926</v>
      </c>
      <c r="B4693" s="1" t="str">
        <f t="shared" si="2324"/>
        <v>群众</v>
      </c>
      <c r="C4693" s="1" t="str">
        <f t="shared" si="2326"/>
        <v>本科</v>
      </c>
      <c r="D4693" s="1" t="str">
        <f>"20250709"</f>
        <v>20250709</v>
      </c>
      <c r="E4693" s="1" t="str">
        <f>"西安工业大学"</f>
        <v>西安工业大学</v>
      </c>
      <c r="F4693" s="1" t="str">
        <f>"经济学"</f>
        <v>经济学</v>
      </c>
      <c r="G4693" s="1" t="str">
        <f>"河南省内乡县城关镇"</f>
        <v>河南省内乡县城关镇</v>
      </c>
      <c r="H4693" s="1" t="str">
        <f>"初级会计职称"</f>
        <v>初级会计职称</v>
      </c>
      <c r="I4693" s="1" t="str">
        <f>"201309-201606 山东凯文科技职业学院 工商管理系 会计电算化 普通全日制
201607-201803 山东齐鲁鞋城
201804-202105 江苏品扬科技有限公司
202106-202405 内乡县失业保险管理处
202303-202507 西安工业大学 经济学 非全日制"</f>
        <v>201309-201606 山东凯文科技职业学院 工商管理系 会计电算化 普通全日制
201607-201803 山东齐鲁鞋城
201804-202105 江苏品扬科技有限公司
202106-202405 内乡县失业保险管理处
202303-202507 西安工业大学 经济学 非全日制</v>
      </c>
    </row>
    <row r="4694" spans="1:9">
      <c r="A4694" s="1" t="str">
        <f>"411122199801077553"</f>
        <v>411122199801077553</v>
      </c>
      <c r="B4694" s="1" t="str">
        <f t="shared" si="2324"/>
        <v>群众</v>
      </c>
      <c r="C4694" s="1" t="str">
        <f>"硕士研究生"</f>
        <v>硕士研究生</v>
      </c>
      <c r="D4694" s="1" t="str">
        <f>"2025-06-01"</f>
        <v>2025-06-01</v>
      </c>
      <c r="E4694" s="1" t="str">
        <f>"新疆财经大学"</f>
        <v>新疆财经大学</v>
      </c>
      <c r="F4694" s="1" t="str">
        <f>"法律硕士（非法学）"</f>
        <v>法律硕士（非法学）</v>
      </c>
      <c r="G4694" s="1" t="str">
        <f>"河南省漯河市临颍县"</f>
        <v>河南省漯河市临颍县</v>
      </c>
      <c r="H4694" s="1" t="str">
        <f>"法律职业资格"</f>
        <v>法律职业资格</v>
      </c>
      <c r="I4694" s="1" t="str">
        <f>"2016年9月到2020年6月上海理工大学就读，印刷工程专业，全日制。2020年6月到2022年9月临颍县繁昌社区在家待业。2022年9月到2025年6月新疆财经大学就读，法律硕士专业，全日制，获得法律硕士学位。2025年到如今，应届毕业，临颍县繁昌社区在家待业。"</f>
        <v>2016年9月到2020年6月上海理工大学就读，印刷工程专业，全日制。2020年6月到2022年9月临颍县繁昌社区在家待业。2022年9月到2025年6月新疆财经大学就读，法律硕士专业，全日制，获得法律硕士学位。2025年到如今，应届毕业，临颍县繁昌社区在家待业。</v>
      </c>
    </row>
    <row r="4695" spans="1:9">
      <c r="A4695" s="1" t="str">
        <f>"411381200310313036"</f>
        <v>411381200310313036</v>
      </c>
      <c r="B4695" s="1" t="str">
        <f t="shared" si="2324"/>
        <v>群众</v>
      </c>
      <c r="C4695" s="1" t="str">
        <f>"专科"</f>
        <v>专科</v>
      </c>
      <c r="D4695" s="1" t="str">
        <f>"20210701"</f>
        <v>20210701</v>
      </c>
      <c r="E4695" s="1" t="str">
        <f>"郑州经贸学院"</f>
        <v>郑州经贸学院</v>
      </c>
      <c r="F4695" s="1" t="str">
        <f>"工业机器人"</f>
        <v>工业机器人</v>
      </c>
      <c r="G4695" s="1" t="str">
        <f>"河南省邓州市花洲街道办事处摩托城"</f>
        <v>河南省邓州市花洲街道办事处摩托城</v>
      </c>
      <c r="H4695" s="1" t="str">
        <f t="shared" ref="H4695:H4697" si="2327">"无"</f>
        <v>无</v>
      </c>
      <c r="I4695" s="1" t="str">
        <f>"201809-202107在郑州经贸学校智慧制造学院工业机器人专业就读为全日制"</f>
        <v>201809-202107在郑州经贸学校智慧制造学院工业机器人专业就读为全日制</v>
      </c>
    </row>
    <row r="4696" spans="1:9">
      <c r="A4696" s="1" t="str">
        <f>"411327200003012913"</f>
        <v>411327200003012913</v>
      </c>
      <c r="B4696" s="1" t="str">
        <f t="shared" si="2324"/>
        <v>群众</v>
      </c>
      <c r="C4696" s="1" t="str">
        <f t="shared" ref="C4696:C4699" si="2328">"本科"</f>
        <v>本科</v>
      </c>
      <c r="D4696" s="1" t="str">
        <f>"20220701"</f>
        <v>20220701</v>
      </c>
      <c r="E4696" s="1" t="str">
        <f>"华北水利水电大学"</f>
        <v>华北水利水电大学</v>
      </c>
      <c r="F4696" s="1" t="str">
        <f>"行政管理"</f>
        <v>行政管理</v>
      </c>
      <c r="G4696" s="1" t="str">
        <f>"河南省内乡县老一高西"</f>
        <v>河南省内乡县老一高西</v>
      </c>
      <c r="H4696" s="1" t="str">
        <f t="shared" si="2327"/>
        <v>无</v>
      </c>
      <c r="I4696" s="1" t="str">
        <f>"201809-202207  华北水利水电大学   材料学院  资源循环科学与工程  
公共管理学院  行政管理（辅修）   全日制 "</f>
        <v>201809-202207  华北水利水电大学   材料学院  资源循环科学与工程  
公共管理学院  行政管理（辅修）   全日制 </v>
      </c>
    </row>
    <row r="4697" spans="1:9">
      <c r="A4697" s="1" t="str">
        <f>"410182199806270016"</f>
        <v>410182199806270016</v>
      </c>
      <c r="B4697" s="1" t="str">
        <f t="shared" si="2324"/>
        <v>群众</v>
      </c>
      <c r="C4697" s="1" t="str">
        <f t="shared" si="2328"/>
        <v>本科</v>
      </c>
      <c r="D4697" s="1" t="str">
        <f>"2020-06-30"</f>
        <v>2020-06-30</v>
      </c>
      <c r="E4697" s="1" t="str">
        <f>"南通大学"</f>
        <v>南通大学</v>
      </c>
      <c r="F4697" s="1" t="str">
        <f>"电气工程学院 电气工程及其自动化"</f>
        <v>电气工程学院 电气工程及其自动化</v>
      </c>
      <c r="G4697" s="1" t="str">
        <f>"河南郑州市二七区开元丽城小区"</f>
        <v>河南郑州市二七区开元丽城小区</v>
      </c>
      <c r="H4697" s="1" t="str">
        <f t="shared" si="2327"/>
        <v>无</v>
      </c>
      <c r="I4697" s="1" t="str">
        <f>"2016年9月2日到2020年6月30日，我就读于南通大学，就读于电气工程及其自动化专业，是全日制学历。2020年7月24日到2021年2月19日，我在上海蓝瑞电气有限公司担任职位是测试工程师，主要承担开发、测试和维修消弧线圈、智能综合诊断等公司电气产品。2021年2月19日到至今，我在河南省郑州市待业。"</f>
        <v>2016年9月2日到2020年6月30日，我就读于南通大学，就读于电气工程及其自动化专业，是全日制学历。2020年7月24日到2021年2月19日，我在上海蓝瑞电气有限公司担任职位是测试工程师，主要承担开发、测试和维修消弧线圈、智能综合诊断等公司电气产品。2021年2月19日到至今，我在河南省郑州市待业。</v>
      </c>
    </row>
    <row r="4698" spans="1:9">
      <c r="A4698" s="1" t="str">
        <f>"411327199302181148"</f>
        <v>411327199302181148</v>
      </c>
      <c r="B4698" s="1" t="str">
        <f t="shared" ref="B4698:B4701" si="2329">"共青团员"</f>
        <v>共青团员</v>
      </c>
      <c r="C4698" s="1" t="str">
        <f>"专科"</f>
        <v>专科</v>
      </c>
      <c r="D4698" s="1" t="str">
        <f>"20140701"</f>
        <v>20140701</v>
      </c>
      <c r="E4698" s="1" t="str">
        <f>"南阳理工学院"</f>
        <v>南阳理工学院</v>
      </c>
      <c r="F4698" s="1" t="str">
        <f>"计算机应用技术"</f>
        <v>计算机应用技术</v>
      </c>
      <c r="G4698" s="1" t="str">
        <f>"河南省内乡县东王营村张北组"</f>
        <v>河南省内乡县东王营村张北组</v>
      </c>
      <c r="H4698" s="1" t="str">
        <f>"小学教师资格证"</f>
        <v>小学教师资格证</v>
      </c>
      <c r="I4698" s="1" t="str">
        <f>"201209-201407南阳理工学院全日制就读；
201408-202007南阳启成比亚迪就业；
202008-202107赤眉镇兰田中心小学任教小学语文；
202108-202201在内乡县待业；
202202-至今在内乡县行政审批服务中心工作。
"</f>
        <v>201209-201407南阳理工学院全日制就读；
201408-202007南阳启成比亚迪就业；
202008-202107赤眉镇兰田中心小学任教小学语文；
202108-202201在内乡县待业；
202202-至今在内乡县行政审批服务中心工作。
</v>
      </c>
    </row>
    <row r="4699" spans="1:9">
      <c r="A4699" s="1" t="str">
        <f>"411327200008204527"</f>
        <v>411327200008204527</v>
      </c>
      <c r="B4699" s="1" t="str">
        <f>"群众"</f>
        <v>群众</v>
      </c>
      <c r="C4699" s="1" t="str">
        <f t="shared" si="2328"/>
        <v>本科</v>
      </c>
      <c r="D4699" s="1" t="str">
        <f>"20220701"</f>
        <v>20220701</v>
      </c>
      <c r="E4699" s="1" t="str">
        <f>"华北水利水电大学"</f>
        <v>华北水利水电大学</v>
      </c>
      <c r="F4699" s="1" t="str">
        <f>"会计学"</f>
        <v>会计学</v>
      </c>
      <c r="G4699" s="1" t="str">
        <f>"河南省内乡县梨苑山庄"</f>
        <v>河南省内乡县梨苑山庄</v>
      </c>
      <c r="H4699" s="1" t="str">
        <f>"初级会计资格证书"</f>
        <v>初级会计资格证书</v>
      </c>
      <c r="I4699" s="1" t="str">
        <f>"201809-202207 华北水利水电大学就读 专业：会计学 学历：本科 学历类型：普通高等教育 学位：学士 学制：四年 培养方式：全日制统招 
202207-至今 在家待业"</f>
        <v>201809-202207 华北水利水电大学就读 专业：会计学 学历：本科 学历类型：普通高等教育 学位：学士 学制：四年 培养方式：全日制统招 
202207-至今 在家待业</v>
      </c>
    </row>
    <row r="4700" spans="1:9">
      <c r="A4700" s="1" t="str">
        <f>"411323199711280010"</f>
        <v>411323199711280010</v>
      </c>
      <c r="B4700" s="1" t="str">
        <f t="shared" si="2329"/>
        <v>共青团员</v>
      </c>
      <c r="C4700" s="1" t="str">
        <f>"硕士研究生"</f>
        <v>硕士研究生</v>
      </c>
      <c r="D4700" s="1" t="str">
        <f>"2024-06-10"</f>
        <v>2024-06-10</v>
      </c>
      <c r="E4700" s="1" t="str">
        <f>"西华师范大学"</f>
        <v>西华师范大学</v>
      </c>
      <c r="F4700" s="1" t="str">
        <f>"中外政治制度"</f>
        <v>中外政治制度</v>
      </c>
      <c r="G4700" s="1" t="str">
        <f>"河南省南阳市淅川县英泰时代花园"</f>
        <v>河南省南阳市淅川县英泰时代花园</v>
      </c>
      <c r="H4700" s="1" t="str">
        <f t="shared" ref="H4700:H4722" si="2330">"无"</f>
        <v>无</v>
      </c>
      <c r="I4700" s="1" t="str">
        <f>"201609-202006 河南财经政法大学公共管理学院人力资源管理专业就读 全日制统招本科
202007-202108 于户籍地南阳市淅川县待业
202109-202406 西华师范大学政治与行政学院中外政治制度专业就读 全日制统招研究生
202407-至今 于户籍地南阳市淅川县待业"</f>
        <v>201609-202006 河南财经政法大学公共管理学院人力资源管理专业就读 全日制统招本科
202007-202108 于户籍地南阳市淅川县待业
202109-202406 西华师范大学政治与行政学院中外政治制度专业就读 全日制统招研究生
202407-至今 于户籍地南阳市淅川县待业</v>
      </c>
    </row>
    <row r="4701" spans="1:9">
      <c r="A4701" s="1" t="str">
        <f>"411327199810312917"</f>
        <v>411327199810312917</v>
      </c>
      <c r="B4701" s="1" t="str">
        <f t="shared" si="2329"/>
        <v>共青团员</v>
      </c>
      <c r="C4701" s="1" t="str">
        <f t="shared" ref="C4701:C4705" si="2331">"本科"</f>
        <v>本科</v>
      </c>
      <c r="D4701" s="1" t="str">
        <f>"20200627"</f>
        <v>20200627</v>
      </c>
      <c r="E4701" s="1" t="str">
        <f>"河南大学民生学院"</f>
        <v>河南大学民生学院</v>
      </c>
      <c r="F4701" s="1" t="str">
        <f>"行政管理"</f>
        <v>行政管理</v>
      </c>
      <c r="G4701" s="1" t="str">
        <f>"河南省南阳市卧龙区金冠小区"</f>
        <v>河南省南阳市卧龙区金冠小区</v>
      </c>
      <c r="H4701" s="1" t="str">
        <f t="shared" si="2330"/>
        <v>无</v>
      </c>
      <c r="I4701" s="1" t="str">
        <f>"201609-202006 河南大学民生学院商学院行政管理专业，全日制本科学历
202007-202209 郑州自己开工作室创业
202210-202506  杭州乐马优途文化科技公司任职"</f>
        <v>201609-202006 河南大学民生学院商学院行政管理专业，全日制本科学历
202007-202209 郑州自己开工作室创业
202210-202506  杭州乐马优途文化科技公司任职</v>
      </c>
    </row>
    <row r="4702" spans="1:9">
      <c r="A4702" s="1" t="str">
        <f>"411327200304173120"</f>
        <v>411327200304173120</v>
      </c>
      <c r="B4702" s="1" t="str">
        <f t="shared" ref="B4702:B4707" si="2332">"群众"</f>
        <v>群众</v>
      </c>
      <c r="C4702" s="1" t="str">
        <f t="shared" si="2331"/>
        <v>本科</v>
      </c>
      <c r="D4702" s="1" t="str">
        <f>"20250625"</f>
        <v>20250625</v>
      </c>
      <c r="E4702" s="1" t="str">
        <f>"郑州西亚斯学院"</f>
        <v>郑州西亚斯学院</v>
      </c>
      <c r="F4702" s="1" t="str">
        <f>"新闻学"</f>
        <v>新闻学</v>
      </c>
      <c r="G4702" s="1" t="str">
        <f>"内乡县夏馆镇栗园村213"</f>
        <v>内乡县夏馆镇栗园村213</v>
      </c>
      <c r="H4702" s="1" t="str">
        <f t="shared" si="2330"/>
        <v>无</v>
      </c>
      <c r="I4702" s="1" t="str">
        <f>"202109-202506 郑州西亚斯学院 新闻与传播学院 新闻系 就读，全日制学历"</f>
        <v>202109-202506 郑州西亚斯学院 新闻与传播学院 新闻系 就读，全日制学历</v>
      </c>
    </row>
    <row r="4703" spans="1:9">
      <c r="A4703" s="1" t="str">
        <f>"411327200010144914"</f>
        <v>411327200010144914</v>
      </c>
      <c r="B4703" s="1" t="str">
        <f>"中共预备党员"</f>
        <v>中共预备党员</v>
      </c>
      <c r="C4703" s="1" t="str">
        <f t="shared" ref="C4703:C4707" si="2333">"专科"</f>
        <v>专科</v>
      </c>
      <c r="D4703" s="1" t="str">
        <f>"20210701"</f>
        <v>20210701</v>
      </c>
      <c r="E4703" s="1" t="str">
        <f>"开封大学"</f>
        <v>开封大学</v>
      </c>
      <c r="F4703" s="1" t="str">
        <f>"物流管理"</f>
        <v>物流管理</v>
      </c>
      <c r="G4703" s="1" t="str">
        <f>"河南省内乡县大成相府"</f>
        <v>河南省内乡县大成相府</v>
      </c>
      <c r="H4703" s="1" t="str">
        <f t="shared" si="2330"/>
        <v>无</v>
      </c>
      <c r="I4703" s="1" t="str">
        <f>"201809-202107开封大学国际教育学院物流管理就读，全日制。
202110-至今在内乡县房产中心工作。"</f>
        <v>201809-202107开封大学国际教育学院物流管理就读，全日制。
202110-至今在内乡县房产中心工作。</v>
      </c>
    </row>
    <row r="4704" spans="1:9">
      <c r="A4704" s="1" t="str">
        <f>"412824200206274322"</f>
        <v>412824200206274322</v>
      </c>
      <c r="B4704" s="1" t="str">
        <f>"共青团员"</f>
        <v>共青团员</v>
      </c>
      <c r="C4704" s="1" t="str">
        <f t="shared" si="2333"/>
        <v>专科</v>
      </c>
      <c r="D4704" s="1" t="str">
        <f>"20240701"</f>
        <v>20240701</v>
      </c>
      <c r="E4704" s="1" t="str">
        <f>"阜新高等专科学校"</f>
        <v>阜新高等专科学校</v>
      </c>
      <c r="F4704" s="1" t="str">
        <f>"小学教育"</f>
        <v>小学教育</v>
      </c>
      <c r="G4704" s="1" t="str">
        <f>"河南省驻马店市西平县柏苑街道办事处王店村委魏场"</f>
        <v>河南省驻马店市西平县柏苑街道办事处王店村委魏场</v>
      </c>
      <c r="H4704" s="1" t="str">
        <f t="shared" si="2330"/>
        <v>无</v>
      </c>
      <c r="I4704" s="1" t="str">
        <f>"202109—202406阜新高等专科学校小学教育系就读，是全日制
202406—至今未工作"</f>
        <v>202109—202406阜新高等专科学校小学教育系就读，是全日制
202406—至今未工作</v>
      </c>
    </row>
    <row r="4705" spans="1:9">
      <c r="A4705" s="1" t="str">
        <f>"411330199804114525"</f>
        <v>411330199804114525</v>
      </c>
      <c r="B4705" s="1" t="str">
        <f t="shared" si="2332"/>
        <v>群众</v>
      </c>
      <c r="C4705" s="1" t="str">
        <f t="shared" si="2331"/>
        <v>本科</v>
      </c>
      <c r="D4705" s="1" t="str">
        <f>"20200701"</f>
        <v>20200701</v>
      </c>
      <c r="E4705" s="1" t="str">
        <f>"郑州大学西亚斯国际学院"</f>
        <v>郑州大学西亚斯国际学院</v>
      </c>
      <c r="F4705" s="1" t="str">
        <f>"会计学(CPA方向)"</f>
        <v>会计学(CPA方向)</v>
      </c>
      <c r="G4705" s="1" t="str">
        <f>"河南省南阳市卧龙区武侯街道毛庄社区东岗090号"</f>
        <v>河南省南阳市卧龙区武侯街道毛庄社区东岗090号</v>
      </c>
      <c r="H4705" s="1" t="str">
        <f t="shared" si="2330"/>
        <v>无</v>
      </c>
      <c r="I4705" s="1" t="str">
        <f>"201609-202007 郑州大学西亚斯国际学院 会计学（CPA方向）专业就读 是全日制学历
202008-202111 河南省南阳市卧龙区武侯街道毛庄社区东岗090号 待业 
202112-至今 南阳市保安服务有限公司 职工 "</f>
        <v>201609-202007 郑州大学西亚斯国际学院 会计学（CPA方向）专业就读 是全日制学历
202008-202111 河南省南阳市卧龙区武侯街道毛庄社区东岗090号 待业 
202112-至今 南阳市保安服务有限公司 职工 </v>
      </c>
    </row>
    <row r="4706" spans="1:9">
      <c r="A4706" s="1" t="str">
        <f>"41132319970522635X"</f>
        <v>41132319970522635X</v>
      </c>
      <c r="B4706" s="1" t="str">
        <f>"共青团员"</f>
        <v>共青团员</v>
      </c>
      <c r="C4706" s="1" t="str">
        <f t="shared" si="2333"/>
        <v>专科</v>
      </c>
      <c r="D4706" s="1" t="str">
        <f>"20200630"</f>
        <v>20200630</v>
      </c>
      <c r="E4706" s="1" t="str">
        <f>"江苏海事职业技术学院"</f>
        <v>江苏海事职业技术学院</v>
      </c>
      <c r="F4706" s="1" t="str">
        <f>"航海技术"</f>
        <v>航海技术</v>
      </c>
      <c r="G4706" s="1" t="str">
        <f>"河南省南阳市淅川县厚坡镇"</f>
        <v>河南省南阳市淅川县厚坡镇</v>
      </c>
      <c r="H4706" s="1" t="str">
        <f t="shared" si="2330"/>
        <v>无</v>
      </c>
      <c r="I4706" s="1" t="str">
        <f>"201707-202007 江苏海事职业技术学院 航海技术系 航海技术专业就读 全日制学历
202007-202507中石化长江燃料有限公司南京分公司"</f>
        <v>201707-202007 江苏海事职业技术学院 航海技术系 航海技术专业就读 全日制学历
202007-202507中石化长江燃料有限公司南京分公司</v>
      </c>
    </row>
    <row r="4707" spans="1:9">
      <c r="A4707" s="1" t="str">
        <f>"411327200309140635"</f>
        <v>411327200309140635</v>
      </c>
      <c r="B4707" s="1" t="str">
        <f t="shared" si="2332"/>
        <v>群众</v>
      </c>
      <c r="C4707" s="1" t="str">
        <f t="shared" si="2333"/>
        <v>专科</v>
      </c>
      <c r="D4707" s="1" t="str">
        <f>"20250701"</f>
        <v>20250701</v>
      </c>
      <c r="E4707" s="1" t="str">
        <f>"烟台南山学院"</f>
        <v>烟台南山学院</v>
      </c>
      <c r="F4707" s="1" t="str">
        <f>"艺术设计"</f>
        <v>艺术设计</v>
      </c>
      <c r="G4707" s="1" t="str">
        <f>"河南省南阳市内乡县马山口镇"</f>
        <v>河南省南阳市内乡县马山口镇</v>
      </c>
      <c r="H4707" s="1" t="str">
        <f t="shared" si="2330"/>
        <v>无</v>
      </c>
      <c r="I4707" s="1" t="str">
        <f>"202209-202507在烟台南山学院艺术与设计学院艺术设计系就读 是全日制学历"</f>
        <v>202209-202507在烟台南山学院艺术与设计学院艺术设计系就读 是全日制学历</v>
      </c>
    </row>
    <row r="4708" spans="1:9">
      <c r="A4708" s="1" t="str">
        <f>"41132319970714004X"</f>
        <v>41132319970714004X</v>
      </c>
      <c r="B4708" s="1" t="str">
        <f>"中共党员"</f>
        <v>中共党员</v>
      </c>
      <c r="C4708" s="1" t="str">
        <f t="shared" ref="C4708:C4711" si="2334">"本科"</f>
        <v>本科</v>
      </c>
      <c r="D4708" s="1" t="str">
        <f>"20200701"</f>
        <v>20200701</v>
      </c>
      <c r="E4708" s="1" t="str">
        <f>"山西工商学院"</f>
        <v>山西工商学院</v>
      </c>
      <c r="F4708" s="1" t="str">
        <f>"财务管理"</f>
        <v>财务管理</v>
      </c>
      <c r="G4708" s="1" t="str">
        <f>"河南省南阳市淅川县红旗路"</f>
        <v>河南省南阳市淅川县红旗路</v>
      </c>
      <c r="H4708" s="1" t="str">
        <f t="shared" si="2330"/>
        <v>无</v>
      </c>
      <c r="I4708" s="1" t="str">
        <f>"201509-202007 山西工商学院就读 金融学院财务管理专业 全日制
202007-202307 淅川县民政局实习
202307-202407 待业
202407至今淅川县商圣街道蠡园社区干部
"</f>
        <v>201509-202007 山西工商学院就读 金融学院财务管理专业 全日制
202007-202307 淅川县民政局实习
202307-202407 待业
202407至今淅川县商圣街道蠡园社区干部
</v>
      </c>
    </row>
    <row r="4709" spans="1:9">
      <c r="A4709" s="1" t="str">
        <f>"411303199608192420"</f>
        <v>411303199608192420</v>
      </c>
      <c r="B4709" s="1" t="str">
        <f t="shared" ref="B4709:B4714" si="2335">"群众"</f>
        <v>群众</v>
      </c>
      <c r="C4709" s="1" t="str">
        <f t="shared" si="2334"/>
        <v>本科</v>
      </c>
      <c r="D4709" s="1" t="str">
        <f>"20180630"</f>
        <v>20180630</v>
      </c>
      <c r="E4709" s="1" t="str">
        <f>"河南大学"</f>
        <v>河南大学</v>
      </c>
      <c r="F4709" s="1" t="str">
        <f>"视觉传达设计"</f>
        <v>视觉传达设计</v>
      </c>
      <c r="G4709" s="1" t="str">
        <f>"河南省南阳市宛城区建设中路126号"</f>
        <v>河南省南阳市宛城区建设中路126号</v>
      </c>
      <c r="H4709" s="1" t="str">
        <f t="shared" si="2330"/>
        <v>无</v>
      </c>
      <c r="I4709" s="1" t="str">
        <f>"201409—201806就读于河南大学欧亚学院学院视觉传达设计专业；201806—202306平安银行郑州分行工作；202306至今待业。"</f>
        <v>201409—201806就读于河南大学欧亚学院学院视觉传达设计专业；201806—202306平安银行郑州分行工作；202306至今待业。</v>
      </c>
    </row>
    <row r="4710" spans="1:9">
      <c r="A4710" s="1" t="str">
        <f>"411330200211273411"</f>
        <v>411330200211273411</v>
      </c>
      <c r="B4710" s="1" t="str">
        <f t="shared" si="2335"/>
        <v>群众</v>
      </c>
      <c r="C4710" s="1" t="str">
        <f t="shared" si="2334"/>
        <v>本科</v>
      </c>
      <c r="D4710" s="1" t="str">
        <f>"20250620"</f>
        <v>20250620</v>
      </c>
      <c r="E4710" s="1" t="str">
        <f>"河南农业大学"</f>
        <v>河南农业大学</v>
      </c>
      <c r="F4710" s="1" t="str">
        <f>"计算机科学与技术（软件技术）"</f>
        <v>计算机科学与技术（软件技术）</v>
      </c>
      <c r="G4710" s="1" t="str">
        <f>"河南省南阳市西峡县西坪镇开发区"</f>
        <v>河南省南阳市西峡县西坪镇开发区</v>
      </c>
      <c r="H4710" s="1" t="str">
        <f t="shared" si="2330"/>
        <v>无</v>
      </c>
      <c r="I4710" s="1" t="str">
        <f>"202109—202506 河南农业大学 就读 全日制本科"</f>
        <v>202109—202506 河南农业大学 就读 全日制本科</v>
      </c>
    </row>
    <row r="4711" spans="1:9">
      <c r="A4711" s="1" t="str">
        <f>"411327199903072027"</f>
        <v>411327199903072027</v>
      </c>
      <c r="B4711" s="1" t="str">
        <f>"共青团员"</f>
        <v>共青团员</v>
      </c>
      <c r="C4711" s="1" t="str">
        <f t="shared" si="2334"/>
        <v>本科</v>
      </c>
      <c r="D4711" s="1" t="str">
        <f>"20210701"</f>
        <v>20210701</v>
      </c>
      <c r="E4711" s="1" t="str">
        <f>"郑州师范学院"</f>
        <v>郑州师范学院</v>
      </c>
      <c r="F4711" s="1" t="str">
        <f>"汉语国际教育"</f>
        <v>汉语国际教育</v>
      </c>
      <c r="G4711" s="1" t="str">
        <f>"河南省南阳市内乡县城关镇方山西路120号"</f>
        <v>河南省南阳市内乡县城关镇方山西路120号</v>
      </c>
      <c r="H4711" s="1" t="str">
        <f t="shared" si="2330"/>
        <v>无</v>
      </c>
      <c r="I4711" s="1" t="str">
        <f>"201709-202107 郑州师范学院 文学院 汉语国际教育专业 就读"</f>
        <v>201709-202107 郑州师范学院 文学院 汉语国际教育专业 就读</v>
      </c>
    </row>
    <row r="4712" spans="1:9">
      <c r="A4712" s="1" t="str">
        <f>"411327200204040320"</f>
        <v>411327200204040320</v>
      </c>
      <c r="B4712" s="1" t="str">
        <f t="shared" si="2335"/>
        <v>群众</v>
      </c>
      <c r="C4712" s="1" t="str">
        <f t="shared" ref="C4712:C4716" si="2336">"专科"</f>
        <v>专科</v>
      </c>
      <c r="D4712" s="1" t="str">
        <f>"20230701"</f>
        <v>20230701</v>
      </c>
      <c r="E4712" s="1" t="str">
        <f>"信阳师范学院"</f>
        <v>信阳师范学院</v>
      </c>
      <c r="F4712" s="1" t="str">
        <f>"学前教育"</f>
        <v>学前教育</v>
      </c>
      <c r="G4712" s="1" t="str">
        <f>"河南省内乡县大桥乡谢营村大徐坡西"</f>
        <v>河南省内乡县大桥乡谢营村大徐坡西</v>
      </c>
      <c r="H4712" s="1" t="str">
        <f t="shared" si="2330"/>
        <v>无</v>
      </c>
      <c r="I4712" s="1" t="str">
        <f>"202009-202307信阳师范学院学前教育专业就读，全日制。"</f>
        <v>202009-202307信阳师范学院学前教育专业就读，全日制。</v>
      </c>
    </row>
    <row r="4713" spans="1:9">
      <c r="A4713" s="1" t="str">
        <f>"411327200110161113"</f>
        <v>411327200110161113</v>
      </c>
      <c r="B4713" s="1" t="str">
        <f t="shared" si="2335"/>
        <v>群众</v>
      </c>
      <c r="C4713" s="1" t="str">
        <f t="shared" ref="C4713:C4719" si="2337">"本科"</f>
        <v>本科</v>
      </c>
      <c r="D4713" s="1" t="str">
        <f>"20230701"</f>
        <v>20230701</v>
      </c>
      <c r="E4713" s="1" t="str">
        <f>"华北水利水电大学"</f>
        <v>华北水利水电大学</v>
      </c>
      <c r="F4713" s="1" t="str">
        <f>"统计学"</f>
        <v>统计学</v>
      </c>
      <c r="G4713" s="1" t="str">
        <f>"河南省南阳市内乡县赤眉村"</f>
        <v>河南省南阳市内乡县赤眉村</v>
      </c>
      <c r="H4713" s="1" t="str">
        <f t="shared" si="2330"/>
        <v>无</v>
      </c>
      <c r="I4713" s="1" t="str">
        <f>"201909-202307在华北水利水电大学数学与统计学院统计学专业就读，是全日制学历。"</f>
        <v>201909-202307在华北水利水电大学数学与统计学院统计学专业就读，是全日制学历。</v>
      </c>
    </row>
    <row r="4714" spans="1:9">
      <c r="A4714" s="1" t="str">
        <f>"411323200209146321"</f>
        <v>411323200209146321</v>
      </c>
      <c r="B4714" s="1" t="str">
        <f t="shared" si="2335"/>
        <v>群众</v>
      </c>
      <c r="C4714" s="1" t="str">
        <f t="shared" si="2336"/>
        <v>专科</v>
      </c>
      <c r="D4714" s="1" t="str">
        <f>"20240630"</f>
        <v>20240630</v>
      </c>
      <c r="E4714" s="1" t="str">
        <f>"洛阳科技职业学院"</f>
        <v>洛阳科技职业学院</v>
      </c>
      <c r="F4714" s="1" t="str">
        <f>"表演艺术"</f>
        <v>表演艺术</v>
      </c>
      <c r="G4714" s="1" t="str">
        <f>"河南省南阳市淅川县厚坡镇"</f>
        <v>河南省南阳市淅川县厚坡镇</v>
      </c>
      <c r="H4714" s="1" t="str">
        <f t="shared" si="2330"/>
        <v>无</v>
      </c>
      <c r="I4714" s="1" t="str">
        <f>"20190901-20240630 洛阳科技职业学院表演艺术专业就读全日制学历
20240630至今待业"</f>
        <v>20190901-20240630 洛阳科技职业学院表演艺术专业就读全日制学历
20240630至今待业</v>
      </c>
    </row>
    <row r="4715" spans="1:9">
      <c r="A4715" s="1" t="str">
        <f>"420625199711196513"</f>
        <v>420625199711196513</v>
      </c>
      <c r="B4715" s="1" t="str">
        <f>"共青团员"</f>
        <v>共青团员</v>
      </c>
      <c r="C4715" s="1" t="str">
        <f>"硕士研究生"</f>
        <v>硕士研究生</v>
      </c>
      <c r="D4715" s="1" t="str">
        <f>"20230630"</f>
        <v>20230630</v>
      </c>
      <c r="E4715" s="1" t="str">
        <f>"武汉纺织大学"</f>
        <v>武汉纺织大学</v>
      </c>
      <c r="F4715" s="1" t="str">
        <f>"软件工程"</f>
        <v>软件工程</v>
      </c>
      <c r="G4715" s="1" t="str">
        <f>"湖北省襄阳市谷城县五山镇熊家岗村二组"</f>
        <v>湖北省襄阳市谷城县五山镇熊家岗村二组</v>
      </c>
      <c r="H4715" s="1" t="str">
        <f t="shared" si="2330"/>
        <v>无</v>
      </c>
      <c r="I4715" s="1" t="str">
        <f>"201609-202006 武汉晴川学院 计算机学院 软件工程专业就读，全日制
202009-202306 武汉纺织大学 计算机与人工智能学院 软件工程专业就读，全日制"</f>
        <v>201609-202006 武汉晴川学院 计算机学院 软件工程专业就读，全日制
202009-202306 武汉纺织大学 计算机与人工智能学院 软件工程专业就读，全日制</v>
      </c>
    </row>
    <row r="4716" spans="1:9">
      <c r="A4716" s="1" t="str">
        <f>"411023200306052021"</f>
        <v>411023200306052021</v>
      </c>
      <c r="B4716" s="1" t="str">
        <f t="shared" ref="B4716:B4720" si="2338">"群众"</f>
        <v>群众</v>
      </c>
      <c r="C4716" s="1" t="str">
        <f t="shared" si="2336"/>
        <v>专科</v>
      </c>
      <c r="D4716" s="1" t="str">
        <f>"20250701"</f>
        <v>20250701</v>
      </c>
      <c r="E4716" s="1" t="str">
        <f>"郑州轨道工程职业学院。"</f>
        <v>郑州轨道工程职业学院。</v>
      </c>
      <c r="F4716" s="1" t="str">
        <f>"铁道交通运营管理。"</f>
        <v>铁道交通运营管理。</v>
      </c>
      <c r="G4716" s="1" t="str">
        <f>"河南省许昌市建安区新东桂苑。"</f>
        <v>河南省许昌市建安区新东桂苑。</v>
      </c>
      <c r="H4716" s="1" t="str">
        <f t="shared" si="2330"/>
        <v>无</v>
      </c>
      <c r="I4716" s="1" t="str">
        <f>"202209-202507郑州轨道工程职业学院运输管理学院铁道交通运营管理一班就读，是全日制学历。"</f>
        <v>202209-202507郑州轨道工程职业学院运输管理学院铁道交通运营管理一班就读，是全日制学历。</v>
      </c>
    </row>
    <row r="4717" spans="1:9">
      <c r="A4717" s="1" t="str">
        <f>"411327200201160060"</f>
        <v>411327200201160060</v>
      </c>
      <c r="B4717" s="1" t="str">
        <f>"中共党员"</f>
        <v>中共党员</v>
      </c>
      <c r="C4717" s="1" t="str">
        <f t="shared" si="2337"/>
        <v>本科</v>
      </c>
      <c r="D4717" s="1" t="str">
        <f>"20240607"</f>
        <v>20240607</v>
      </c>
      <c r="E4717" s="1" t="str">
        <f>"安阳工学院"</f>
        <v>安阳工学院</v>
      </c>
      <c r="F4717" s="1" t="str">
        <f>"动物医学"</f>
        <v>动物医学</v>
      </c>
      <c r="G4717" s="1" t="str">
        <f>"河南省南阳市内乡县宏达北路25巷20号"</f>
        <v>河南省南阳市内乡县宏达北路25巷20号</v>
      </c>
      <c r="H4717" s="1" t="str">
        <f t="shared" si="2330"/>
        <v>无</v>
      </c>
      <c r="I4717" s="1" t="str">
        <f>"201909-202206 河南牧业经济学院动物科技学院畜牧兽医（禽生产与疫病防治方向）全日制
202209-202406 安阳工学院生物与食品工程学院动物医学 全日制
202407-202504 河南省南阳市内乡县待业
202505-至今 河北宏达爆破工程有限公司南阳分公司
"</f>
        <v>201909-202206 河南牧业经济学院动物科技学院畜牧兽医（禽生产与疫病防治方向）全日制
202209-202406 安阳工学院生物与食品工程学院动物医学 全日制
202407-202504 河南省南阳市内乡县待业
202505-至今 河北宏达爆破工程有限公司南阳分公司
</v>
      </c>
    </row>
    <row r="4718" spans="1:9">
      <c r="A4718" s="1" t="str">
        <f>"411327200112140658"</f>
        <v>411327200112140658</v>
      </c>
      <c r="B4718" s="1" t="str">
        <f>"共青团员"</f>
        <v>共青团员</v>
      </c>
      <c r="C4718" s="1" t="str">
        <f t="shared" si="2337"/>
        <v>本科</v>
      </c>
      <c r="D4718" s="1" t="str">
        <f>"20230630"</f>
        <v>20230630</v>
      </c>
      <c r="E4718" s="1" t="str">
        <f>"郑州大学"</f>
        <v>郑州大学</v>
      </c>
      <c r="F4718" s="1" t="str">
        <f>"信息与计算科学"</f>
        <v>信息与计算科学</v>
      </c>
      <c r="G4718" s="1" t="str">
        <f>"河南省南阳市内乡县马山口镇"</f>
        <v>河南省南阳市内乡县马山口镇</v>
      </c>
      <c r="H4718" s="1" t="str">
        <f t="shared" si="2330"/>
        <v>无</v>
      </c>
      <c r="I4718" s="1" t="str">
        <f>"201909-202306 郑州大学 数学与统计学院 信息与计算科学专业 全日制 就读
202306-202411 马山口镇 待业
202411-202502 河南饭店 就业
202502-202507 马山口镇 待业
"</f>
        <v>201909-202306 郑州大学 数学与统计学院 信息与计算科学专业 全日制 就读
202306-202411 马山口镇 待业
202411-202502 河南饭店 就业
202502-202507 马山口镇 待业
</v>
      </c>
    </row>
    <row r="4719" spans="1:9">
      <c r="A4719" s="1" t="str">
        <f>"410221200011267612"</f>
        <v>410221200011267612</v>
      </c>
      <c r="B4719" s="1" t="str">
        <f t="shared" si="2338"/>
        <v>群众</v>
      </c>
      <c r="C4719" s="1" t="str">
        <f t="shared" si="2337"/>
        <v>本科</v>
      </c>
      <c r="D4719" s="1" t="str">
        <f>"20250608"</f>
        <v>20250608</v>
      </c>
      <c r="E4719" s="1" t="str">
        <f>"河南大学民生学院"</f>
        <v>河南大学民生学院</v>
      </c>
      <c r="F4719" s="1" t="str">
        <f>"金融学"</f>
        <v>金融学</v>
      </c>
      <c r="G4719" s="1" t="str">
        <f>"河南省开封市杞县泥沟乡土楼村"</f>
        <v>河南省开封市杞县泥沟乡土楼村</v>
      </c>
      <c r="H4719" s="1" t="str">
        <f t="shared" si="2330"/>
        <v>无</v>
      </c>
      <c r="I4719" s="1" t="str">
        <f>"201909-202006   河南大学民生学院经济学院金融学专业就读  全日制本科
202009-202209   陆军某合成旅 士兵
202209-202506    河南大学民生学院经济学院金融学专业就读  全日制本科"</f>
        <v>201909-202006   河南大学民生学院经济学院金融学专业就读  全日制本科
202009-202209   陆军某合成旅 士兵
202209-202506    河南大学民生学院经济学院金融学专业就读  全日制本科</v>
      </c>
    </row>
    <row r="4720" spans="1:9">
      <c r="A4720" s="1" t="str">
        <f>"411324200501165235"</f>
        <v>411324200501165235</v>
      </c>
      <c r="B4720" s="1" t="str">
        <f t="shared" si="2338"/>
        <v>群众</v>
      </c>
      <c r="C4720" s="1" t="str">
        <f>"专科"</f>
        <v>专科</v>
      </c>
      <c r="D4720" s="1" t="str">
        <f>"20240625"</f>
        <v>20240625</v>
      </c>
      <c r="E4720" s="1" t="str">
        <f>"河南财政金融学院"</f>
        <v>河南财政金融学院</v>
      </c>
      <c r="F4720" s="1" t="str">
        <f>"大数据与会计"</f>
        <v>大数据与会计</v>
      </c>
      <c r="G4720" s="1" t="str">
        <f>"河南省南阳市镇平县安子营镇"</f>
        <v>河南省南阳市镇平县安子营镇</v>
      </c>
      <c r="H4720" s="1" t="str">
        <f t="shared" si="2330"/>
        <v>无</v>
      </c>
      <c r="I4720" s="1" t="str">
        <f>"202109-202406河南财政金融学院国际教育学院大数据与会计专业就读，是全日制学历"</f>
        <v>202109-202406河南财政金融学院国际教育学院大数据与会计专业就读，是全日制学历</v>
      </c>
    </row>
    <row r="4721" spans="1:9">
      <c r="A4721" s="1" t="str">
        <f>"412822200012117617"</f>
        <v>412822200012117617</v>
      </c>
      <c r="B4721" s="1" t="str">
        <f t="shared" ref="B4721:B4726" si="2339">"共青团员"</f>
        <v>共青团员</v>
      </c>
      <c r="C4721" s="1" t="str">
        <f t="shared" ref="C4721:C4728" si="2340">"本科"</f>
        <v>本科</v>
      </c>
      <c r="D4721" s="1" t="str">
        <f>"20220701"</f>
        <v>20220701</v>
      </c>
      <c r="E4721" s="1" t="str">
        <f>"河南工学院"</f>
        <v>河南工学院</v>
      </c>
      <c r="F4721" s="1" t="str">
        <f>"通信工程"</f>
        <v>通信工程</v>
      </c>
      <c r="G4721" s="1" t="str">
        <f>"河南省驻马店市泌阳县迎宾路98号左栋二楼"</f>
        <v>河南省驻马店市泌阳县迎宾路98号左栋二楼</v>
      </c>
      <c r="H4721" s="1" t="str">
        <f t="shared" si="2330"/>
        <v>无</v>
      </c>
      <c r="I4721" s="1" t="str">
        <f>"2018.09-2022.07河南工学院，通信工程，学士
2022.07-2023.01中铁电气化局，通信检修工
2023.01-至今，未就业"</f>
        <v>2018.09-2022.07河南工学院，通信工程，学士
2022.07-2023.01中铁电气化局，通信检修工
2023.01-至今，未就业</v>
      </c>
    </row>
    <row r="4722" spans="1:9">
      <c r="A4722" s="1" t="str">
        <f>"411327200301170311"</f>
        <v>411327200301170311</v>
      </c>
      <c r="B4722" s="1" t="str">
        <f>"群众"</f>
        <v>群众</v>
      </c>
      <c r="C4722" s="1" t="str">
        <f t="shared" si="2340"/>
        <v>本科</v>
      </c>
      <c r="D4722" s="1" t="str">
        <f>"20250701"</f>
        <v>20250701</v>
      </c>
      <c r="E4722" s="1" t="str">
        <f>"安阳师范学院"</f>
        <v>安阳师范学院</v>
      </c>
      <c r="F4722" s="1" t="str">
        <f>"汉语国际教育"</f>
        <v>汉语国际教育</v>
      </c>
      <c r="G4722" s="1" t="str">
        <f>"内乡县宏达新村一号楼四单元三楼"</f>
        <v>内乡县宏达新村一号楼四单元三楼</v>
      </c>
      <c r="H4722" s="1" t="str">
        <f t="shared" si="2330"/>
        <v>无</v>
      </c>
      <c r="I4722" s="1" t="str">
        <f>"202109-202506安阳师范学院文学院汉语国际教育专业就读，是全日制学历"</f>
        <v>202109-202506安阳师范学院文学院汉语国际教育专业就读，是全日制学历</v>
      </c>
    </row>
    <row r="4723" spans="1:9">
      <c r="A4723" s="1" t="str">
        <f>"411381199505155343"</f>
        <v>411381199505155343</v>
      </c>
      <c r="B4723" s="1" t="str">
        <f>"中共党员"</f>
        <v>中共党员</v>
      </c>
      <c r="C4723" s="1" t="str">
        <f t="shared" si="2340"/>
        <v>本科</v>
      </c>
      <c r="D4723" s="1" t="str">
        <f>"20220705"</f>
        <v>20220705</v>
      </c>
      <c r="E4723" s="1" t="str">
        <f>"重庆大学"</f>
        <v>重庆大学</v>
      </c>
      <c r="F4723" s="1" t="str">
        <f>"工商管理"</f>
        <v>工商管理</v>
      </c>
      <c r="G4723" s="1" t="str">
        <f>"河南省邓州市雷锋东路君临天下2号楼1单元2201"</f>
        <v>河南省邓州市雷锋东路君临天下2号楼1单元2201</v>
      </c>
      <c r="H4723" s="1" t="str">
        <f>"普通话证书 二级甲等"</f>
        <v>普通话证书 二级甲等</v>
      </c>
      <c r="I4723" s="1" t="str">
        <f>"201009-201307邓州市第三高级中学
201309-201509  辽宁省大连市北海舰队92763部队           医院文员
201510-201609    邓州市公安局经济侦查大队         文员
201607-201907 郑州电子信息职业技术学院 计算机应用技术专业 全日制
202004-202207 重庆大学函授 工商管理专业 函授
202309-至今             邓州市翰林学校     高中教师 
"</f>
        <v>201009-201307邓州市第三高级中学
201309-201509  辽宁省大连市北海舰队92763部队           医院文员
201510-201609    邓州市公安局经济侦查大队         文员
201607-201907 郑州电子信息职业技术学院 计算机应用技术专业 全日制
202004-202207 重庆大学函授 工商管理专业 函授
202309-至今             邓州市翰林学校     高中教师 
</v>
      </c>
    </row>
    <row r="4724" spans="1:9">
      <c r="A4724" s="1" t="str">
        <f>"411324199908174517"</f>
        <v>411324199908174517</v>
      </c>
      <c r="B4724" s="1" t="str">
        <f>"中共预备党员"</f>
        <v>中共预备党员</v>
      </c>
      <c r="C4724" s="1" t="str">
        <f t="shared" si="2340"/>
        <v>本科</v>
      </c>
      <c r="D4724" s="1" t="str">
        <f>"2022年07月01日"</f>
        <v>2022年07月01日</v>
      </c>
      <c r="E4724" s="1" t="str">
        <f>"河南理工大学"</f>
        <v>河南理工大学</v>
      </c>
      <c r="F4724" s="1" t="str">
        <f>"音乐表演"</f>
        <v>音乐表演</v>
      </c>
      <c r="G4724" s="1" t="str">
        <f>"河南省南阳市镇平县金桥小区斜对面泸州老窖店"</f>
        <v>河南省南阳市镇平县金桥小区斜对面泸州老窖店</v>
      </c>
      <c r="H4724" s="1" t="str">
        <f>"普通话证  二级甲等"</f>
        <v>普通话证  二级甲等</v>
      </c>
      <c r="I4724" s="1" t="str">
        <f>"201809~202207  就读于河南理工大学音乐学院，音乐表演专业，全日制本科学历
202209~至今  在家待业"</f>
        <v>201809~202207  就读于河南理工大学音乐学院，音乐表演专业，全日制本科学历
202209~至今  在家待业</v>
      </c>
    </row>
    <row r="4725" spans="1:9">
      <c r="A4725" s="1" t="str">
        <f>"41132720020618001X"</f>
        <v>41132720020618001X</v>
      </c>
      <c r="B4725" s="1" t="str">
        <f t="shared" si="2339"/>
        <v>共青团员</v>
      </c>
      <c r="C4725" s="1" t="str">
        <f t="shared" si="2340"/>
        <v>本科</v>
      </c>
      <c r="D4725" s="1" t="str">
        <f>"20250618"</f>
        <v>20250618</v>
      </c>
      <c r="E4725" s="1" t="str">
        <f>"黄河交通学院"</f>
        <v>黄河交通学院</v>
      </c>
      <c r="F4725" s="1" t="str">
        <f>"物流管理"</f>
        <v>物流管理</v>
      </c>
      <c r="G4725" s="1" t="str">
        <f>"河南省南阳市内乡县北关万德隆对面"</f>
        <v>河南省南阳市内乡县北关万德隆对面</v>
      </c>
      <c r="H4725" s="1" t="str">
        <f>"物流工程师证"</f>
        <v>物流工程师证</v>
      </c>
      <c r="I4725" s="1" t="str">
        <f>"202009-2023 河南财政金融学院 就读
202309-2025 黄河交通学院 就读"</f>
        <v>202009-2023 河南财政金融学院 就读
202309-2025 黄河交通学院 就读</v>
      </c>
    </row>
    <row r="4726" spans="1:9">
      <c r="A4726" s="1" t="str">
        <f>"411303200104261512"</f>
        <v>411303200104261512</v>
      </c>
      <c r="B4726" s="1" t="str">
        <f t="shared" si="2339"/>
        <v>共青团员</v>
      </c>
      <c r="C4726" s="1" t="str">
        <f t="shared" si="2340"/>
        <v>本科</v>
      </c>
      <c r="D4726" s="1" t="str">
        <f>"20230701"</f>
        <v>20230701</v>
      </c>
      <c r="E4726" s="1" t="str">
        <f>"商丘学院"</f>
        <v>商丘学院</v>
      </c>
      <c r="F4726" s="1" t="str">
        <f>"计算机科学与技术"</f>
        <v>计算机科学与技术</v>
      </c>
      <c r="G4726" s="1" t="str">
        <f>"南阳市卧龙区车站南路中达明淯新城B区15号楼1503"</f>
        <v>南阳市卧龙区车站南路中达明淯新城B区15号楼1503</v>
      </c>
      <c r="H4726" s="1" t="str">
        <f t="shared" ref="H4726:H4732" si="2341">"无"</f>
        <v>无</v>
      </c>
      <c r="I4726" s="1" t="str">
        <f>"201909-202307 商丘学院 计算机工程学院 计算机科学与技术专业 就读 全日制学历  202307-202507在南阳待业"</f>
        <v>201909-202307 商丘学院 计算机工程学院 计算机科学与技术专业 就读 全日制学历  202307-202507在南阳待业</v>
      </c>
    </row>
    <row r="4727" spans="1:9">
      <c r="A4727" s="1" t="str">
        <f>"411221200205143029"</f>
        <v>411221200205143029</v>
      </c>
      <c r="B4727" s="1" t="str">
        <f t="shared" ref="B4727:B4732" si="2342">"群众"</f>
        <v>群众</v>
      </c>
      <c r="C4727" s="1" t="str">
        <f t="shared" si="2340"/>
        <v>本科</v>
      </c>
      <c r="D4727" s="1" t="str">
        <f>"20240701"</f>
        <v>20240701</v>
      </c>
      <c r="E4727" s="1" t="str">
        <f>"郑州商学院"</f>
        <v>郑州商学院</v>
      </c>
      <c r="F4727" s="1" t="str">
        <f>"翻译"</f>
        <v>翻译</v>
      </c>
      <c r="G4727" s="1" t="str">
        <f>"河南省三门峡市渑池县"</f>
        <v>河南省三门峡市渑池县</v>
      </c>
      <c r="H4727" s="1" t="str">
        <f t="shared" si="2341"/>
        <v>无</v>
      </c>
      <c r="I4727" s="1" t="str">
        <f>"202009-202407 郑州商学院就读
202407-202507 河南三门峡待业"</f>
        <v>202009-202407 郑州商学院就读
202407-202507 河南三门峡待业</v>
      </c>
    </row>
    <row r="4728" spans="1:9">
      <c r="A4728" s="1" t="str">
        <f>"411327200310190023"</f>
        <v>411327200310190023</v>
      </c>
      <c r="B4728" s="1" t="str">
        <f t="shared" si="2342"/>
        <v>群众</v>
      </c>
      <c r="C4728" s="1" t="str">
        <f t="shared" si="2340"/>
        <v>本科</v>
      </c>
      <c r="D4728" s="1" t="str">
        <f>"2025616"</f>
        <v>2025616</v>
      </c>
      <c r="E4728" s="1" t="str">
        <f>"郑州财经学院"</f>
        <v>郑州财经学院</v>
      </c>
      <c r="F4728" s="1" t="str">
        <f>"视觉传达设计专业"</f>
        <v>视觉传达设计专业</v>
      </c>
      <c r="G4728" s="1" t="str">
        <f>"河南省内乡县湍东镇"</f>
        <v>河南省内乡县湍东镇</v>
      </c>
      <c r="H4728" s="1" t="str">
        <f>"最终裁决学士学位证书"</f>
        <v>最终裁决学士学位证书</v>
      </c>
      <c r="I4728" s="1" t="str">
        <f>"2021年9月在郑州财经学院艺术设计学院视觉传达设计专业就读，为全日制学历"</f>
        <v>2021年9月在郑州财经学院艺术设计学院视觉传达设计专业就读，为全日制学历</v>
      </c>
    </row>
    <row r="4729" spans="1:9">
      <c r="A4729" s="1" t="str">
        <f>"411327199608180017"</f>
        <v>411327199608180017</v>
      </c>
      <c r="B4729" s="1" t="str">
        <f t="shared" si="2342"/>
        <v>群众</v>
      </c>
      <c r="C4729" s="1" t="str">
        <f>"专科"</f>
        <v>专科</v>
      </c>
      <c r="D4729" s="1" t="str">
        <f>"20200771"</f>
        <v>20200771</v>
      </c>
      <c r="E4729" s="1" t="str">
        <f>"郑州科技学院"</f>
        <v>郑州科技学院</v>
      </c>
      <c r="F4729" s="1" t="str">
        <f>"工商管理"</f>
        <v>工商管理</v>
      </c>
      <c r="G4729" s="1" t="str">
        <f>"南阳市"</f>
        <v>南阳市</v>
      </c>
      <c r="H4729" s="1" t="str">
        <f t="shared" si="2341"/>
        <v>无</v>
      </c>
      <c r="I4729" s="1" t="str">
        <f>"201609-202007 郑州科技学院就读 全日制学历"</f>
        <v>201609-202007 郑州科技学院就读 全日制学历</v>
      </c>
    </row>
    <row r="4730" spans="1:9">
      <c r="A4730" s="1" t="str">
        <f>"140522199905180032"</f>
        <v>140522199905180032</v>
      </c>
      <c r="B4730" s="1" t="str">
        <f t="shared" si="2342"/>
        <v>群众</v>
      </c>
      <c r="C4730" s="1" t="str">
        <f t="shared" ref="C4730:C4735" si="2343">"本科"</f>
        <v>本科</v>
      </c>
      <c r="D4730" s="1" t="str">
        <f>"20210621"</f>
        <v>20210621</v>
      </c>
      <c r="E4730" s="1" t="str">
        <f>"太原科技大学"</f>
        <v>太原科技大学</v>
      </c>
      <c r="F4730" s="1" t="str">
        <f>"工业工程"</f>
        <v>工业工程</v>
      </c>
      <c r="G4730" s="1" t="str">
        <f>"山西省晋城市阳城县"</f>
        <v>山西省晋城市阳城县</v>
      </c>
      <c r="H4730" s="1" t="str">
        <f t="shared" si="2341"/>
        <v>无</v>
      </c>
      <c r="I4730" s="1" t="str">
        <f>"201709-202106太原科技大学经济与管理学院工业工程专业就读，是全日制学历，202106-202405在家待业，202405-至今在阳城县党史研究室公益性岗位工作"</f>
        <v>201709-202106太原科技大学经济与管理学院工业工程专业就读，是全日制学历，202106-202405在家待业，202405-至今在阳城县党史研究室公益性岗位工作</v>
      </c>
    </row>
    <row r="4731" spans="1:9">
      <c r="A4731" s="1" t="str">
        <f>"411327199705160632"</f>
        <v>411327199705160632</v>
      </c>
      <c r="B4731" s="1" t="str">
        <f t="shared" si="2342"/>
        <v>群众</v>
      </c>
      <c r="C4731" s="1" t="str">
        <f t="shared" si="2343"/>
        <v>本科</v>
      </c>
      <c r="D4731" s="1" t="str">
        <f>"20200710"</f>
        <v>20200710</v>
      </c>
      <c r="E4731" s="1" t="str">
        <f>"南阳理工学院"</f>
        <v>南阳理工学院</v>
      </c>
      <c r="F4731" s="1" t="str">
        <f>"机械设计制造及其自动化"</f>
        <v>机械设计制造及其自动化</v>
      </c>
      <c r="G4731" s="1" t="str">
        <f>"河南省南阳市内乡县马山口镇外河街118号"</f>
        <v>河南省南阳市内乡县马山口镇外河街118号</v>
      </c>
      <c r="H4731" s="1" t="str">
        <f t="shared" si="2341"/>
        <v>无</v>
      </c>
      <c r="I4731" s="1" t="str">
        <f>"201609-202006，在南阳理工学院就读智能制造学院学习机械设计制造及其自动化专业，是全日制学历，没有间断。"</f>
        <v>201609-202006，在南阳理工学院就读智能制造学院学习机械设计制造及其自动化专业，是全日制学历，没有间断。</v>
      </c>
    </row>
    <row r="4732" spans="1:9">
      <c r="A4732" s="1" t="str">
        <f>"410204200003142012"</f>
        <v>410204200003142012</v>
      </c>
      <c r="B4732" s="1" t="str">
        <f t="shared" si="2342"/>
        <v>群众</v>
      </c>
      <c r="C4732" s="1" t="str">
        <f t="shared" si="2343"/>
        <v>本科</v>
      </c>
      <c r="D4732" s="1" t="str">
        <f>"20240630"</f>
        <v>20240630</v>
      </c>
      <c r="E4732" s="1" t="str">
        <f>"海南大学"</f>
        <v>海南大学</v>
      </c>
      <c r="F4732" s="1" t="str">
        <f>"会展经济与管理（中外合作办学）"</f>
        <v>会展经济与管理（中外合作办学）</v>
      </c>
      <c r="G4732" s="1" t="str">
        <f>"河南省开封市龙亭区宋城雅居12幢605"</f>
        <v>河南省开封市龙亭区宋城雅居12幢605</v>
      </c>
      <c r="H4732" s="1" t="str">
        <f t="shared" si="2341"/>
        <v>无</v>
      </c>
      <c r="I4732" s="1" t="str">
        <f>"201909-202406 海南大学 旅游管理院系 会展经济与管理（中外合作办学）专业 就读，全日制本科。"</f>
        <v>201909-202406 海南大学 旅游管理院系 会展经济与管理（中外合作办学）专业 就读，全日制本科。</v>
      </c>
    </row>
    <row r="4733" spans="1:9">
      <c r="A4733" s="1" t="str">
        <f>"411330200203161567"</f>
        <v>411330200203161567</v>
      </c>
      <c r="B4733" s="1" t="str">
        <f>"中共党员"</f>
        <v>中共党员</v>
      </c>
      <c r="C4733" s="1" t="str">
        <f t="shared" si="2343"/>
        <v>本科</v>
      </c>
      <c r="D4733" s="1" t="str">
        <f>"20250701"</f>
        <v>20250701</v>
      </c>
      <c r="E4733" s="1" t="str">
        <f>"郑州升达经贸管理学院"</f>
        <v>郑州升达经贸管理学院</v>
      </c>
      <c r="F4733" s="1" t="str">
        <f>"汉语言文学"</f>
        <v>汉语言文学</v>
      </c>
      <c r="G4733" s="1" t="str">
        <f>"西峡县双百万合力公司合力公寓"</f>
        <v>西峡县双百万合力公司合力公寓</v>
      </c>
      <c r="H4733" s="1" t="str">
        <f>"小学教师资格证"</f>
        <v>小学教师资格证</v>
      </c>
      <c r="I4733" s="1" t="str">
        <f>"2020.9-2023.7  商丘职业技术学院 师范学院 语文教育专业就读
2023.9-2025.7  郑州升达经贸管理学院文法学院 汉语言文学专业就读"</f>
        <v>2020.9-2023.7  商丘职业技术学院 师范学院 语文教育专业就读
2023.9-2025.7  郑州升达经贸管理学院文法学院 汉语言文学专业就读</v>
      </c>
    </row>
    <row r="4734" spans="1:9">
      <c r="A4734" s="1" t="str">
        <f>"411327200205260018"</f>
        <v>411327200205260018</v>
      </c>
      <c r="B4734" s="1" t="str">
        <f t="shared" ref="B4734:B4738" si="2344">"共青团员"</f>
        <v>共青团员</v>
      </c>
      <c r="C4734" s="1" t="str">
        <f t="shared" si="2343"/>
        <v>本科</v>
      </c>
      <c r="D4734" s="1" t="str">
        <f>"20240701"</f>
        <v>20240701</v>
      </c>
      <c r="E4734" s="1" t="str">
        <f>"南京审计大学"</f>
        <v>南京审计大学</v>
      </c>
      <c r="F4734" s="1" t="str">
        <f>"经济学"</f>
        <v>经济学</v>
      </c>
      <c r="G4734" s="1" t="str">
        <f>"河南省南阳市内乡县城关镇"</f>
        <v>河南省南阳市内乡县城关镇</v>
      </c>
      <c r="H4734" s="1" t="str">
        <f t="shared" ref="H4734:H4738" si="2345">"无"</f>
        <v>无</v>
      </c>
      <c r="I4734" s="1" t="str">
        <f>"202009-202406 南京审计大学经济学院经济学专业就读
202407-202505 南阳洛克提琴艺术沙龙小提琴教师
202506至今 待业"</f>
        <v>202009-202406 南京审计大学经济学院经济学专业就读
202407-202505 南阳洛克提琴艺术沙龙小提琴教师
202506至今 待业</v>
      </c>
    </row>
    <row r="4735" spans="1:9">
      <c r="A4735" s="1" t="str">
        <f>"411330199902130828"</f>
        <v>411330199902130828</v>
      </c>
      <c r="B4735" s="1" t="str">
        <f t="shared" si="2344"/>
        <v>共青团员</v>
      </c>
      <c r="C4735" s="1" t="str">
        <f t="shared" si="2343"/>
        <v>本科</v>
      </c>
      <c r="D4735" s="1" t="str">
        <f>"20210701"</f>
        <v>20210701</v>
      </c>
      <c r="E4735" s="1" t="str">
        <f>"商丘工学院"</f>
        <v>商丘工学院</v>
      </c>
      <c r="F4735" s="1" t="str">
        <f>"环境设计"</f>
        <v>环境设计</v>
      </c>
      <c r="G4735" s="1" t="str">
        <f>"河南西峡县丹水镇"</f>
        <v>河南西峡县丹水镇</v>
      </c>
      <c r="H4735" s="1" t="str">
        <f t="shared" si="2345"/>
        <v>无</v>
      </c>
      <c r="I4735" s="1" t="str">
        <f>"201709-202107 商丘工学院 教育与现代艺术学院 环境设计 是
202109-202306 代课兼职
202306-至今 待业"</f>
        <v>201709-202107 商丘工学院 教育与现代艺术学院 环境设计 是
202109-202306 代课兼职
202306-至今 待业</v>
      </c>
    </row>
    <row r="4736" spans="1:9">
      <c r="A4736" s="1" t="str">
        <f>"411327199611060059"</f>
        <v>411327199611060059</v>
      </c>
      <c r="B4736" s="1" t="str">
        <f t="shared" ref="B4736:B4742" si="2346">"群众"</f>
        <v>群众</v>
      </c>
      <c r="C4736" s="1" t="str">
        <f t="shared" ref="C4736:C4741" si="2347">"专科"</f>
        <v>专科</v>
      </c>
      <c r="D4736" s="1" t="str">
        <f>"20170701"</f>
        <v>20170701</v>
      </c>
      <c r="E4736" s="1" t="str">
        <f>"河南工业职业技术学院"</f>
        <v>河南工业职业技术学院</v>
      </c>
      <c r="F4736" s="1" t="str">
        <f>"数控技术"</f>
        <v>数控技术</v>
      </c>
      <c r="G4736" s="1" t="str">
        <f>"河南省内乡县湍东镇菊韵花苑小区"</f>
        <v>河南省内乡县湍东镇菊韵花苑小区</v>
      </c>
      <c r="H4736" s="1" t="str">
        <f>"数控铣工四级"</f>
        <v>数控铣工四级</v>
      </c>
      <c r="I4736" s="1" t="str">
        <f>"201409-201707，河南工业职业技术学院数控技术专业就读，是全日制学历。201707-201808，在家待业。201808至今内乡县公安局辅警。"</f>
        <v>201409-201707，河南工业职业技术学院数控技术专业就读，是全日制学历。201707-201808，在家待业。201808至今内乡县公安局辅警。</v>
      </c>
    </row>
    <row r="4737" spans="1:9">
      <c r="A4737" s="1" t="str">
        <f>"410324199901217579"</f>
        <v>410324199901217579</v>
      </c>
      <c r="B4737" s="1" t="str">
        <f t="shared" si="2344"/>
        <v>共青团员</v>
      </c>
      <c r="C4737" s="1" t="str">
        <f t="shared" ref="C4737:C4756" si="2348">"本科"</f>
        <v>本科</v>
      </c>
      <c r="D4737" s="1" t="str">
        <f>"20220701"</f>
        <v>20220701</v>
      </c>
      <c r="E4737" s="1" t="str">
        <f>"信阳学院"</f>
        <v>信阳学院</v>
      </c>
      <c r="F4737" s="1" t="str">
        <f>"土木工程"</f>
        <v>土木工程</v>
      </c>
      <c r="G4737" s="1" t="str">
        <f>"河南省洛阳市栾川县三川镇姚湾村"</f>
        <v>河南省洛阳市栾川县三川镇姚湾村</v>
      </c>
      <c r="H4737" s="1" t="str">
        <f t="shared" si="2345"/>
        <v>无</v>
      </c>
      <c r="I4737" s="1" t="str">
        <f>"20180910—20220701信阳学院土木工程学院就读.是全日制学历
"</f>
        <v>20180910—20220701信阳学院土木工程学院就读.是全日制学历
</v>
      </c>
    </row>
    <row r="4738" spans="1:9">
      <c r="A4738" s="1" t="str">
        <f>"411522200008190099"</f>
        <v>411522200008190099</v>
      </c>
      <c r="B4738" s="1" t="str">
        <f t="shared" si="2344"/>
        <v>共青团员</v>
      </c>
      <c r="C4738" s="1" t="str">
        <f>"硕士研究生"</f>
        <v>硕士研究生</v>
      </c>
      <c r="D4738" s="1" t="str">
        <f>"20240604"</f>
        <v>20240604</v>
      </c>
      <c r="E4738" s="1" t="str">
        <f>"南华大学"</f>
        <v>南华大学</v>
      </c>
      <c r="F4738" s="1" t="str">
        <f>"哲学专业"</f>
        <v>哲学专业</v>
      </c>
      <c r="G4738" s="1" t="str">
        <f>"河南省光山县半岛经济适用小区"</f>
        <v>河南省光山县半岛经济适用小区</v>
      </c>
      <c r="H4738" s="1" t="str">
        <f t="shared" si="2345"/>
        <v>无</v>
      </c>
      <c r="I4738" s="1" t="str">
        <f>"201409-201706 就读于河南省第二高级中学分校
201706-202106 就读于南通大学外国语学院英语专业
202106-202406 就读于南华大学马克思主义学院哲学专业
202406-202507 在家待业"</f>
        <v>201409-201706 就读于河南省第二高级中学分校
201706-202106 就读于南通大学外国语学院英语专业
202106-202406 就读于南华大学马克思主义学院哲学专业
202406-202507 在家待业</v>
      </c>
    </row>
    <row r="4739" spans="1:9">
      <c r="A4739" s="1" t="str">
        <f>"41132720050520064X"</f>
        <v>41132720050520064X</v>
      </c>
      <c r="B4739" s="1" t="str">
        <f t="shared" si="2346"/>
        <v>群众</v>
      </c>
      <c r="C4739" s="1" t="str">
        <f t="shared" si="2347"/>
        <v>专科</v>
      </c>
      <c r="D4739" s="1" t="str">
        <f>"20250612"</f>
        <v>20250612</v>
      </c>
      <c r="E4739" s="1" t="str">
        <f>"郑州工业应用技术学院"</f>
        <v>郑州工业应用技术学院</v>
      </c>
      <c r="F4739" s="1" t="str">
        <f>"大数据技术"</f>
        <v>大数据技术</v>
      </c>
      <c r="G4739" s="1" t="str">
        <f>"河南省内乡县马山口镇外河街196号"</f>
        <v>河南省内乡县马山口镇外河街196号</v>
      </c>
      <c r="H4739" s="1" t="str">
        <f>"市场营销师专项技术证书 管理会计师专项技术证书"</f>
        <v>市场营销师专项技术证书 管理会计师专项技术证书</v>
      </c>
      <c r="I4739" s="1" t="str">
        <f>"202209–202506 郑州工业应用技术学院就读。2022年九月至2025年六月在周工业应用技术学院软件学院专业，全日制。"</f>
        <v>202209–202506 郑州工业应用技术学院就读。2022年九月至2025年六月在周工业应用技术学院软件学院专业，全日制。</v>
      </c>
    </row>
    <row r="4740" spans="1:9">
      <c r="A4740" s="1" t="str">
        <f>"411326200103046911"</f>
        <v>411326200103046911</v>
      </c>
      <c r="B4740" s="1" t="str">
        <f t="shared" ref="B4740:B4746" si="2349">"共青团员"</f>
        <v>共青团员</v>
      </c>
      <c r="C4740" s="1" t="str">
        <f t="shared" si="2348"/>
        <v>本科</v>
      </c>
      <c r="D4740" s="1" t="str">
        <f>"20240630"</f>
        <v>20240630</v>
      </c>
      <c r="E4740" s="1" t="str">
        <f>"郑州科技学院"</f>
        <v>郑州科技学院</v>
      </c>
      <c r="F4740" s="1" t="str">
        <f>"经济学"</f>
        <v>经济学</v>
      </c>
      <c r="G4740" s="1" t="str">
        <f>"河南省南阳市淅川县马蹬镇黑龙村128号"</f>
        <v>河南省南阳市淅川县马蹬镇黑龙村128号</v>
      </c>
      <c r="H4740" s="1" t="str">
        <f t="shared" ref="H4740:H4743" si="2350">"无"</f>
        <v>无</v>
      </c>
      <c r="I4740" s="1" t="str">
        <f>"202009-202406 郑州科技学院 财经学院 经济学专业   全日制学历
201909- 202006 淅川县第二高级中学（复读）
201509-201906 淅川县第一高级中学（含休学一年）
201209-201506 淅川县马蹬镇初级中学
201109-201206 淅川县马蹬镇第二小学
200809-201106 内乡县一小分校
200609-200806 淅川县马蹬镇第一小学"</f>
        <v>202009-202406 郑州科技学院 财经学院 经济学专业   全日制学历
201909- 202006 淅川县第二高级中学（复读）
201509-201906 淅川县第一高级中学（含休学一年）
201209-201506 淅川县马蹬镇初级中学
201109-201206 淅川县马蹬镇第二小学
200809-201106 内乡县一小分校
200609-200806 淅川县马蹬镇第一小学</v>
      </c>
    </row>
    <row r="4741" spans="1:9">
      <c r="A4741" s="1" t="str">
        <f>"411503200401285036"</f>
        <v>411503200401285036</v>
      </c>
      <c r="B4741" s="1" t="str">
        <f t="shared" si="2346"/>
        <v>群众</v>
      </c>
      <c r="C4741" s="1" t="str">
        <f t="shared" si="2347"/>
        <v>专科</v>
      </c>
      <c r="D4741" s="1" t="str">
        <f>"20240625"</f>
        <v>20240625</v>
      </c>
      <c r="E4741" s="1" t="str">
        <f>"郑州电子信息职业技术学院"</f>
        <v>郑州电子信息职业技术学院</v>
      </c>
      <c r="F4741" s="1" t="str">
        <f>"建筑工程技术"</f>
        <v>建筑工程技术</v>
      </c>
      <c r="G4741" s="1" t="str">
        <f>"河南省信阳市平桥区明港镇杨楼路口"</f>
        <v>河南省信阳市平桥区明港镇杨楼路口</v>
      </c>
      <c r="H4741" s="1" t="str">
        <f t="shared" si="2350"/>
        <v>无</v>
      </c>
      <c r="I4741" s="1" t="str">
        <f>"20210901-20240625郑州电子信息职业技术学院就读全日制学历"</f>
        <v>20210901-20240625郑州电子信息职业技术学院就读全日制学历</v>
      </c>
    </row>
    <row r="4742" spans="1:9">
      <c r="A4742" s="1" t="str">
        <f>"411327199902080316"</f>
        <v>411327199902080316</v>
      </c>
      <c r="B4742" s="1" t="str">
        <f t="shared" si="2346"/>
        <v>群众</v>
      </c>
      <c r="C4742" s="1" t="str">
        <f t="shared" si="2348"/>
        <v>本科</v>
      </c>
      <c r="D4742" s="1" t="str">
        <f>"20220701"</f>
        <v>20220701</v>
      </c>
      <c r="E4742" s="1" t="str">
        <f>"黄河科技学院"</f>
        <v>黄河科技学院</v>
      </c>
      <c r="F4742" s="1" t="str">
        <f>"学前教育"</f>
        <v>学前教育</v>
      </c>
      <c r="G4742" s="1" t="str">
        <f>"河南省邓州市师苑小区"</f>
        <v>河南省邓州市师苑小区</v>
      </c>
      <c r="H4742" s="1" t="str">
        <f t="shared" si="2350"/>
        <v>无</v>
      </c>
      <c r="I4742" s="1" t="str">
        <f>"201709-202006郑州幼儿师范高等专科学校
202009-202206黄河科技学院
202207-202306南阳科技职业学院
202308-至今南阳市宛西中等专业学校"</f>
        <v>201709-202006郑州幼儿师范高等专科学校
202009-202206黄河科技学院
202207-202306南阳科技职业学院
202308-至今南阳市宛西中等专业学校</v>
      </c>
    </row>
    <row r="4743" spans="1:9">
      <c r="A4743" s="1" t="str">
        <f>"41133020000929151X"</f>
        <v>41133020000929151X</v>
      </c>
      <c r="B4743" s="1" t="str">
        <f>"中共预备党员"</f>
        <v>中共预备党员</v>
      </c>
      <c r="C4743" s="1" t="str">
        <f t="shared" si="2348"/>
        <v>本科</v>
      </c>
      <c r="D4743" s="1" t="str">
        <f>"20230621"</f>
        <v>20230621</v>
      </c>
      <c r="E4743" s="1" t="str">
        <f>"中国传媒大学"</f>
        <v>中国传媒大学</v>
      </c>
      <c r="F4743" s="1" t="str">
        <f>"电子信息工程"</f>
        <v>电子信息工程</v>
      </c>
      <c r="G4743" s="1" t="str">
        <f>"976548499@qq.com"</f>
        <v>976548499@qq.com</v>
      </c>
      <c r="H4743" s="1" t="str">
        <f t="shared" si="2350"/>
        <v>无</v>
      </c>
      <c r="I4743" s="1" t="str">
        <f>"2019.07-2023.06  中国传媒大学就读
2023.6至今  在西峡县待业"</f>
        <v>2019.07-2023.06  中国传媒大学就读
2023.6至今  在西峡县待业</v>
      </c>
    </row>
    <row r="4744" spans="1:9">
      <c r="A4744" s="1" t="str">
        <f>"411327200203043722"</f>
        <v>411327200203043722</v>
      </c>
      <c r="B4744" s="1" t="str">
        <f t="shared" si="2349"/>
        <v>共青团员</v>
      </c>
      <c r="C4744" s="1" t="str">
        <f t="shared" si="2348"/>
        <v>本科</v>
      </c>
      <c r="D4744" s="1" t="str">
        <f>"20240607"</f>
        <v>20240607</v>
      </c>
      <c r="E4744" s="1" t="str">
        <f>"郑州工业应用技术学院"</f>
        <v>郑州工业应用技术学院</v>
      </c>
      <c r="F4744" s="1" t="str">
        <f>"计算机科学与技术"</f>
        <v>计算机科学与技术</v>
      </c>
      <c r="G4744" s="1" t="str">
        <f>"河南省南阳市内乡县湍东镇龙园村黄楝树"</f>
        <v>河南省南阳市内乡县湍东镇龙园村黄楝树</v>
      </c>
      <c r="H4744" s="1" t="str">
        <f>"电子商务师"</f>
        <v>电子商务师</v>
      </c>
      <c r="I4744" s="1" t="str">
        <f>"202009-202406 郑州工业应用技术学院就读 计算机科学与技术专业 全日制学历"</f>
        <v>202009-202406 郑州工业应用技术学院就读 计算机科学与技术专业 全日制学历</v>
      </c>
    </row>
    <row r="4745" spans="1:9">
      <c r="A4745" s="1" t="str">
        <f>"411327200406151520"</f>
        <v>411327200406151520</v>
      </c>
      <c r="B4745" s="1" t="str">
        <f t="shared" si="2349"/>
        <v>共青团员</v>
      </c>
      <c r="C4745" s="1" t="str">
        <f t="shared" si="2348"/>
        <v>本科</v>
      </c>
      <c r="D4745" s="1" t="str">
        <f>"20250610"</f>
        <v>20250610</v>
      </c>
      <c r="E4745" s="1" t="str">
        <f>"河南大学"</f>
        <v>河南大学</v>
      </c>
      <c r="F4745" s="1" t="str">
        <f>"金融数学"</f>
        <v>金融数学</v>
      </c>
      <c r="G4745" s="1" t="str">
        <f>"河南省南阳市内乡县"</f>
        <v>河南省南阳市内乡县</v>
      </c>
      <c r="H4745" s="1" t="str">
        <f t="shared" ref="H4745:H4753" si="2351">"无"</f>
        <v>无</v>
      </c>
      <c r="I4745" s="1" t="str">
        <f>"202109-202506 河南大学欧亚国际学院金融数学专业就读，是全日制学历"</f>
        <v>202109-202506 河南大学欧亚国际学院金融数学专业就读，是全日制学历</v>
      </c>
    </row>
    <row r="4746" spans="1:9">
      <c r="A4746" s="1" t="str">
        <f>"411303200103220540"</f>
        <v>411303200103220540</v>
      </c>
      <c r="B4746" s="1" t="str">
        <f t="shared" si="2349"/>
        <v>共青团员</v>
      </c>
      <c r="C4746" s="1" t="str">
        <f t="shared" si="2348"/>
        <v>本科</v>
      </c>
      <c r="D4746" s="1" t="str">
        <f>"20250701"</f>
        <v>20250701</v>
      </c>
      <c r="E4746" s="1" t="str">
        <f>"河南科技大学"</f>
        <v>河南科技大学</v>
      </c>
      <c r="F4746" s="1" t="str">
        <f>"视觉传达设计"</f>
        <v>视觉传达设计</v>
      </c>
      <c r="G4746" s="1" t="str">
        <f>"河南省南阳市宛城区吕庄社区张井"</f>
        <v>河南省南阳市宛城区吕庄社区张井</v>
      </c>
      <c r="H4746" s="1" t="str">
        <f t="shared" si="2351"/>
        <v>无</v>
      </c>
      <c r="I4746" s="1" t="str">
        <f>"202009-202506河南科技大学就读 全日制学历"</f>
        <v>202009-202506河南科技大学就读 全日制学历</v>
      </c>
    </row>
    <row r="4747" spans="1:9">
      <c r="A4747" s="1" t="str">
        <f>"411323200101300016"</f>
        <v>411323200101300016</v>
      </c>
      <c r="B4747" s="1" t="str">
        <f>"中共预备党员"</f>
        <v>中共预备党员</v>
      </c>
      <c r="C4747" s="1" t="str">
        <f t="shared" si="2348"/>
        <v>本科</v>
      </c>
      <c r="D4747" s="1" t="str">
        <f>"20231230"</f>
        <v>20231230</v>
      </c>
      <c r="E4747" s="1" t="str">
        <f>"中南财经政法大学"</f>
        <v>中南财经政法大学</v>
      </c>
      <c r="F4747" s="1" t="str">
        <f>"治安学"</f>
        <v>治安学</v>
      </c>
      <c r="G4747" s="1" t="str">
        <f>"河南省南阳市淅川县"</f>
        <v>河南省南阳市淅川县</v>
      </c>
      <c r="H4747" s="1" t="str">
        <f>"电工证"</f>
        <v>电工证</v>
      </c>
      <c r="I4747" s="1" t="str">
        <f>"202009-202306  武昌职业学院（全日制大专） 通信技术专业
202101-2023012中南财经政法大学（自考本科） 治安学专业
202401-至今      淅川县公安局金河派出所 （警务辅助人员）"</f>
        <v>202009-202306  武昌职业学院（全日制大专） 通信技术专业
202101-2023012中南财经政法大学（自考本科） 治安学专业
202401-至今      淅川县公安局金河派出所 （警务辅助人员）</v>
      </c>
    </row>
    <row r="4748" spans="1:9">
      <c r="A4748" s="1" t="str">
        <f>"411330199801280026"</f>
        <v>411330199801280026</v>
      </c>
      <c r="B4748" s="1" t="str">
        <f t="shared" ref="B4748:B4752" si="2352">"群众"</f>
        <v>群众</v>
      </c>
      <c r="C4748" s="1" t="str">
        <f t="shared" si="2348"/>
        <v>本科</v>
      </c>
      <c r="D4748" s="1" t="str">
        <f>"20200701"</f>
        <v>20200701</v>
      </c>
      <c r="E4748" s="1" t="str">
        <f>"黄河科技学院"</f>
        <v>黄河科技学院</v>
      </c>
      <c r="F4748" s="1" t="str">
        <f>"学前教育系"</f>
        <v>学前教育系</v>
      </c>
      <c r="G4748" s="1" t="str">
        <f>"河南省南阳市西峡县丹水镇三里庙村"</f>
        <v>河南省南阳市西峡县丹水镇三里庙村</v>
      </c>
      <c r="H4748" s="1" t="str">
        <f t="shared" si="2351"/>
        <v>无</v>
      </c>
      <c r="I4748" s="1" t="str">
        <f>"201608-202007 黄河科技学院就读学前教育系，是全日制学历
202009-202408 在郑州金水区姿华幼儿园担任老师
202410-至今未就业"</f>
        <v>201608-202007 黄河科技学院就读学前教育系，是全日制学历
202009-202408 在郑州金水区姿华幼儿园担任老师
202410-至今未就业</v>
      </c>
    </row>
    <row r="4749" spans="1:9">
      <c r="A4749" s="1" t="str">
        <f>"411327200205084931"</f>
        <v>411327200205084931</v>
      </c>
      <c r="B4749" s="1" t="str">
        <f>"共青团员"</f>
        <v>共青团员</v>
      </c>
      <c r="C4749" s="1" t="str">
        <f t="shared" si="2348"/>
        <v>本科</v>
      </c>
      <c r="D4749" s="1" t="str">
        <f>"20250625"</f>
        <v>20250625</v>
      </c>
      <c r="E4749" s="1" t="str">
        <f>"赣东学院"</f>
        <v>赣东学院</v>
      </c>
      <c r="F4749" s="1" t="str">
        <f>"法学"</f>
        <v>法学</v>
      </c>
      <c r="G4749" s="1" t="str">
        <f>"河南省南阳市内乡县"</f>
        <v>河南省南阳市内乡县</v>
      </c>
      <c r="H4749" s="1" t="str">
        <f t="shared" si="2351"/>
        <v>无</v>
      </c>
      <c r="I4749" s="1" t="str">
        <f>"202109-202506赣东学院人文学院法学专业就读"</f>
        <v>202109-202506赣东学院人文学院法学专业就读</v>
      </c>
    </row>
    <row r="4750" spans="1:9">
      <c r="A4750" s="1" t="str">
        <f>"41132120031017552X"</f>
        <v>41132120031017552X</v>
      </c>
      <c r="B4750" s="1" t="str">
        <f>"中共党员"</f>
        <v>中共党员</v>
      </c>
      <c r="C4750" s="1" t="str">
        <f t="shared" si="2348"/>
        <v>本科</v>
      </c>
      <c r="D4750" s="1" t="str">
        <f>"2025613"</f>
        <v>2025613</v>
      </c>
      <c r="E4750" s="1" t="str">
        <f>"商丘工学院"</f>
        <v>商丘工学院</v>
      </c>
      <c r="F4750" s="1" t="str">
        <f>"金融学"</f>
        <v>金融学</v>
      </c>
      <c r="G4750" s="1" t="str">
        <f>"河南省南阳市南召县马市坪乡白果树村"</f>
        <v>河南省南阳市南召县马市坪乡白果树村</v>
      </c>
      <c r="H4750" s="1" t="str">
        <f t="shared" si="2351"/>
        <v>无</v>
      </c>
      <c r="I4750" s="1" t="str">
        <f>"202109—202506 商丘工学院 经济与管理学院 金融学专业就读
学制为全日制学历"</f>
        <v>202109—202506 商丘工学院 经济与管理学院 金融学专业就读
学制为全日制学历</v>
      </c>
    </row>
    <row r="4751" spans="1:9">
      <c r="A4751" s="1" t="str">
        <f>"41130219980918181X"</f>
        <v>41130219980918181X</v>
      </c>
      <c r="B4751" s="1" t="str">
        <f t="shared" si="2352"/>
        <v>群众</v>
      </c>
      <c r="C4751" s="1" t="str">
        <f t="shared" si="2348"/>
        <v>本科</v>
      </c>
      <c r="D4751" s="1" t="str">
        <f>"2021.07"</f>
        <v>2021.07</v>
      </c>
      <c r="E4751" s="1" t="str">
        <f>"河南工学院"</f>
        <v>河南工学院</v>
      </c>
      <c r="F4751" s="1" t="str">
        <f>"机械设计制造及自动化"</f>
        <v>机械设计制造及自动化</v>
      </c>
      <c r="G4751" s="1" t="str">
        <f>"河南省南阳市宛城区长江路中达宝城天润苑"</f>
        <v>河南省南阳市宛城区长江路中达宝城天润苑</v>
      </c>
      <c r="H4751" s="1" t="str">
        <f t="shared" si="2351"/>
        <v>无</v>
      </c>
      <c r="I4751" s="1" t="str">
        <f>"201609-201906 郑州工业安全职业学院 就读 全日制学历
201909-202106 河南工学院 就读 全日制学历"</f>
        <v>201609-201906 郑州工业安全职业学院 就读 全日制学历
201909-202106 河南工学院 就读 全日制学历</v>
      </c>
    </row>
    <row r="4752" spans="1:9">
      <c r="A4752" s="1" t="str">
        <f>"41132719970130116X"</f>
        <v>41132719970130116X</v>
      </c>
      <c r="B4752" s="1" t="str">
        <f t="shared" si="2352"/>
        <v>群众</v>
      </c>
      <c r="C4752" s="1" t="str">
        <f t="shared" si="2348"/>
        <v>本科</v>
      </c>
      <c r="D4752" s="1" t="str">
        <f>"20200701"</f>
        <v>20200701</v>
      </c>
      <c r="E4752" s="1" t="str">
        <f>"郑州工商学院"</f>
        <v>郑州工商学院</v>
      </c>
      <c r="F4752" s="1" t="str">
        <f>"财务管理"</f>
        <v>财务管理</v>
      </c>
      <c r="G4752" s="1" t="str">
        <f>"河南省南阳市内乡县赤眉镇韩岗村李沟组"</f>
        <v>河南省南阳市内乡县赤眉镇韩岗村李沟组</v>
      </c>
      <c r="H4752" s="1" t="str">
        <f t="shared" si="2351"/>
        <v>无</v>
      </c>
      <c r="I4752" s="1" t="str">
        <f>"201609-201807商丘工学院在会计专业就读，全日制学历
201809-202007郑州工商学院在财务管理专业就读，全日制学历
202007以后在内乡企业工作，从事行政工作"</f>
        <v>201609-201807商丘工学院在会计专业就读，全日制学历
201809-202007郑州工商学院在财务管理专业就读，全日制学历
202007以后在内乡企业工作，从事行政工作</v>
      </c>
    </row>
    <row r="4753" spans="1:9">
      <c r="A4753" s="1" t="str">
        <f>"411303200307290268"</f>
        <v>411303200307290268</v>
      </c>
      <c r="B4753" s="1" t="str">
        <f>"中共预备党员"</f>
        <v>中共预备党员</v>
      </c>
      <c r="C4753" s="1" t="str">
        <f t="shared" si="2348"/>
        <v>本科</v>
      </c>
      <c r="D4753" s="1" t="str">
        <f>"20250701"</f>
        <v>20250701</v>
      </c>
      <c r="E4753" s="1" t="str">
        <f>"郑州师范学院"</f>
        <v>郑州师范学院</v>
      </c>
      <c r="F4753" s="1" t="str">
        <f>"社会学类-家政学"</f>
        <v>社会学类-家政学</v>
      </c>
      <c r="G4753" s="1" t="str">
        <f>"河南省南阳市卧龙区潦河镇丁丰店村潘营"</f>
        <v>河南省南阳市卧龙区潦河镇丁丰店村潘营</v>
      </c>
      <c r="H4753" s="1" t="str">
        <f t="shared" si="2351"/>
        <v>无</v>
      </c>
      <c r="I4753" s="1" t="str">
        <f>"202109-202507   郑州师范学院社会服务与发展学院就读 全日制学历
202507-至今        在南阳市待业"</f>
        <v>202109-202507   郑州师范学院社会服务与发展学院就读 全日制学历
202507-至今        在南阳市待业</v>
      </c>
    </row>
    <row r="4754" spans="1:9">
      <c r="A4754" s="1" t="str">
        <f>"411327199802080327"</f>
        <v>411327199802080327</v>
      </c>
      <c r="B4754" s="1" t="str">
        <f>"群众"</f>
        <v>群众</v>
      </c>
      <c r="C4754" s="1" t="str">
        <f t="shared" si="2348"/>
        <v>本科</v>
      </c>
      <c r="D4754" s="1" t="str">
        <f>"202007"</f>
        <v>202007</v>
      </c>
      <c r="E4754" s="1" t="str">
        <f>"郑州商学院"</f>
        <v>郑州商学院</v>
      </c>
      <c r="F4754" s="1" t="str">
        <f>"国际经济与贸易"</f>
        <v>国际经济与贸易</v>
      </c>
      <c r="G4754" s="1" t="str">
        <f>"河南省南阳市内乡县大桥乡"</f>
        <v>河南省南阳市内乡县大桥乡</v>
      </c>
      <c r="H4754" s="1" t="str">
        <f>"全国外贸从业能力大赛 团体二等奖"</f>
        <v>全国外贸从业能力大赛 团体二等奖</v>
      </c>
      <c r="I4754" s="1" t="str">
        <f>"201609-202007 郑州商学院 国际经济与贸易专业  全日制学历 就读
202008-202204 通许通许牧原工作
202206-202507 内乡复兴学校工作"</f>
        <v>201609-202007 郑州商学院 国际经济与贸易专业  全日制学历 就读
202008-202204 通许通许牧原工作
202206-202507 内乡复兴学校工作</v>
      </c>
    </row>
    <row r="4755" spans="1:9">
      <c r="A4755" s="1" t="str">
        <f>"411330200208163115"</f>
        <v>411330200208163115</v>
      </c>
      <c r="B4755" s="1" t="str">
        <f>"共青团员"</f>
        <v>共青团员</v>
      </c>
      <c r="C4755" s="1" t="str">
        <f t="shared" si="2348"/>
        <v>本科</v>
      </c>
      <c r="D4755" s="1" t="str">
        <f>"20250701"</f>
        <v>20250701</v>
      </c>
      <c r="E4755" s="1" t="str">
        <f>"营口理工学院"</f>
        <v>营口理工学院</v>
      </c>
      <c r="F4755" s="1" t="str">
        <f>"数据科学与大数据技术"</f>
        <v>数据科学与大数据技术</v>
      </c>
      <c r="G4755" s="1" t="str">
        <f>"河南省南阳市西峡县重阳镇重阳村"</f>
        <v>河南省南阳市西峡县重阳镇重阳村</v>
      </c>
      <c r="H4755" s="1" t="str">
        <f>"计算机二级"</f>
        <v>计算机二级</v>
      </c>
      <c r="I4755" s="1" t="str">
        <f>"20210901-20250701 营口理工学院 电气工程学院 数据科学与大数据技术技术就读 是全日制"</f>
        <v>20210901-20250701 营口理工学院 电气工程学院 数据科学与大数据技术技术就读 是全日制</v>
      </c>
    </row>
    <row r="4756" spans="1:9">
      <c r="A4756" s="1" t="str">
        <f>"412827199905088012"</f>
        <v>412827199905088012</v>
      </c>
      <c r="B4756" s="1" t="str">
        <f>"中共党员"</f>
        <v>中共党员</v>
      </c>
      <c r="C4756" s="1" t="str">
        <f t="shared" si="2348"/>
        <v>本科</v>
      </c>
      <c r="D4756" s="1" t="str">
        <f>"20240701"</f>
        <v>20240701</v>
      </c>
      <c r="E4756" s="1" t="str">
        <f>"河南工业大学"</f>
        <v>河南工业大学</v>
      </c>
      <c r="F4756" s="1" t="str">
        <f>"会计学"</f>
        <v>会计学</v>
      </c>
      <c r="G4756" s="1" t="str">
        <f>"郑州市金水区文化路北段锦艺金水湾观澜苑七号楼二单元"</f>
        <v>郑州市金水区文化路北段锦艺金水湾观澜苑七号楼二单元</v>
      </c>
      <c r="H4756" s="1" t="str">
        <f>"初级会计证书"</f>
        <v>初级会计证书</v>
      </c>
      <c r="I4756" s="1" t="str">
        <f>"201809-202107郑州大学 会计学院 会计专业就读 全日制
202111至202310河南博普奥外包服务有限公司 工作
202203至202407河南工业大学 会计学专业就读 非全日制"</f>
        <v>201809-202107郑州大学 会计学院 会计专业就读 全日制
202111至202310河南博普奥外包服务有限公司 工作
202203至202407河南工业大学 会计学专业就读 非全日制</v>
      </c>
    </row>
    <row r="4757" spans="1:9">
      <c r="A4757" s="1" t="str">
        <f>"411325200106264221"</f>
        <v>411325200106264221</v>
      </c>
      <c r="B4757" s="1" t="str">
        <f>"共青团员"</f>
        <v>共青团员</v>
      </c>
      <c r="C4757" s="1" t="str">
        <f>"专科"</f>
        <v>专科</v>
      </c>
      <c r="D4757" s="1" t="str">
        <f>"20220606"</f>
        <v>20220606</v>
      </c>
      <c r="E4757" s="1" t="str">
        <f>"开封大学"</f>
        <v>开封大学</v>
      </c>
      <c r="F4757" s="1" t="str">
        <f>"财政经济学院物流管理"</f>
        <v>财政经济学院物流管理</v>
      </c>
      <c r="G4757" s="1" t="str">
        <f>"湖北省黄冈市黄州区"</f>
        <v>湖北省黄冈市黄州区</v>
      </c>
      <c r="H4757" s="1" t="str">
        <f>"物流职业师"</f>
        <v>物流职业师</v>
      </c>
      <c r="I4757" s="1" t="str">
        <f>"20190901-20220606，就读于开封大学财政经济学院物流管理专业，全日制学历。
20220909至今，在湖北省黄冈市公安局分局工作，辅警。"</f>
        <v>20190901-20220606，就读于开封大学财政经济学院物流管理专业，全日制学历。
20220909至今，在湖北省黄冈市公安局分局工作，辅警。</v>
      </c>
    </row>
    <row r="4758" spans="1:9">
      <c r="A4758" s="1" t="str">
        <f>"411327200310180028"</f>
        <v>411327200310180028</v>
      </c>
      <c r="B4758" s="1" t="str">
        <f t="shared" ref="B4758:B4764" si="2353">"群众"</f>
        <v>群众</v>
      </c>
      <c r="C4758" s="1" t="str">
        <f t="shared" ref="C4758:C4762" si="2354">"本科"</f>
        <v>本科</v>
      </c>
      <c r="D4758" s="1" t="str">
        <f>"20250630"</f>
        <v>20250630</v>
      </c>
      <c r="E4758" s="1" t="str">
        <f>"重庆城市科技学院"</f>
        <v>重庆城市科技学院</v>
      </c>
      <c r="F4758" s="1" t="str">
        <f>"数据科学与大数据技术"</f>
        <v>数据科学与大数据技术</v>
      </c>
      <c r="G4758" s="1" t="str">
        <f>"河南省内乡县城关镇县衙路01号"</f>
        <v>河南省内乡县城关镇县衙路01号</v>
      </c>
      <c r="H4758" s="1" t="str">
        <f t="shared" ref="H4758:H4762" si="2355">"无"</f>
        <v>无</v>
      </c>
      <c r="I4758" s="1" t="str">
        <f>"202109-202506 重庆城市科技学院 人工智能与大数据学院 数据科学与大数据技术专业 就读 全日制学历"</f>
        <v>202109-202506 重庆城市科技学院 人工智能与大数据学院 数据科学与大数据技术专业 就读 全日制学历</v>
      </c>
    </row>
    <row r="4759" spans="1:9">
      <c r="A4759" s="1" t="str">
        <f>"411324199708060021"</f>
        <v>411324199708060021</v>
      </c>
      <c r="B4759" s="1" t="str">
        <f>"中共党员"</f>
        <v>中共党员</v>
      </c>
      <c r="C4759" s="1" t="str">
        <f t="shared" si="2354"/>
        <v>本科</v>
      </c>
      <c r="D4759" s="1" t="str">
        <f>"20210701"</f>
        <v>20210701</v>
      </c>
      <c r="E4759" s="1" t="str">
        <f>"南阳理工学院"</f>
        <v>南阳理工学院</v>
      </c>
      <c r="F4759" s="1" t="str">
        <f>"财务管理"</f>
        <v>财务管理</v>
      </c>
      <c r="G4759" s="1" t="str">
        <f>"河南省南阳市镇平县雪枫街道泰山路与涅阳路交叉路口往东100米路南"</f>
        <v>河南省南阳市镇平县雪枫街道泰山路与涅阳路交叉路口往东100米路南</v>
      </c>
      <c r="H4759" s="1" t="str">
        <f t="shared" si="2355"/>
        <v>无</v>
      </c>
      <c r="I4759" s="1" t="str">
        <f>"2015年09月至2018年07月就读于南阳理工学院 全日制专科 ，
2019年03月至2021年07月在南阳理工学院就读 函授本科，
2018年09月至2019年01月在镇平县杏花园小学任职，
2019年02月至2020年07月在镇平县石佛寺第一实验学校任教，
2020年9月至今在镇平国家粮食储备库。"</f>
        <v>2015年09月至2018年07月就读于南阳理工学院 全日制专科 ，
2019年03月至2021年07月在南阳理工学院就读 函授本科，
2018年09月至2019年01月在镇平县杏花园小学任职，
2019年02月至2020年07月在镇平县石佛寺第一实验学校任教，
2020年9月至今在镇平国家粮食储备库。</v>
      </c>
    </row>
    <row r="4760" spans="1:9">
      <c r="A4760" s="1" t="str">
        <f>"411323199506200608"</f>
        <v>411323199506200608</v>
      </c>
      <c r="B4760" s="1" t="str">
        <f t="shared" si="2353"/>
        <v>群众</v>
      </c>
      <c r="C4760" s="1" t="str">
        <f t="shared" si="2354"/>
        <v>本科</v>
      </c>
      <c r="D4760" s="1" t="str">
        <f>"20170701"</f>
        <v>20170701</v>
      </c>
      <c r="E4760" s="1" t="str">
        <f>"郑州成功财经学院"</f>
        <v>郑州成功财经学院</v>
      </c>
      <c r="F4760" s="1" t="str">
        <f>"国际经济与贸易"</f>
        <v>国际经济与贸易</v>
      </c>
      <c r="G4760" s="1" t="str">
        <f>"河南省南阳市淅川县"</f>
        <v>河南省南阳市淅川县</v>
      </c>
      <c r="H4760" s="1" t="str">
        <f>"大学英语四级、大学英语六级、计算机二级证书，人力资源管理师三级"</f>
        <v>大学英语四级、大学英语六级、计算机二级证书，人力资源管理师三级</v>
      </c>
      <c r="I4760" s="1" t="str">
        <f>"2013.09-2017.07郑州成功财经学院商学系国际经济与贸易专业就读；
2017.08-2019.09东莞市大新刺绣有限公司任外贸员；
2019.10-2020.02待业；
2020.03-2021.06河南省新鸿进出口贸易有限公司任外贸员；
2021.07-2023.07淅川县东方学校老师；
2023.08-2023.09待业；
2023.10月至今淅川县投资控股有限责任公司职员"</f>
        <v>2013.09-2017.07郑州成功财经学院商学系国际经济与贸易专业就读；
2017.08-2019.09东莞市大新刺绣有限公司任外贸员；
2019.10-2020.02待业；
2020.03-2021.06河南省新鸿进出口贸易有限公司任外贸员；
2021.07-2023.07淅川县东方学校老师；
2023.08-2023.09待业；
2023.10月至今淅川县投资控股有限责任公司职员</v>
      </c>
    </row>
    <row r="4761" spans="1:9">
      <c r="A4761" s="1" t="str">
        <f>"411327200101092558"</f>
        <v>411327200101092558</v>
      </c>
      <c r="B4761" s="1" t="str">
        <f t="shared" si="2353"/>
        <v>群众</v>
      </c>
      <c r="C4761" s="1" t="str">
        <f t="shared" si="2354"/>
        <v>本科</v>
      </c>
      <c r="D4761" s="1" t="str">
        <f>"20240630"</f>
        <v>20240630</v>
      </c>
      <c r="E4761" s="1" t="str">
        <f>"武汉工程科技学院"</f>
        <v>武汉工程科技学院</v>
      </c>
      <c r="F4761" s="1" t="str">
        <f>"计算机科学与技术"</f>
        <v>计算机科学与技术</v>
      </c>
      <c r="G4761" s="1" t="str">
        <f>"河南省南阳市内乡县鹏翔雅苑"</f>
        <v>河南省南阳市内乡县鹏翔雅苑</v>
      </c>
      <c r="H4761" s="1" t="str">
        <f t="shared" si="2355"/>
        <v>无</v>
      </c>
      <c r="I4761" s="1" t="str">
        <f>"201909-202206 武汉工程科技学院 人工智能学院计算机网络技术专业就读 是全日制学历
202209-202406 武汉工程科技学院 人工智能学院 计算机科学与技术专业就读 是全日制学历"</f>
        <v>201909-202206 武汉工程科技学院 人工智能学院计算机网络技术专业就读 是全日制学历
202209-202406 武汉工程科技学院 人工智能学院 计算机科学与技术专业就读 是全日制学历</v>
      </c>
    </row>
    <row r="4762" spans="1:9">
      <c r="A4762" s="1" t="str">
        <f>"411327199407130320"</f>
        <v>411327199407130320</v>
      </c>
      <c r="B4762" s="1" t="str">
        <f t="shared" si="2353"/>
        <v>群众</v>
      </c>
      <c r="C4762" s="1" t="str">
        <f t="shared" si="2354"/>
        <v>本科</v>
      </c>
      <c r="D4762" s="1" t="str">
        <f>"20160630"</f>
        <v>20160630</v>
      </c>
      <c r="E4762" s="1" t="str">
        <f>"郑州大学"</f>
        <v>郑州大学</v>
      </c>
      <c r="F4762" s="1" t="str">
        <f>"法学"</f>
        <v>法学</v>
      </c>
      <c r="G4762" s="1" t="str">
        <f>"河南省内乡县"</f>
        <v>河南省内乡县</v>
      </c>
      <c r="H4762" s="1" t="str">
        <f t="shared" si="2355"/>
        <v>无</v>
      </c>
      <c r="I4762" s="1" t="str">
        <f>"201209-201606 郑州大学法学院 法学专业 就读
201607-201804 河南省内乡县 待业
201805-201901 河南光法律师事务所 工作
201902-201904 河南省南阳市 待业
201905-202101 南阳私塾国际学府 工作
202102-202210 河南省内乡县 待业
202211至今 内乡县人民检察院 书记员"</f>
        <v>201209-201606 郑州大学法学院 法学专业 就读
201607-201804 河南省内乡县 待业
201805-201901 河南光法律师事务所 工作
201902-201904 河南省南阳市 待业
201905-202101 南阳私塾国际学府 工作
202102-202210 河南省内乡县 待业
202211至今 内乡县人民检察院 书记员</v>
      </c>
    </row>
    <row r="4763" spans="1:9">
      <c r="A4763" s="1" t="str">
        <f>"411324199607152429"</f>
        <v>411324199607152429</v>
      </c>
      <c r="B4763" s="1" t="str">
        <f t="shared" si="2353"/>
        <v>群众</v>
      </c>
      <c r="C4763" s="1" t="str">
        <f>"专科"</f>
        <v>专科</v>
      </c>
      <c r="D4763" s="1" t="str">
        <f>"202307"</f>
        <v>202307</v>
      </c>
      <c r="E4763" s="1" t="str">
        <f>"新疆师范大学"</f>
        <v>新疆师范大学</v>
      </c>
      <c r="F4763" s="1" t="str">
        <f>"学前教育"</f>
        <v>学前教育</v>
      </c>
      <c r="G4763" s="1" t="str">
        <f>"河南省镇平县后柳林"</f>
        <v>河南省镇平县后柳林</v>
      </c>
      <c r="H4763" s="1" t="str">
        <f>"幼儿园三级教师"</f>
        <v>幼儿园三级教师</v>
      </c>
      <c r="I4763" s="1" t="str">
        <f>"201209-201507 平顶山教育学院就读
201507-201708 待业 
201709-201912 且末县英吾斯塘乡幼儿园
202001-202402 且末县托格拉克勒克乡幼儿园
202101-202307 新疆师范大学就读
202403-至今 河南省镇平县待业"</f>
        <v>201209-201507 平顶山教育学院就读
201507-201708 待业 
201709-201912 且末县英吾斯塘乡幼儿园
202001-202402 且末县托格拉克勒克乡幼儿园
202101-202307 新疆师范大学就读
202403-至今 河南省镇平县待业</v>
      </c>
    </row>
    <row r="4764" spans="1:9">
      <c r="A4764" s="1" t="str">
        <f>"411121199806236537"</f>
        <v>411121199806236537</v>
      </c>
      <c r="B4764" s="1" t="str">
        <f t="shared" si="2353"/>
        <v>群众</v>
      </c>
      <c r="C4764" s="1" t="str">
        <f t="shared" ref="C4764:C4770" si="2356">"本科"</f>
        <v>本科</v>
      </c>
      <c r="D4764" s="1" t="str">
        <f>"20220701"</f>
        <v>20220701</v>
      </c>
      <c r="E4764" s="1" t="str">
        <f>"平顶山学院"</f>
        <v>平顶山学院</v>
      </c>
      <c r="F4764" s="1" t="str">
        <f>"电气工程及其自动化"</f>
        <v>电气工程及其自动化</v>
      </c>
      <c r="G4764" s="1" t="str">
        <f>"河南省漯河市舞阳县"</f>
        <v>河南省漯河市舞阳县</v>
      </c>
      <c r="H4764" s="1" t="str">
        <f t="shared" ref="H4764:H4772" si="2357">"无"</f>
        <v>无</v>
      </c>
      <c r="I4764" s="1" t="str">
        <f>"201709-202007许昌职业技术学院学校就读、机电一体化技术、全日制
202009-202207平顶山学院学校就读、电气工程及其自动化、全日制
202207-2022307中国电建集团江西省水电工程局有限公司
202307-202408舞阳县为民服务中心
202411-至今河南君御建筑工程有限公司"</f>
        <v>201709-202007许昌职业技术学院学校就读、机电一体化技术、全日制
202009-202207平顶山学院学校就读、电气工程及其自动化、全日制
202207-2022307中国电建集团江西省水电工程局有限公司
202307-202408舞阳县为民服务中心
202411-至今河南君御建筑工程有限公司</v>
      </c>
    </row>
    <row r="4765" spans="1:9">
      <c r="A4765" s="1" t="str">
        <f>"411327200204160023"</f>
        <v>411327200204160023</v>
      </c>
      <c r="B4765" s="1" t="str">
        <f>"中共预备党员"</f>
        <v>中共预备党员</v>
      </c>
      <c r="C4765" s="1" t="str">
        <f t="shared" si="2356"/>
        <v>本科</v>
      </c>
      <c r="D4765" s="1" t="str">
        <f>"20250617"</f>
        <v>20250617</v>
      </c>
      <c r="E4765" s="1" t="str">
        <f>"南阳理工学院"</f>
        <v>南阳理工学院</v>
      </c>
      <c r="F4765" s="1" t="str">
        <f>"音乐学"</f>
        <v>音乐学</v>
      </c>
      <c r="G4765" s="1" t="str">
        <f>"河南省内乡县郦都学校学府公馆7号楼二单元"</f>
        <v>河南省内乡县郦都学校学府公馆7号楼二单元</v>
      </c>
      <c r="H4765" s="1" t="str">
        <f t="shared" si="2357"/>
        <v>无</v>
      </c>
      <c r="I4765" s="1" t="str">
        <f>"202109-202506，在河南省南阳市南阳理工学院教师教育学院音乐学就读，是全日制学历"</f>
        <v>202109-202506，在河南省南阳市南阳理工学院教师教育学院音乐学就读，是全日制学历</v>
      </c>
    </row>
    <row r="4766" spans="1:9">
      <c r="A4766" s="1" t="str">
        <f>"411327200001162969"</f>
        <v>411327200001162969</v>
      </c>
      <c r="B4766" s="1" t="str">
        <f>"中共党员"</f>
        <v>中共党员</v>
      </c>
      <c r="C4766" s="1" t="str">
        <f t="shared" si="2356"/>
        <v>本科</v>
      </c>
      <c r="D4766" s="1" t="str">
        <f>"20230701"</f>
        <v>20230701</v>
      </c>
      <c r="E4766" s="1" t="str">
        <f>"商丘师范学院"</f>
        <v>商丘师范学院</v>
      </c>
      <c r="F4766" s="1" t="str">
        <f>"土木工程"</f>
        <v>土木工程</v>
      </c>
      <c r="G4766" s="1" t="str">
        <f>"河南省南阳市内乡县瓦亭镇药山村"</f>
        <v>河南省南阳市内乡县瓦亭镇药山村</v>
      </c>
      <c r="H4766" s="1" t="str">
        <f t="shared" si="2357"/>
        <v>无</v>
      </c>
      <c r="I4766" s="1" t="str">
        <f>"201909-202307  商丘师范学院 就读
202307-至今  未就业"</f>
        <v>201909-202307  商丘师范学院 就读
202307-至今  未就业</v>
      </c>
    </row>
    <row r="4767" spans="1:9">
      <c r="A4767" s="1" t="str">
        <f>"411323200302033444"</f>
        <v>411323200302033444</v>
      </c>
      <c r="B4767" s="1" t="str">
        <f>"共青团员"</f>
        <v>共青团员</v>
      </c>
      <c r="C4767" s="1" t="str">
        <f t="shared" si="2356"/>
        <v>本科</v>
      </c>
      <c r="D4767" s="1" t="str">
        <f>"20240701"</f>
        <v>20240701</v>
      </c>
      <c r="E4767" s="1" t="str">
        <f>"河南农业大学"</f>
        <v>河南农业大学</v>
      </c>
      <c r="F4767" s="1" t="str">
        <f>"国际经济与贸易"</f>
        <v>国际经济与贸易</v>
      </c>
      <c r="G4767" s="1" t="str">
        <f>"河南省南阳市淅川县上集镇水木清华小区"</f>
        <v>河南省南阳市淅川县上集镇水木清华小区</v>
      </c>
      <c r="H4767" s="1" t="str">
        <f t="shared" si="2357"/>
        <v>无</v>
      </c>
      <c r="I4767" s="1" t="str">
        <f>"202009-202407 河南农业大学就读 全日制学历"</f>
        <v>202009-202407 河南农业大学就读 全日制学历</v>
      </c>
    </row>
    <row r="4768" spans="1:9">
      <c r="A4768" s="1" t="str">
        <f>"411327200307050011"</f>
        <v>411327200307050011</v>
      </c>
      <c r="B4768" s="1" t="str">
        <f t="shared" ref="B4768:B4771" si="2358">"群众"</f>
        <v>群众</v>
      </c>
      <c r="C4768" s="1" t="str">
        <f t="shared" si="2356"/>
        <v>本科</v>
      </c>
      <c r="D4768" s="1" t="str">
        <f>"20250607"</f>
        <v>20250607</v>
      </c>
      <c r="E4768" s="1" t="str">
        <f>"新乡工程学院"</f>
        <v>新乡工程学院</v>
      </c>
      <c r="F4768" s="1" t="str">
        <f>"英语"</f>
        <v>英语</v>
      </c>
      <c r="G4768" s="1" t="str">
        <f>"河南省内乡县城关镇菊潭大街1号"</f>
        <v>河南省内乡县城关镇菊潭大街1号</v>
      </c>
      <c r="H4768" s="1" t="str">
        <f t="shared" si="2357"/>
        <v>无</v>
      </c>
      <c r="I4768" s="1" t="str">
        <f>"202109-202506 新乡工程学院 外国语学院 英语专业 就读 全日制学历"</f>
        <v>202109-202506 新乡工程学院 外国语学院 英语专业 就读 全日制学历</v>
      </c>
    </row>
    <row r="4769" spans="1:9">
      <c r="A4769" s="1" t="str">
        <f>"411327199203014547"</f>
        <v>411327199203014547</v>
      </c>
      <c r="B4769" s="1" t="str">
        <f>"中共党员"</f>
        <v>中共党员</v>
      </c>
      <c r="C4769" s="1" t="str">
        <f t="shared" si="2356"/>
        <v>本科</v>
      </c>
      <c r="D4769" s="1" t="str">
        <f>"20180607"</f>
        <v>20180607</v>
      </c>
      <c r="E4769" s="1" t="str">
        <f>"北京联合大学"</f>
        <v>北京联合大学</v>
      </c>
      <c r="F4769" s="1" t="str">
        <f>"工商管理"</f>
        <v>工商管理</v>
      </c>
      <c r="G4769" s="1" t="str">
        <f>"南阳市内乡县郦都花园"</f>
        <v>南阳市内乡县郦都花园</v>
      </c>
      <c r="H4769" s="1" t="str">
        <f t="shared" si="2357"/>
        <v>无</v>
      </c>
      <c r="I4769" s="1" t="str">
        <f>"201309-201606 北京经济管理职业学院    工商企业管理  全日制大专
201609-201806  北京联合大学                  工商管理         全日制本科
201806-201902  北京金色雨林教育科技有限公司             行政专员
201903-202506   内乡郦都学校                                         教师             "</f>
        <v>201309-201606 北京经济管理职业学院    工商企业管理  全日制大专
201609-201806  北京联合大学                  工商管理         全日制本科
201806-201902  北京金色雨林教育科技有限公司             行政专员
201903-202506   内乡郦都学校                                         教师             </v>
      </c>
    </row>
    <row r="4770" spans="1:9">
      <c r="A4770" s="1" t="str">
        <f>"411302199706170819"</f>
        <v>411302199706170819</v>
      </c>
      <c r="B4770" s="1" t="str">
        <f t="shared" si="2358"/>
        <v>群众</v>
      </c>
      <c r="C4770" s="1" t="str">
        <f t="shared" si="2356"/>
        <v>本科</v>
      </c>
      <c r="D4770" s="1" t="str">
        <f>"20250701"</f>
        <v>20250701</v>
      </c>
      <c r="E4770" s="1" t="str">
        <f>"南阳师范学院"</f>
        <v>南阳师范学院</v>
      </c>
      <c r="F4770" s="1" t="str">
        <f>"视觉传达设计"</f>
        <v>视觉传达设计</v>
      </c>
      <c r="G4770" s="1" t="str">
        <f>"河南省南阳市宛城区光武帝城"</f>
        <v>河南省南阳市宛城区光武帝城</v>
      </c>
      <c r="H4770" s="1" t="str">
        <f t="shared" si="2357"/>
        <v>无</v>
      </c>
      <c r="I4770" s="1" t="str">
        <f>"201509-201907 南阳师范学院就读
201907-201909在南阳待业
201910-202012在郑州芊羽传媒任职
202012-202107在南阳待业
202107-202208在中国电信南阳分公司任职
202208-202302在南阳待业
202302-202507在南阳市博雅学校任职"</f>
        <v>201509-201907 南阳师范学院就读
201907-201909在南阳待业
201910-202012在郑州芊羽传媒任职
202012-202107在南阳待业
202107-202208在中国电信南阳分公司任职
202208-202302在南阳待业
202302-202507在南阳市博雅学校任职</v>
      </c>
    </row>
    <row r="4771" spans="1:9">
      <c r="A4771" s="1" t="str">
        <f>"411327199506260016"</f>
        <v>411327199506260016</v>
      </c>
      <c r="B4771" s="1" t="str">
        <f t="shared" si="2358"/>
        <v>群众</v>
      </c>
      <c r="C4771" s="1" t="str">
        <f>"专科"</f>
        <v>专科</v>
      </c>
      <c r="D4771" s="1" t="str">
        <f>"2022年7月1日"</f>
        <v>2022年7月1日</v>
      </c>
      <c r="E4771" s="1" t="str">
        <f>"河南工业职业技术学院"</f>
        <v>河南工业职业技术学院</v>
      </c>
      <c r="F4771" s="1" t="str">
        <f>"计算机网络技术"</f>
        <v>计算机网络技术</v>
      </c>
      <c r="G4771" s="1" t="str">
        <f>"河南省内乡县罗岗村"</f>
        <v>河南省内乡县罗岗村</v>
      </c>
      <c r="H4771" s="1" t="str">
        <f t="shared" si="2357"/>
        <v>无</v>
      </c>
      <c r="I4771" s="1" t="str">
        <f>"202003-202207在河南工业职业技术学院就读，否全日制学历"</f>
        <v>202003-202207在河南工业职业技术学院就读，否全日制学历</v>
      </c>
    </row>
    <row r="4772" spans="1:9">
      <c r="A4772" s="1" t="str">
        <f>"411527200302206030"</f>
        <v>411527200302206030</v>
      </c>
      <c r="B4772" s="1" t="str">
        <f t="shared" ref="B4772:B4775" si="2359">"共青团员"</f>
        <v>共青团员</v>
      </c>
      <c r="C4772" s="1" t="str">
        <f>"专科"</f>
        <v>专科</v>
      </c>
      <c r="D4772" s="1" t="str">
        <f>"20240701"</f>
        <v>20240701</v>
      </c>
      <c r="E4772" s="1" t="str">
        <f>"河南质量工程职业学院"</f>
        <v>河南质量工程职业学院</v>
      </c>
      <c r="F4772" s="1" t="str">
        <f>"物联网应用技术"</f>
        <v>物联网应用技术</v>
      </c>
      <c r="G4772" s="1" t="str">
        <f>"河南省淮滨县邓湾乡龙岗村六组"</f>
        <v>河南省淮滨县邓湾乡龙岗村六组</v>
      </c>
      <c r="H4772" s="1" t="str">
        <f t="shared" si="2357"/>
        <v>无</v>
      </c>
      <c r="I4772" s="1" t="str">
        <f>"202109-202407 河南质量工程职业学院机电学院物联网应用技术专业就读，是全日制学历"</f>
        <v>202109-202407 河南质量工程职业学院机电学院物联网应用技术专业就读，是全日制学历</v>
      </c>
    </row>
    <row r="4773" spans="1:9">
      <c r="A4773" s="1" t="str">
        <f>"411526199802042923"</f>
        <v>411526199802042923</v>
      </c>
      <c r="B4773" s="1" t="str">
        <f>"中共党员"</f>
        <v>中共党员</v>
      </c>
      <c r="C4773" s="1" t="str">
        <f t="shared" ref="C4773:C4781" si="2360">"本科"</f>
        <v>本科</v>
      </c>
      <c r="D4773" s="1" t="str">
        <f>"20220701"</f>
        <v>20220701</v>
      </c>
      <c r="E4773" s="1" t="str">
        <f>"郑州商学院"</f>
        <v>郑州商学院</v>
      </c>
      <c r="F4773" s="1" t="str">
        <f>"财务管理"</f>
        <v>财务管理</v>
      </c>
      <c r="G4773" s="1" t="str">
        <f>"河南省信阳市浉河区锦绣铭座"</f>
        <v>河南省信阳市浉河区锦绣铭座</v>
      </c>
      <c r="H4773" s="1" t="str">
        <f>"初级会计证书"</f>
        <v>初级会计证书</v>
      </c>
      <c r="I4773" s="1" t="str">
        <f>"20170901-20200701 河南牧业经济学院 国教院会计（专科全日制）
20200901-20220701 郑州商学院 工商学院 财务管理（本科全日制）
20220701-至今 待业"</f>
        <v>20170901-20200701 河南牧业经济学院 国教院会计（专科全日制）
20200901-20220701 郑州商学院 工商学院 财务管理（本科全日制）
20220701-至今 待业</v>
      </c>
    </row>
    <row r="4774" spans="1:9">
      <c r="A4774" s="1" t="str">
        <f>"411081199812084550"</f>
        <v>411081199812084550</v>
      </c>
      <c r="B4774" s="1" t="str">
        <f t="shared" si="2359"/>
        <v>共青团员</v>
      </c>
      <c r="C4774" s="1" t="str">
        <f t="shared" si="2360"/>
        <v>本科</v>
      </c>
      <c r="D4774" s="1" t="str">
        <f>"20210701"</f>
        <v>20210701</v>
      </c>
      <c r="E4774" s="1" t="str">
        <f>"河南城建学院"</f>
        <v>河南城建学院</v>
      </c>
      <c r="F4774" s="1" t="str">
        <f>"安全工程"</f>
        <v>安全工程</v>
      </c>
      <c r="G4774" s="1" t="str">
        <f>"河南省许昌市禹州市郭连乡张涧村8组"</f>
        <v>河南省许昌市禹州市郭连乡张涧村8组</v>
      </c>
      <c r="H4774" s="1" t="str">
        <f t="shared" ref="H4774:H4783" si="2361">"无"</f>
        <v>无</v>
      </c>
      <c r="I4774" s="1" t="str">
        <f>"2013年9月——2016年6月 禹州市第二高级中学 高中全日制
2016年9月——2017年6月 禹州市高级中学     高中（复读）全日制
2017年9月——2021年7月 河南城建学院 市政与环境工程学院  安全工程专业 全日制
2021年8月——2021年9月 中交第三航务工程局交建分公司从事安全员工作
2021年10月——至今     待业"</f>
        <v>2013年9月——2016年6月 禹州市第二高级中学 高中全日制
2016年9月——2017年6月 禹州市高级中学     高中（复读）全日制
2017年9月——2021年7月 河南城建学院 市政与环境工程学院  安全工程专业 全日制
2021年8月——2021年9月 中交第三航务工程局交建分公司从事安全员工作
2021年10月——至今     待业</v>
      </c>
    </row>
    <row r="4775" spans="1:9">
      <c r="A4775" s="1" t="str">
        <f>"411326200108053643"</f>
        <v>411326200108053643</v>
      </c>
      <c r="B4775" s="1" t="str">
        <f t="shared" si="2359"/>
        <v>共青团员</v>
      </c>
      <c r="C4775" s="1" t="str">
        <f t="shared" si="2360"/>
        <v>本科</v>
      </c>
      <c r="D4775" s="1" t="str">
        <f>"20240701"</f>
        <v>20240701</v>
      </c>
      <c r="E4775" s="1" t="str">
        <f>"黄河交通学院"</f>
        <v>黄河交通学院</v>
      </c>
      <c r="F4775" s="1" t="str">
        <f>"思想政治教育"</f>
        <v>思想政治教育</v>
      </c>
      <c r="G4775" s="1" t="str">
        <f>"河南省南阳市中州西路民进学校"</f>
        <v>河南省南阳市中州西路民进学校</v>
      </c>
      <c r="H4775" s="1" t="str">
        <f t="shared" si="2361"/>
        <v>无</v>
      </c>
      <c r="I4775" s="1" t="str">
        <f>"202009-202407 黄河交通学院  马克思主义学院 思想政治教育专业 全日制学历 就读；
202409-至今 南阳市民进学校 任教"</f>
        <v>202009-202407 黄河交通学院  马克思主义学院 思想政治教育专业 全日制学历 就读；
202409-至今 南阳市民进学校 任教</v>
      </c>
    </row>
    <row r="4776" spans="1:9">
      <c r="A4776" s="1" t="str">
        <f>"411325200307232023"</f>
        <v>411325200307232023</v>
      </c>
      <c r="B4776" s="1" t="str">
        <f>"群众"</f>
        <v>群众</v>
      </c>
      <c r="C4776" s="1" t="str">
        <f t="shared" si="2360"/>
        <v>本科</v>
      </c>
      <c r="D4776" s="1" t="str">
        <f>"20250608"</f>
        <v>20250608</v>
      </c>
      <c r="E4776" s="1" t="str">
        <f>"郑州轻工业大学"</f>
        <v>郑州轻工业大学</v>
      </c>
      <c r="F4776" s="1" t="str">
        <f>"会计学"</f>
        <v>会计学</v>
      </c>
      <c r="G4776" s="1" t="str">
        <f>"河南省南阳市内乡县师岗镇八里岗村"</f>
        <v>河南省南阳市内乡县师岗镇八里岗村</v>
      </c>
      <c r="H4776" s="1" t="str">
        <f>"初级会计资格证书"</f>
        <v>初级会计资格证书</v>
      </c>
      <c r="I4776" s="1" t="str">
        <f>"2021年09-2025年06，郑州轻工业大学就读，经济与管理学院会计学专业，为全日制学历。"</f>
        <v>2021年09-2025年06，郑州轻工业大学就读，经济与管理学院会计学专业，为全日制学历。</v>
      </c>
    </row>
    <row r="4777" spans="1:9">
      <c r="A4777" s="1" t="str">
        <f>"411327199811203755"</f>
        <v>411327199811203755</v>
      </c>
      <c r="B4777" s="1" t="str">
        <f>"中共党员"</f>
        <v>中共党员</v>
      </c>
      <c r="C4777" s="1" t="str">
        <f t="shared" si="2360"/>
        <v>本科</v>
      </c>
      <c r="D4777" s="1" t="str">
        <f>"20200701"</f>
        <v>20200701</v>
      </c>
      <c r="E4777" s="1" t="str">
        <f>"郑州升达经贸管理学院"</f>
        <v>郑州升达经贸管理学院</v>
      </c>
      <c r="F4777" s="1" t="str">
        <f>"计算机科学与技术"</f>
        <v>计算机科学与技术</v>
      </c>
      <c r="G4777" s="1" t="str">
        <f>"河南省南阳市内乡县桃溪镇桃溪村"</f>
        <v>河南省南阳市内乡县桃溪镇桃溪村</v>
      </c>
      <c r="H4777" s="1" t="str">
        <f t="shared" si="2361"/>
        <v>无</v>
      </c>
      <c r="I4777" s="1" t="str">
        <f>"201609-202007 郑州升达经贸管理学院 信息工程系计算机科学与技术专业就读 全日制学历
202008-202312 桃溪镇人民政府 政府购岗
202312-202412 南阳内邓高速公路有限公司 收费员
202412至今 南阳方枣高速公路有限公司 收费员
"</f>
        <v>201609-202007 郑州升达经贸管理学院 信息工程系计算机科学与技术专业就读 全日制学历
202008-202312 桃溪镇人民政府 政府购岗
202312-202412 南阳内邓高速公路有限公司 收费员
202412至今 南阳方枣高速公路有限公司 收费员
</v>
      </c>
    </row>
    <row r="4778" spans="1:9">
      <c r="A4778" s="1" t="str">
        <f>"410881200112303028"</f>
        <v>410881200112303028</v>
      </c>
      <c r="B4778" s="1" t="str">
        <f t="shared" ref="B4778:B4782" si="2362">"共青团员"</f>
        <v>共青团员</v>
      </c>
      <c r="C4778" s="1" t="str">
        <f t="shared" si="2360"/>
        <v>本科</v>
      </c>
      <c r="D4778" s="1" t="str">
        <f>"20240625"</f>
        <v>20240625</v>
      </c>
      <c r="E4778" s="1" t="str">
        <f>"郑州西亚斯学院"</f>
        <v>郑州西亚斯学院</v>
      </c>
      <c r="F4778" s="1" t="str">
        <f>"人工智能"</f>
        <v>人工智能</v>
      </c>
      <c r="G4778" s="1" t="str">
        <f>"河南省济源市五龙口镇北官庄村"</f>
        <v>河南省济源市五龙口镇北官庄村</v>
      </c>
      <c r="H4778" s="1" t="str">
        <f t="shared" si="2361"/>
        <v>无</v>
      </c>
      <c r="I4778" s="1" t="str">
        <f>"202009-202406郑州西亚斯学院电信与智能制造学院人工智能专业全日制学历"</f>
        <v>202009-202406郑州西亚斯学院电信与智能制造学院人工智能专业全日制学历</v>
      </c>
    </row>
    <row r="4779" spans="1:9">
      <c r="A4779" s="1" t="str">
        <f>"411628200109200616"</f>
        <v>411628200109200616</v>
      </c>
      <c r="B4779" s="1" t="str">
        <f t="shared" si="2362"/>
        <v>共青团员</v>
      </c>
      <c r="C4779" s="1" t="str">
        <f t="shared" si="2360"/>
        <v>本科</v>
      </c>
      <c r="D4779" s="1" t="str">
        <f>"20240601"</f>
        <v>20240601</v>
      </c>
      <c r="E4779" s="1" t="str">
        <f>"郑州工业应用技术学院"</f>
        <v>郑州工业应用技术学院</v>
      </c>
      <c r="F4779" s="1" t="str">
        <f>"电子信息工程"</f>
        <v>电子信息工程</v>
      </c>
      <c r="G4779" s="1" t="str">
        <f>"河南省周口市鹿邑县"</f>
        <v>河南省周口市鹿邑县</v>
      </c>
      <c r="H4779" s="1" t="str">
        <f t="shared" si="2361"/>
        <v>无</v>
      </c>
      <c r="I4779" s="1" t="str">
        <f>"201909-202206 郑州电力高等专科学校 能源与动力工程学院 火电厂集控运行 全日制
202209-202406 郑州工业应用技术学院 信息工程学院 电子信息工程 全日制"</f>
        <v>201909-202206 郑州电力高等专科学校 能源与动力工程学院 火电厂集控运行 全日制
202209-202406 郑州工业应用技术学院 信息工程学院 电子信息工程 全日制</v>
      </c>
    </row>
    <row r="4780" spans="1:9">
      <c r="A4780" s="1" t="str">
        <f>"411327200309144548"</f>
        <v>411327200309144548</v>
      </c>
      <c r="B4780" s="1" t="str">
        <f t="shared" si="2362"/>
        <v>共青团员</v>
      </c>
      <c r="C4780" s="1" t="str">
        <f t="shared" si="2360"/>
        <v>本科</v>
      </c>
      <c r="D4780" s="1" t="str">
        <f>"20250701"</f>
        <v>20250701</v>
      </c>
      <c r="E4780" s="1" t="str">
        <f>"信阳师范大学"</f>
        <v>信阳师范大学</v>
      </c>
      <c r="F4780" s="1" t="str">
        <f>"汉语言文学"</f>
        <v>汉语言文学</v>
      </c>
      <c r="G4780" s="1" t="str">
        <f>"河南省南阳市内乡县赵店乡聂岗村孙南27号"</f>
        <v>河南省南阳市内乡县赵店乡聂岗村孙南27号</v>
      </c>
      <c r="H4780" s="1" t="str">
        <f t="shared" si="2361"/>
        <v>无</v>
      </c>
      <c r="I4780" s="1" t="str">
        <f>"202109-202507 信阳师范大学文学院汉语言文学专业就读，全日制"</f>
        <v>202109-202507 信阳师范大学文学院汉语言文学专业就读，全日制</v>
      </c>
    </row>
    <row r="4781" spans="1:9">
      <c r="A4781" s="1" t="str">
        <f>"411527199902020031"</f>
        <v>411527199902020031</v>
      </c>
      <c r="B4781" s="1" t="str">
        <f t="shared" si="2362"/>
        <v>共青团员</v>
      </c>
      <c r="C4781" s="1" t="str">
        <f t="shared" si="2360"/>
        <v>本科</v>
      </c>
      <c r="D4781" s="1" t="str">
        <f>"20220601"</f>
        <v>20220601</v>
      </c>
      <c r="E4781" s="1" t="str">
        <f>"郑州商学院"</f>
        <v>郑州商学院</v>
      </c>
      <c r="F4781" s="1" t="str">
        <f>"保险学"</f>
        <v>保险学</v>
      </c>
      <c r="G4781" s="1" t="str">
        <f>"河南省信阳市淮滨县老教育局"</f>
        <v>河南省信阳市淮滨县老教育局</v>
      </c>
      <c r="H4781" s="1" t="str">
        <f t="shared" si="2361"/>
        <v>无</v>
      </c>
      <c r="I4781" s="1" t="str">
        <f>"201809-202206  郑州商学院金融与贸易学院保险学就读 全日制学历
202209-202409  服役于中国人民解放军山西省军区
202409-202507 在河南省信阳市淮滨县待业"</f>
        <v>201809-202206  郑州商学院金融与贸易学院保险学就读 全日制学历
202209-202409  服役于中国人民解放军山西省军区
202409-202507 在河南省信阳市淮滨县待业</v>
      </c>
    </row>
    <row r="4782" spans="1:9">
      <c r="A4782" s="1" t="str">
        <f>"411326200212085813"</f>
        <v>411326200212085813</v>
      </c>
      <c r="B4782" s="1" t="str">
        <f t="shared" si="2362"/>
        <v>共青团员</v>
      </c>
      <c r="C4782" s="1" t="str">
        <f>"专科"</f>
        <v>专科</v>
      </c>
      <c r="D4782" s="1" t="str">
        <f>"20240701"</f>
        <v>20240701</v>
      </c>
      <c r="E4782" s="1" t="str">
        <f>"南阳职业学院"</f>
        <v>南阳职业学院</v>
      </c>
      <c r="F4782" s="1" t="str">
        <f>"建设工程管理"</f>
        <v>建设工程管理</v>
      </c>
      <c r="G4782" s="1" t="str">
        <f>"河南省南阳市南召县乔端镇马别湾村上河组6号"</f>
        <v>河南省南阳市南召县乔端镇马别湾村上河组6号</v>
      </c>
      <c r="H4782" s="1" t="str">
        <f t="shared" si="2361"/>
        <v>无</v>
      </c>
      <c r="I4782" s="1" t="str">
        <f>"202209-202407 南阳职业学院就读建设工程管理专业，是全日制学历；
202411-202507南阳宛美长颈鹿旅游发展有限公司；"</f>
        <v>202209-202407 南阳职业学院就读建设工程管理专业，是全日制学历；
202411-202507南阳宛美长颈鹿旅游发展有限公司；</v>
      </c>
    </row>
    <row r="4783" spans="1:9">
      <c r="A4783" s="1" t="str">
        <f>"612427200204090014"</f>
        <v>612427200204090014</v>
      </c>
      <c r="B4783" s="1" t="str">
        <f>"中共预备党员"</f>
        <v>中共预备党员</v>
      </c>
      <c r="C4783" s="1" t="str">
        <f t="shared" ref="C4783:C4790" si="2363">"本科"</f>
        <v>本科</v>
      </c>
      <c r="D4783" s="1" t="str">
        <f>"20250610"</f>
        <v>20250610</v>
      </c>
      <c r="E4783" s="1" t="str">
        <f>"郑州工商学院"</f>
        <v>郑州工商学院</v>
      </c>
      <c r="F4783" s="1" t="str">
        <f>"电子信息工程"</f>
        <v>电子信息工程</v>
      </c>
      <c r="G4783" s="1" t="str">
        <f>"河南省南阳市镇平县玉都街道校场路北段"</f>
        <v>河南省南阳市镇平县玉都街道校场路北段</v>
      </c>
      <c r="H4783" s="1" t="str">
        <f t="shared" si="2361"/>
        <v>无</v>
      </c>
      <c r="I4783" s="1" t="str">
        <f>"202109-202506 郑州工商学院信息工程学院电子信息工程专业就读，全日制本科学历。
202506-至今 待业于河南省镇平县"</f>
        <v>202109-202506 郑州工商学院信息工程学院电子信息工程专业就读，全日制本科学历。
202506-至今 待业于河南省镇平县</v>
      </c>
    </row>
    <row r="4784" spans="1:9">
      <c r="A4784" s="1" t="str">
        <f>"410482199612260051"</f>
        <v>410482199612260051</v>
      </c>
      <c r="B4784" s="1" t="str">
        <f t="shared" ref="B4784:B4788" si="2364">"共青团员"</f>
        <v>共青团员</v>
      </c>
      <c r="C4784" s="1" t="str">
        <f t="shared" si="2363"/>
        <v>本科</v>
      </c>
      <c r="D4784" s="1" t="str">
        <f>"20200701"</f>
        <v>20200701</v>
      </c>
      <c r="E4784" s="1" t="str">
        <f>"信阳农林学院"</f>
        <v>信阳农林学院</v>
      </c>
      <c r="F4784" s="1" t="str">
        <f>"园林"</f>
        <v>园林</v>
      </c>
      <c r="G4784" s="1" t="str">
        <f>"河南省平顶山市汝州市上宅公馆"</f>
        <v>河南省平顶山市汝州市上宅公馆</v>
      </c>
      <c r="H4784" s="1" t="str">
        <f>"初级助理园林工程师"</f>
        <v>初级助理园林工程师</v>
      </c>
      <c r="I4784" s="1" t="str">
        <f>"201509-201807河南农业职业学院就读林学院园林规划与设计专业，全日制；201809-202007 信阳农林学院就读林学院园林专业，全日制；202007-202012待业；202012-202107中环洁环境有限公司任职绿化养护技术员；202107-202111碧桂园生活物业有限公司任职绿化主管；202111-202303万科物业郑州分公司任职绿化专业经理；202303-202507待业"</f>
        <v>201509-201807河南农业职业学院就读林学院园林规划与设计专业，全日制；201809-202007 信阳农林学院就读林学院园林专业，全日制；202007-202012待业；202012-202107中环洁环境有限公司任职绿化养护技术员；202107-202111碧桂园生活物业有限公司任职绿化主管；202111-202303万科物业郑州分公司任职绿化专业经理；202303-202507待业</v>
      </c>
    </row>
    <row r="4785" spans="1:9">
      <c r="A4785" s="1" t="str">
        <f>"410311199004236057"</f>
        <v>410311199004236057</v>
      </c>
      <c r="B4785" s="1" t="str">
        <f t="shared" ref="B4785:B4789" si="2365">"群众"</f>
        <v>群众</v>
      </c>
      <c r="C4785" s="1" t="str">
        <f>"专科"</f>
        <v>专科</v>
      </c>
      <c r="D4785" s="1" t="str">
        <f>"20140108"</f>
        <v>20140108</v>
      </c>
      <c r="E4785" s="1" t="str">
        <f>"四川大学"</f>
        <v>四川大学</v>
      </c>
      <c r="F4785" s="1" t="str">
        <f>"土木工程"</f>
        <v>土木工程</v>
      </c>
      <c r="G4785" s="1" t="str">
        <f>"河南省洛阳市涧西区三山村十组11号"</f>
        <v>河南省洛阳市涧西区三山村十组11号</v>
      </c>
      <c r="H4785" s="1" t="str">
        <f t="shared" ref="H4785:H4794" si="2366">"无"</f>
        <v>无</v>
      </c>
      <c r="I4785" s="1" t="str">
        <f>"200712-200912  参军入伍
201011-202205  中铝洛阳铜业有限公司压延工班长
201109-201401  四川大学土建大类（土木工程）专科
202105-202205  三方公司驻交警支队道路监控、信号灯运维
202310-202412  洛龙区纪委监委党风政风监督室工作人员（洛阳市众达人力资源公司劳务派遣）
202501至今       洛阳市纪检监察宣传教育基地洛龙区看护队员（洛阳市众达人力资源公司劳务派遣）"</f>
        <v>200712-200912  参军入伍
201011-202205  中铝洛阳铜业有限公司压延工班长
201109-201401  四川大学土建大类（土木工程）专科
202105-202205  三方公司驻交警支队道路监控、信号灯运维
202310-202412  洛龙区纪委监委党风政风监督室工作人员（洛阳市众达人力资源公司劳务派遣）
202501至今       洛阳市纪检监察宣传教育基地洛龙区看护队员（洛阳市众达人力资源公司劳务派遣）</v>
      </c>
    </row>
    <row r="4786" spans="1:9">
      <c r="A4786" s="1" t="str">
        <f>"411327199701010311"</f>
        <v>411327199701010311</v>
      </c>
      <c r="B4786" s="1" t="str">
        <f t="shared" si="2365"/>
        <v>群众</v>
      </c>
      <c r="C4786" s="1" t="str">
        <f t="shared" si="2363"/>
        <v>本科</v>
      </c>
      <c r="D4786" s="1" t="str">
        <f>"20190615"</f>
        <v>20190615</v>
      </c>
      <c r="E4786" s="1" t="str">
        <f>"衢州许愿"</f>
        <v>衢州许愿</v>
      </c>
      <c r="F4786" s="1" t="str">
        <f>"土木工程"</f>
        <v>土木工程</v>
      </c>
      <c r="G4786" s="1" t="str">
        <f>"河南省南阳市新野县王庄镇"</f>
        <v>河南省南阳市新野县王庄镇</v>
      </c>
      <c r="H4786" s="1" t="str">
        <f t="shared" si="2366"/>
        <v>无</v>
      </c>
      <c r="I4786" s="1" t="str">
        <f>"201509-201906 衢州学院建筑学院土木工程专业就读，全日制学历
201908-202204 中铁二十四局浙江分公司就业
202207-202507 新野牧原种猪育种有限公司就业
"</f>
        <v>201509-201906 衢州学院建筑学院土木工程专业就读，全日制学历
201908-202204 中铁二十四局浙江分公司就业
202207-202507 新野牧原种猪育种有限公司就业
</v>
      </c>
    </row>
    <row r="4787" spans="1:9">
      <c r="A4787" s="1" t="str">
        <f>"411327200311080344"</f>
        <v>411327200311080344</v>
      </c>
      <c r="B4787" s="1" t="str">
        <f t="shared" si="2364"/>
        <v>共青团员</v>
      </c>
      <c r="C4787" s="1" t="str">
        <f t="shared" si="2363"/>
        <v>本科</v>
      </c>
      <c r="D4787" s="1" t="str">
        <f>"20250604"</f>
        <v>20250604</v>
      </c>
      <c r="E4787" s="1" t="str">
        <f>"信阳农林学院"</f>
        <v>信阳农林学院</v>
      </c>
      <c r="F4787" s="1" t="str">
        <f>"酒店管理"</f>
        <v>酒店管理</v>
      </c>
      <c r="G4787" s="1" t="str">
        <f>"河南省南阳市内乡县大桥乡谢营村"</f>
        <v>河南省南阳市内乡县大桥乡谢营村</v>
      </c>
      <c r="H4787" s="1" t="str">
        <f t="shared" si="2366"/>
        <v>无</v>
      </c>
      <c r="I4787" s="1" t="str">
        <f>"202109-202506信阳农林学院旅游学院酒店管理专业就读全日制学历"</f>
        <v>202109-202506信阳农林学院旅游学院酒店管理专业就读全日制学历</v>
      </c>
    </row>
    <row r="4788" spans="1:9">
      <c r="A4788" s="1" t="str">
        <f>"411327200109241124"</f>
        <v>411327200109241124</v>
      </c>
      <c r="B4788" s="1" t="str">
        <f t="shared" si="2364"/>
        <v>共青团员</v>
      </c>
      <c r="C4788" s="1" t="str">
        <f t="shared" si="2363"/>
        <v>本科</v>
      </c>
      <c r="D4788" s="1" t="str">
        <f>"2024年6月"</f>
        <v>2024年6月</v>
      </c>
      <c r="E4788" s="1" t="str">
        <f>"中原科技学院"</f>
        <v>中原科技学院</v>
      </c>
      <c r="F4788" s="1" t="str">
        <f>"小学教育"</f>
        <v>小学教育</v>
      </c>
      <c r="G4788" s="1" t="str">
        <f>"河南省南阳市内乡县利民路18巷1号"</f>
        <v>河南省南阳市内乡县利民路18巷1号</v>
      </c>
      <c r="H4788" s="1" t="str">
        <f t="shared" si="2366"/>
        <v>无</v>
      </c>
      <c r="I4788" s="1" t="str">
        <f>"201909-202206  郑州理工职业学院 学前教育就读  全日制专科
202209-202406  中原科技学院        小学教育就读  全日制本科"</f>
        <v>201909-202206  郑州理工职业学院 学前教育就读  全日制专科
202209-202406  中原科技学院        小学教育就读  全日制本科</v>
      </c>
    </row>
    <row r="4789" spans="1:9">
      <c r="A4789" s="1" t="str">
        <f>"411327200110132531"</f>
        <v>411327200110132531</v>
      </c>
      <c r="B4789" s="1" t="str">
        <f t="shared" si="2365"/>
        <v>群众</v>
      </c>
      <c r="C4789" s="1" t="str">
        <f t="shared" si="2363"/>
        <v>本科</v>
      </c>
      <c r="D4789" s="1" t="str">
        <f>"202307"</f>
        <v>202307</v>
      </c>
      <c r="E4789" s="1" t="str">
        <f>"郑州科技学院"</f>
        <v>郑州科技学院</v>
      </c>
      <c r="F4789" s="1" t="str">
        <f>"电子商务"</f>
        <v>电子商务</v>
      </c>
      <c r="G4789" s="1" t="str">
        <f>"河南省南阳市内乡县王店镇"</f>
        <v>河南省南阳市内乡县王店镇</v>
      </c>
      <c r="H4789" s="1" t="str">
        <f t="shared" si="2366"/>
        <v>无</v>
      </c>
      <c r="I4789" s="1" t="str">
        <f>"201909-202106河南财政金融学院 国际教育学院 就读
202109-202306郑州科技学院   财经学院 就读
202306-202312 正阳牧原农牧有限公司 员工"</f>
        <v>201909-202106河南财政金融学院 国际教育学院 就读
202109-202306郑州科技学院   财经学院 就读
202306-202312 正阳牧原农牧有限公司 员工</v>
      </c>
    </row>
    <row r="4790" spans="1:9">
      <c r="A4790" s="1" t="str">
        <f>"411330200305262529"</f>
        <v>411330200305262529</v>
      </c>
      <c r="B4790" s="1" t="str">
        <f t="shared" ref="B4790:B4794" si="2367">"共青团员"</f>
        <v>共青团员</v>
      </c>
      <c r="C4790" s="1" t="str">
        <f t="shared" si="2363"/>
        <v>本科</v>
      </c>
      <c r="D4790" s="1" t="str">
        <f>"2025-06-30"</f>
        <v>2025-06-30</v>
      </c>
      <c r="E4790" s="1" t="str">
        <f>"河南农业大学"</f>
        <v>河南农业大学</v>
      </c>
      <c r="F4790" s="1" t="str">
        <f>"食品科学与工程（烟草工程）"</f>
        <v>食品科学与工程（烟草工程）</v>
      </c>
      <c r="G4790" s="1" t="str">
        <f>"河南省南阳市西峡县丁河镇宣沟村"</f>
        <v>河南省南阳市西峡县丁河镇宣沟村</v>
      </c>
      <c r="H4790" s="1" t="str">
        <f t="shared" si="2366"/>
        <v>无</v>
      </c>
      <c r="I4790" s="1" t="str">
        <f>"2021.09-2025.06 河南农业大学 烟草学院 食品科学与工程（烟草工程）专业 就读 全日制本科"</f>
        <v>2021.09-2025.06 河南农业大学 烟草学院 食品科学与工程（烟草工程）专业 就读 全日制本科</v>
      </c>
    </row>
    <row r="4791" spans="1:9">
      <c r="A4791" s="1" t="str">
        <f>"411327199710192938"</f>
        <v>411327199710192938</v>
      </c>
      <c r="B4791" s="1" t="str">
        <f t="shared" ref="B4791:B4799" si="2368">"群众"</f>
        <v>群众</v>
      </c>
      <c r="C4791" s="1" t="str">
        <f>"专科"</f>
        <v>专科</v>
      </c>
      <c r="D4791" s="1" t="str">
        <f>"20250701"</f>
        <v>20250701</v>
      </c>
      <c r="E4791" s="1" t="str">
        <f>"郑州商贸旅游职业学院"</f>
        <v>郑州商贸旅游职业学院</v>
      </c>
      <c r="F4791" s="1" t="str">
        <f>"工程造价"</f>
        <v>工程造价</v>
      </c>
      <c r="G4791" s="1" t="str">
        <f>"内乡县湍东镇梨苑山庄"</f>
        <v>内乡县湍东镇梨苑山庄</v>
      </c>
      <c r="H4791" s="1" t="str">
        <f t="shared" si="2366"/>
        <v>无</v>
      </c>
      <c r="I4791" s="1" t="str">
        <f>"202303-202507 郑州商贸旅游职业学院 工程造价专业就读，否全日制"</f>
        <v>202303-202507 郑州商贸旅游职业学院 工程造价专业就读，否全日制</v>
      </c>
    </row>
    <row r="4792" spans="1:9">
      <c r="A4792" s="1" t="str">
        <f>"411324200301205845"</f>
        <v>411324200301205845</v>
      </c>
      <c r="B4792" s="1" t="str">
        <f t="shared" si="2367"/>
        <v>共青团员</v>
      </c>
      <c r="C4792" s="1" t="str">
        <f>"专科"</f>
        <v>专科</v>
      </c>
      <c r="D4792" s="1" t="str">
        <f>"2024.07.01"</f>
        <v>2024.07.01</v>
      </c>
      <c r="E4792" s="1" t="str">
        <f>"郑州幼儿师范高等专科学校"</f>
        <v>郑州幼儿师范高等专科学校</v>
      </c>
      <c r="F4792" s="1" t="str">
        <f>"学前教育"</f>
        <v>学前教育</v>
      </c>
      <c r="G4792" s="1" t="str">
        <f>"河南省南阳市卧龙区王村乡王村祥盛街"</f>
        <v>河南省南阳市卧龙区王村乡王村祥盛街</v>
      </c>
      <c r="H4792" s="1" t="str">
        <f t="shared" si="2366"/>
        <v>无</v>
      </c>
      <c r="I4792" s="1" t="str">
        <f>"202109-202407 郑州幼儿师范高等专科学校学前教育专业就读，是全日制学历"</f>
        <v>202109-202407 郑州幼儿师范高等专科学校学前教育专业就读，是全日制学历</v>
      </c>
    </row>
    <row r="4793" spans="1:9">
      <c r="A4793" s="1" t="str">
        <f>"411327200103053915"</f>
        <v>411327200103053915</v>
      </c>
      <c r="B4793" s="1" t="str">
        <f t="shared" si="2367"/>
        <v>共青团员</v>
      </c>
      <c r="C4793" s="1" t="str">
        <f t="shared" ref="C4793:C4802" si="2369">"本科"</f>
        <v>本科</v>
      </c>
      <c r="D4793" s="1" t="str">
        <f>"20240701"</f>
        <v>20240701</v>
      </c>
      <c r="E4793" s="1" t="str">
        <f>"郑州工程技术学院"</f>
        <v>郑州工程技术学院</v>
      </c>
      <c r="F4793" s="1" t="str">
        <f>"土木工程"</f>
        <v>土木工程</v>
      </c>
      <c r="G4793" s="1" t="str">
        <f>"河南省南阳市内乡县乍曲乡"</f>
        <v>河南省南阳市内乡县乍曲乡</v>
      </c>
      <c r="H4793" s="1" t="str">
        <f t="shared" si="2366"/>
        <v>无</v>
      </c>
      <c r="I4793" s="1" t="str">
        <f>"202009-202407郑州工程技术学院土木工程学院全日制"</f>
        <v>202009-202407郑州工程技术学院土木工程学院全日制</v>
      </c>
    </row>
    <row r="4794" spans="1:9">
      <c r="A4794" s="1" t="str">
        <f>"412726199802267921"</f>
        <v>412726199802267921</v>
      </c>
      <c r="B4794" s="1" t="str">
        <f t="shared" si="2367"/>
        <v>共青团员</v>
      </c>
      <c r="C4794" s="1" t="str">
        <f>"硕士研究生"</f>
        <v>硕士研究生</v>
      </c>
      <c r="D4794" s="1" t="str">
        <f>"20240620"</f>
        <v>20240620</v>
      </c>
      <c r="E4794" s="1" t="str">
        <f>"南京财经大学"</f>
        <v>南京财经大学</v>
      </c>
      <c r="F4794" s="1" t="str">
        <f>"理论经济学"</f>
        <v>理论经济学</v>
      </c>
      <c r="G4794" s="1" t="str">
        <f>"河南省周口市郸城县汲冢镇"</f>
        <v>河南省周口市郸城县汲冢镇</v>
      </c>
      <c r="H4794" s="1" t="str">
        <f t="shared" si="2366"/>
        <v>无</v>
      </c>
      <c r="I4794" s="1" t="str">
        <f>"201309-201606  郸城县第一高级中学  全日制 就读；
201609-202008  郑州大学生物工程专业 全日制  就读；
202009-202108  居家备考研究生；
202109-202406  南京财经大学理论经济学专业 全日制  就读；
202406-202412  招商银行股份有限公司客户专员 工作；
202412至今 待业"</f>
        <v>201309-201606  郸城县第一高级中学  全日制 就读；
201609-202008  郑州大学生物工程专业 全日制  就读；
202009-202108  居家备考研究生；
202109-202406  南京财经大学理论经济学专业 全日制  就读；
202406-202412  招商银行股份有限公司客户专员 工作；
202412至今 待业</v>
      </c>
    </row>
    <row r="4795" spans="1:9">
      <c r="A4795" s="1" t="str">
        <f>"411327199810094526"</f>
        <v>411327199810094526</v>
      </c>
      <c r="B4795" s="1" t="str">
        <f t="shared" si="2368"/>
        <v>群众</v>
      </c>
      <c r="C4795" s="1" t="str">
        <f t="shared" si="2369"/>
        <v>本科</v>
      </c>
      <c r="D4795" s="1" t="str">
        <f>"20230701"</f>
        <v>20230701</v>
      </c>
      <c r="E4795" s="1" t="str">
        <f>"红河学院"</f>
        <v>红河学院</v>
      </c>
      <c r="F4795" s="1" t="str">
        <f>"英语"</f>
        <v>英语</v>
      </c>
      <c r="G4795" s="1" t="str">
        <f>"河南省南阳市内乡县赵店乡"</f>
        <v>河南省南阳市内乡县赵店乡</v>
      </c>
      <c r="H4795" s="1" t="str">
        <f>"初级茶艺师"</f>
        <v>初级茶艺师</v>
      </c>
      <c r="I4795" s="1" t="str">
        <f>"20190901-20230701 云南省红河州红河学院国际语言文化学院英语
                                  全日制本科就读
20230702-20240304 河南南阳内乡待业
20240305-20240830 南阳市第十九中初中英语老师兼班主任
20240909-20250215 河南南阳内乡待业
20250216-至今 内乡县赤眉镇庙沟小学 四年级班主任以及老师"</f>
        <v>20190901-20230701 云南省红河州红河学院国际语言文化学院英语
                                  全日制本科就读
20230702-20240304 河南南阳内乡待业
20240305-20240830 南阳市第十九中初中英语老师兼班主任
20240909-20250215 河南南阳内乡待业
20250216-至今 内乡县赤眉镇庙沟小学 四年级班主任以及老师</v>
      </c>
    </row>
    <row r="4796" spans="1:9">
      <c r="A4796" s="1" t="str">
        <f>"411323199708020023"</f>
        <v>411323199708020023</v>
      </c>
      <c r="B4796" s="1" t="str">
        <f t="shared" si="2368"/>
        <v>群众</v>
      </c>
      <c r="C4796" s="1" t="str">
        <f t="shared" si="2369"/>
        <v>本科</v>
      </c>
      <c r="D4796" s="1" t="str">
        <f>"2020-07-01"</f>
        <v>2020-07-01</v>
      </c>
      <c r="E4796" s="1" t="str">
        <f>"南阳师范学院"</f>
        <v>南阳师范学院</v>
      </c>
      <c r="F4796" s="1" t="str">
        <f>"环境设计"</f>
        <v>环境设计</v>
      </c>
      <c r="G4796" s="1" t="str">
        <f>"河南省南阳市淅川县宏达小区"</f>
        <v>河南省南阳市淅川县宏达小区</v>
      </c>
      <c r="H4796" s="1" t="str">
        <f>"设计人员三级证书"</f>
        <v>设计人员三级证书</v>
      </c>
      <c r="I4796" s="1" t="str">
        <f>"2015.09-2018.07焦作师范高等专科学校 艺术设计专业
2018.09-2020.07南阳师范学院 环境设计专业
2020.07-2021.03南阳待业
2021.3.1-2021.12.1北京中公教育科技有限公司
2022.01-2022.03北京尚德在线教育有限公司
2022.03-2024.12淅川翰蒙教育有限公司
2024.12-至今淅川县待业"</f>
        <v>2015.09-2018.07焦作师范高等专科学校 艺术设计专业
2018.09-2020.07南阳师范学院 环境设计专业
2020.07-2021.03南阳待业
2021.3.1-2021.12.1北京中公教育科技有限公司
2022.01-2022.03北京尚德在线教育有限公司
2022.03-2024.12淅川翰蒙教育有限公司
2024.12-至今淅川县待业</v>
      </c>
    </row>
    <row r="4797" spans="1:9">
      <c r="A4797" s="1" t="str">
        <f>"41132720010923002X"</f>
        <v>41132720010923002X</v>
      </c>
      <c r="B4797" s="1" t="str">
        <f t="shared" si="2368"/>
        <v>群众</v>
      </c>
      <c r="C4797" s="1" t="str">
        <f t="shared" si="2369"/>
        <v>本科</v>
      </c>
      <c r="D4797" s="1" t="str">
        <f>"20140607"</f>
        <v>20140607</v>
      </c>
      <c r="E4797" s="1" t="str">
        <f>"商丘师范学院"</f>
        <v>商丘师范学院</v>
      </c>
      <c r="F4797" s="1" t="str">
        <f>"学前教育"</f>
        <v>学前教育</v>
      </c>
      <c r="G4797" s="1" t="str">
        <f>"河南省南阳市内乡县湍东镇菊谭大街190号"</f>
        <v>河南省南阳市内乡县湍东镇菊谭大街190号</v>
      </c>
      <c r="H4797" s="1" t="str">
        <f t="shared" ref="H4797:H4806" si="2370">"无"</f>
        <v>无</v>
      </c>
      <c r="I4797" s="1" t="str">
        <f>"202009-201406在商丘师范学院国际教育学院学前教育专业就读，全日制学历；201406-201507在内乡县待业"</f>
        <v>202009-201406在商丘师范学院国际教育学院学前教育专业就读，全日制学历；201406-201507在内乡县待业</v>
      </c>
    </row>
    <row r="4798" spans="1:9">
      <c r="A4798" s="1" t="str">
        <f>"411321200111110029"</f>
        <v>411321200111110029</v>
      </c>
      <c r="B4798" s="1" t="str">
        <f t="shared" si="2368"/>
        <v>群众</v>
      </c>
      <c r="C4798" s="1" t="str">
        <f t="shared" si="2369"/>
        <v>本科</v>
      </c>
      <c r="D4798" s="1" t="str">
        <f>"20230616"</f>
        <v>20230616</v>
      </c>
      <c r="E4798" s="1" t="str">
        <f>"南京审计大学金审学院"</f>
        <v>南京审计大学金审学院</v>
      </c>
      <c r="F4798" s="1" t="str">
        <f>"资产评估"</f>
        <v>资产评估</v>
      </c>
      <c r="G4798" s="1" t="str">
        <f>"河南省南阳市桐柏县城关镇"</f>
        <v>河南省南阳市桐柏县城关镇</v>
      </c>
      <c r="H4798" s="1" t="str">
        <f t="shared" si="2370"/>
        <v>无</v>
      </c>
      <c r="I4798" s="1" t="str">
        <f>"201909-202306南京审计大学金审学院 管理学院 资产评估专业就读 全日制 202307-至今待业"</f>
        <v>201909-202306南京审计大学金审学院 管理学院 资产评估专业就读 全日制 202307-至今待业</v>
      </c>
    </row>
    <row r="4799" spans="1:9">
      <c r="A4799" s="1" t="str">
        <f>"422802199510206015"</f>
        <v>422802199510206015</v>
      </c>
      <c r="B4799" s="1" t="str">
        <f t="shared" si="2368"/>
        <v>群众</v>
      </c>
      <c r="C4799" s="1" t="str">
        <f t="shared" si="2369"/>
        <v>本科</v>
      </c>
      <c r="D4799" s="1" t="str">
        <f>"20200722"</f>
        <v>20200722</v>
      </c>
      <c r="E4799" s="1" t="str">
        <f>"上海电机学院"</f>
        <v>上海电机学院</v>
      </c>
      <c r="F4799" s="1" t="str">
        <f>"机械电子工程"</f>
        <v>机械电子工程</v>
      </c>
      <c r="G4799" s="1" t="str">
        <f>"湖北省恩施州利川市南坪乡"</f>
        <v>湖北省恩施州利川市南坪乡</v>
      </c>
      <c r="H4799" s="1" t="str">
        <f t="shared" si="2370"/>
        <v>无</v>
      </c>
      <c r="I4799" s="1" t="str">
        <f>"201509-202007 上海电机学院机械学院机械电子工程专业就读，全日制学历。
202008-202202 湖北恩施待业。
202203-202503 上海阖煦微波技术有限公司就业。
202504至今，湖北恩施待业。"</f>
        <v>201509-202007 上海电机学院机械学院机械电子工程专业就读，全日制学历。
202008-202202 湖北恩施待业。
202203-202503 上海阖煦微波技术有限公司就业。
202504至今，湖北恩施待业。</v>
      </c>
    </row>
    <row r="4800" spans="1:9">
      <c r="A4800" s="1" t="str">
        <f>"372930200108016725"</f>
        <v>372930200108016725</v>
      </c>
      <c r="B4800" s="1" t="str">
        <f>"共青团员"</f>
        <v>共青团员</v>
      </c>
      <c r="C4800" s="1" t="str">
        <f t="shared" si="2369"/>
        <v>本科</v>
      </c>
      <c r="D4800" s="1" t="str">
        <f>"20250620"</f>
        <v>20250620</v>
      </c>
      <c r="E4800" s="1" t="str">
        <f>"山东师范大学"</f>
        <v>山东师范大学</v>
      </c>
      <c r="F4800" s="1" t="str">
        <f>"教育学"</f>
        <v>教育学</v>
      </c>
      <c r="G4800" s="1" t="str">
        <f>"山东省菏泽市东明县龙脉御园"</f>
        <v>山东省菏泽市东明县龙脉御园</v>
      </c>
      <c r="H4800" s="1" t="str">
        <f t="shared" si="2370"/>
        <v>无</v>
      </c>
      <c r="I4800" s="1" t="str">
        <f>"201909-202206 济南幼儿师范高等专科学校职业教育学院市场营销专业学生（全日制）
202207-202302待业
202303-202506 山东师范大学继续教育学院教育学专业学生（非全日制）
202507至今待业"</f>
        <v>201909-202206 济南幼儿师范高等专科学校职业教育学院市场营销专业学生（全日制）
202207-202302待业
202303-202506 山东师范大学继续教育学院教育学专业学生（非全日制）
202507至今待业</v>
      </c>
    </row>
    <row r="4801" spans="1:9">
      <c r="A4801" s="1" t="str">
        <f>"411327199702243328"</f>
        <v>411327199702243328</v>
      </c>
      <c r="B4801" s="1" t="str">
        <f>"群众"</f>
        <v>群众</v>
      </c>
      <c r="C4801" s="1" t="str">
        <f t="shared" si="2369"/>
        <v>本科</v>
      </c>
      <c r="D4801" s="1" t="str">
        <f>"20190701"</f>
        <v>20190701</v>
      </c>
      <c r="E4801" s="1" t="str">
        <f>"河南城建学院"</f>
        <v>河南城建学院</v>
      </c>
      <c r="F4801" s="1" t="str">
        <f>"视觉传达"</f>
        <v>视觉传达</v>
      </c>
      <c r="G4801" s="1" t="str">
        <f>"左岸皇朝5号楼2单元"</f>
        <v>左岸皇朝5号楼2单元</v>
      </c>
      <c r="H4801" s="1" t="str">
        <f t="shared" si="2370"/>
        <v>无</v>
      </c>
      <c r="I4801" s="1" t="str">
        <f>"201509-201906河南城建学院就读，全日制学历。
201907-202408广告公司工作。
202410-202501启程幼儿园工作。
202501-至今在家"</f>
        <v>201509-201906河南城建学院就读，全日制学历。
201907-202408广告公司工作。
202410-202501启程幼儿园工作。
202501-至今在家</v>
      </c>
    </row>
    <row r="4802" spans="1:9">
      <c r="A4802" s="1" t="str">
        <f>"411322200209241314"</f>
        <v>411322200209241314</v>
      </c>
      <c r="B4802" s="1" t="str">
        <f>"共青团员"</f>
        <v>共青团员</v>
      </c>
      <c r="C4802" s="1" t="str">
        <f t="shared" si="2369"/>
        <v>本科</v>
      </c>
      <c r="D4802" s="1" t="str">
        <f>"20240607"</f>
        <v>20240607</v>
      </c>
      <c r="E4802" s="1" t="str">
        <f>"河南牧业经济学院"</f>
        <v>河南牧业经济学院</v>
      </c>
      <c r="F4802" s="1" t="str">
        <f>"机器人工程"</f>
        <v>机器人工程</v>
      </c>
      <c r="G4802" s="1" t="str">
        <f>"河南省南阳市方城县"</f>
        <v>河南省南阳市方城县</v>
      </c>
      <c r="H4802" s="1" t="str">
        <f t="shared" si="2370"/>
        <v>无</v>
      </c>
      <c r="I4802" s="1" t="str">
        <f>"202009-202406 河南牧业经济学院 能源与智能工程学院 机器人工程专业就读 全日制学历
202406-至今在河南省南阳市方城县待业"</f>
        <v>202009-202406 河南牧业经济学院 能源与智能工程学院 机器人工程专业就读 全日制学历
202406-至今在河南省南阳市方城县待业</v>
      </c>
    </row>
    <row r="4803" spans="1:9">
      <c r="A4803" s="1" t="str">
        <f>"41132619960324111X"</f>
        <v>41132619960324111X</v>
      </c>
      <c r="B4803" s="1" t="str">
        <f t="shared" ref="B4803:B4806" si="2371">"中共党员"</f>
        <v>中共党员</v>
      </c>
      <c r="C4803" s="1" t="str">
        <f>"专科"</f>
        <v>专科</v>
      </c>
      <c r="D4803" s="1" t="str">
        <f>"20180701"</f>
        <v>20180701</v>
      </c>
      <c r="E4803" s="1" t="str">
        <f>"黄河水利职业技术学院"</f>
        <v>黄河水利职业技术学院</v>
      </c>
      <c r="F4803" s="1" t="str">
        <f>"机械设计与制造"</f>
        <v>机械设计与制造</v>
      </c>
      <c r="G4803" s="1" t="str">
        <f>"河南省南阳市南召县小店乡英山村665号"</f>
        <v>河南省南阳市南召县小店乡英山村665号</v>
      </c>
      <c r="H4803" s="1" t="str">
        <f t="shared" si="2370"/>
        <v>无</v>
      </c>
      <c r="I4803" s="1" t="str">
        <f>"201807-201509黄河水利职业技术学院 机械设计与制造就读
201506-201209南召县第一高级中学就读
201206-200909小店乡第一初级中学就读
200906-200309小店乡中心完全小学就读
"</f>
        <v>201807-201509黄河水利职业技术学院 机械设计与制造就读
201506-201209南召县第一高级中学就读
201206-200909小店乡第一初级中学就读
200906-200309小店乡中心完全小学就读
</v>
      </c>
    </row>
    <row r="4804" spans="1:9">
      <c r="A4804" s="1" t="str">
        <f>"140427199002016414"</f>
        <v>140427199002016414</v>
      </c>
      <c r="B4804" s="1" t="str">
        <f t="shared" si="2371"/>
        <v>中共党员</v>
      </c>
      <c r="C4804" s="1" t="str">
        <f t="shared" ref="C4804:C4807" si="2372">"本科"</f>
        <v>本科</v>
      </c>
      <c r="D4804" s="1" t="str">
        <f>"20180710"</f>
        <v>20180710</v>
      </c>
      <c r="E4804" s="1" t="str">
        <f>"东北师范大学"</f>
        <v>东北师范大学</v>
      </c>
      <c r="F4804" s="1" t="str">
        <f>"汉语言文学"</f>
        <v>汉语言文学</v>
      </c>
      <c r="G4804" s="1" t="str">
        <f>"河南省新乡市卫滨区高晟福润城"</f>
        <v>河南省新乡市卫滨区高晟福润城</v>
      </c>
      <c r="H4804" s="1" t="str">
        <f t="shared" si="2370"/>
        <v>无</v>
      </c>
      <c r="I4804" s="1" t="str">
        <f>"2011年9月至2013年7月，在潞安职业技术学院学习，全日制；
2013年7月至2014年2月，晋城市陵川县待业；
2014年3月至2015年9月，晋城市长江实业有限公司工作；
2015年10月至2019年3月，中共陵川县委宣传部工作；
（2016年3月至2018年7月，东北师范大学学习，非全日制）
2019年4月至今，泽州县广播电视网络有限公司工作。"</f>
        <v>2011年9月至2013年7月，在潞安职业技术学院学习，全日制；
2013年7月至2014年2月，晋城市陵川县待业；
2014年3月至2015年9月，晋城市长江实业有限公司工作；
2015年10月至2019年3月，中共陵川县委宣传部工作；
（2016年3月至2018年7月，东北师范大学学习，非全日制）
2019年4月至今，泽州县广播电视网络有限公司工作。</v>
      </c>
    </row>
    <row r="4805" spans="1:9">
      <c r="A4805" s="1" t="str">
        <f>"410602200305191011"</f>
        <v>410602200305191011</v>
      </c>
      <c r="B4805" s="1" t="str">
        <f t="shared" si="2371"/>
        <v>中共党员</v>
      </c>
      <c r="C4805" s="1" t="str">
        <f t="shared" si="2372"/>
        <v>本科</v>
      </c>
      <c r="D4805" s="1" t="str">
        <f>"20250620"</f>
        <v>20250620</v>
      </c>
      <c r="E4805" s="1" t="str">
        <f>"河南大学"</f>
        <v>河南大学</v>
      </c>
      <c r="F4805" s="1" t="str">
        <f>"教育学"</f>
        <v>教育学</v>
      </c>
      <c r="G4805" s="1" t="str">
        <f>"河南省开封市鼓楼区桥南街腾达名仕苑9号"</f>
        <v>河南省开封市鼓楼区桥南街腾达名仕苑9号</v>
      </c>
      <c r="H4805" s="1" t="str">
        <f t="shared" si="2370"/>
        <v>无</v>
      </c>
      <c r="I4805" s="1" t="str">
        <f>"202109-202506 河南大学教育学部教育学 就读全日制"</f>
        <v>202109-202506 河南大学教育学部教育学 就读全日制</v>
      </c>
    </row>
    <row r="4806" spans="1:9">
      <c r="A4806" s="1" t="str">
        <f>"411327199304160017"</f>
        <v>411327199304160017</v>
      </c>
      <c r="B4806" s="1" t="str">
        <f t="shared" si="2371"/>
        <v>中共党员</v>
      </c>
      <c r="C4806" s="1" t="str">
        <f t="shared" si="2372"/>
        <v>本科</v>
      </c>
      <c r="D4806" s="1" t="str">
        <f>"20150701"</f>
        <v>20150701</v>
      </c>
      <c r="E4806" s="1" t="str">
        <f>"中原工学院信息商务学院"</f>
        <v>中原工学院信息商务学院</v>
      </c>
      <c r="F4806" s="1" t="str">
        <f>"会计学"</f>
        <v>会计学</v>
      </c>
      <c r="G4806" s="1" t="str">
        <f>"河南省南阳市内乡县党员警示教育基地"</f>
        <v>河南省南阳市内乡县党员警示教育基地</v>
      </c>
      <c r="H4806" s="1" t="str">
        <f t="shared" si="2370"/>
        <v>无</v>
      </c>
      <c r="I4806" s="1" t="str">
        <f>"20110901-20150701 中原工学院信息商务学院会计学就读；
20150702-20171231 史丹利农业集团股份有限公司业务经理；
20180101-20200229 河南省内乡县待业；
20200301至今 内乡县夏馆镇财政所农财会计政府购岗；"</f>
        <v>20110901-20150701 中原工学院信息商务学院会计学就读；
20150702-20171231 史丹利农业集团股份有限公司业务经理；
20180101-20200229 河南省内乡县待业；
20200301至今 内乡县夏馆镇财政所农财会计政府购岗；</v>
      </c>
    </row>
    <row r="4807" spans="1:9">
      <c r="A4807" s="1" t="str">
        <f>"411327200203070624"</f>
        <v>411327200203070624</v>
      </c>
      <c r="B4807" s="1" t="str">
        <f>"群众"</f>
        <v>群众</v>
      </c>
      <c r="C4807" s="1" t="str">
        <f t="shared" si="2372"/>
        <v>本科</v>
      </c>
      <c r="D4807" s="1" t="str">
        <f>"20250613"</f>
        <v>20250613</v>
      </c>
      <c r="E4807" s="1" t="str">
        <f>"新乡医学院三全学院"</f>
        <v>新乡医学院三全学院</v>
      </c>
      <c r="F4807" s="1" t="str">
        <f>"眼视光学"</f>
        <v>眼视光学</v>
      </c>
      <c r="G4807" s="1" t="str">
        <f>"内乡县左岸皇朝小区"</f>
        <v>内乡县左岸皇朝小区</v>
      </c>
      <c r="H4807" s="1" t="str">
        <f>"职业技能等级证书三级眼镜验光员"</f>
        <v>职业技能等级证书三级眼镜验光员</v>
      </c>
      <c r="I4807" s="1" t="str">
        <f>"202109-202506 新乡医学院三全学院学校 就读 是全日制学历"</f>
        <v>202109-202506 新乡医学院三全学院学校 就读 是全日制学历</v>
      </c>
    </row>
    <row r="4808" spans="1:9">
      <c r="A4808" s="1" t="str">
        <f>"411727200311188517"</f>
        <v>411727200311188517</v>
      </c>
      <c r="B4808" s="1" t="str">
        <f>"群众"</f>
        <v>群众</v>
      </c>
      <c r="C4808" s="1" t="str">
        <f>"专科"</f>
        <v>专科</v>
      </c>
      <c r="D4808" s="1" t="str">
        <f>"20250701"</f>
        <v>20250701</v>
      </c>
      <c r="E4808" s="1" t="str">
        <f>"河南机电职业学院"</f>
        <v>河南机电职业学院</v>
      </c>
      <c r="F4808" s="1" t="str">
        <f>"无人机应用技术"</f>
        <v>无人机应用技术</v>
      </c>
      <c r="G4808" s="1" t="str">
        <f>"河南省驻马店市汝南县泰和天墅"</f>
        <v>河南省驻马店市汝南县泰和天墅</v>
      </c>
      <c r="H4808" s="1" t="str">
        <f>"无人机caac执照 无人机oppa执照"</f>
        <v>无人机caac执照 无人机oppa执照</v>
      </c>
      <c r="I4808" s="1" t="str">
        <f>"20220901-20250701河南机电职业学院无人机应用技术专业就读 全日制专科学历"</f>
        <v>20220901-20250701河南机电职业学院无人机应用技术专业就读 全日制专科学历</v>
      </c>
    </row>
    <row r="4809" spans="1:9">
      <c r="A4809" s="1" t="str">
        <f>"411321199811160013"</f>
        <v>411321199811160013</v>
      </c>
      <c r="B4809" s="1" t="str">
        <f>"中共党员"</f>
        <v>中共党员</v>
      </c>
      <c r="C4809" s="1" t="str">
        <f t="shared" ref="C4809:C4811" si="2373">"本科"</f>
        <v>本科</v>
      </c>
      <c r="D4809" s="1" t="str">
        <f>"2025-06-20"</f>
        <v>2025-06-20</v>
      </c>
      <c r="E4809" s="1" t="str">
        <f>"河南财经政法大学"</f>
        <v>河南财经政法大学</v>
      </c>
      <c r="F4809" s="1" t="str">
        <f>"法学"</f>
        <v>法学</v>
      </c>
      <c r="G4809" s="1" t="str">
        <f>"河南省南阳市桐柏县毛集镇湖山村毛集大道999号"</f>
        <v>河南省南阳市桐柏县毛集镇湖山村毛集大道999号</v>
      </c>
      <c r="H4809" s="1" t="str">
        <f t="shared" ref="H4809:H4812" si="2374">"无"</f>
        <v>无</v>
      </c>
      <c r="I4809" s="1" t="str">
        <f>"202009----202306  黄河科技学院         就读  全日制
202309----202506  河南财经政法大学  就读  全日制"</f>
        <v>202009----202306  黄河科技学院         就读  全日制
202309----202506  河南财经政法大学  就读  全日制</v>
      </c>
    </row>
    <row r="4810" spans="1:9">
      <c r="A4810" s="1" t="str">
        <f>"411327199802100033"</f>
        <v>411327199802100033</v>
      </c>
      <c r="B4810" s="1" t="str">
        <f t="shared" ref="B4810:B4813" si="2375">"共青团员"</f>
        <v>共青团员</v>
      </c>
      <c r="C4810" s="1" t="str">
        <f t="shared" si="2373"/>
        <v>本科</v>
      </c>
      <c r="D4810" s="1" t="str">
        <f>"20220620"</f>
        <v>20220620</v>
      </c>
      <c r="E4810" s="1" t="str">
        <f>"河北美术学院"</f>
        <v>河北美术学院</v>
      </c>
      <c r="F4810" s="1" t="str">
        <f>"环境设计"</f>
        <v>环境设计</v>
      </c>
      <c r="G4810" s="1" t="str">
        <f>"河南省南阳市内乡县湍东镇屈庄村和岗745"</f>
        <v>河南省南阳市内乡县湍东镇屈庄村和岗745</v>
      </c>
      <c r="H4810" s="1" t="str">
        <f t="shared" si="2374"/>
        <v>无</v>
      </c>
      <c r="I4810" s="1" t="str">
        <f>"20179–20206河北工艺美术职业学院是全日制学历
20209-20226河北美术学院是全日制学历"</f>
        <v>20179–20206河北工艺美术职业学院是全日制学历
20209-20226河北美术学院是全日制学历</v>
      </c>
    </row>
    <row r="4811" spans="1:9">
      <c r="A4811" s="1" t="str">
        <f>"411327200011100024"</f>
        <v>411327200011100024</v>
      </c>
      <c r="B4811" s="1" t="str">
        <f t="shared" si="2375"/>
        <v>共青团员</v>
      </c>
      <c r="C4811" s="1" t="str">
        <f t="shared" si="2373"/>
        <v>本科</v>
      </c>
      <c r="D4811" s="1" t="str">
        <f>"20241230"</f>
        <v>20241230</v>
      </c>
      <c r="E4811" s="1" t="str">
        <f>"西南科技大学"</f>
        <v>西南科技大学</v>
      </c>
      <c r="F4811" s="1" t="str">
        <f>"数字媒体技艺术"</f>
        <v>数字媒体技艺术</v>
      </c>
      <c r="G4811" s="1" t="str">
        <f>"河南省南阳市内乡县城关镇南园村南园北路10号"</f>
        <v>河南省南阳市内乡县城关镇南园村南园北路10号</v>
      </c>
      <c r="H4811" s="1" t="str">
        <f t="shared" si="2374"/>
        <v>无</v>
      </c>
      <c r="I4811" s="1" t="str">
        <f>"201809-202107 上海行健职业学院就读，艺术系影视多媒体技术专业，是全日制。
202109-202412 西南科技大学艺术系数字媒体艺术专业，非全日制"</f>
        <v>201809-202107 上海行健职业学院就读，艺术系影视多媒体技术专业，是全日制。
202109-202412 西南科技大学艺术系数字媒体艺术专业，非全日制</v>
      </c>
    </row>
    <row r="4812" spans="1:9">
      <c r="A4812" s="1" t="str">
        <f>"411330199903104533"</f>
        <v>411330199903104533</v>
      </c>
      <c r="B4812" s="1" t="str">
        <f t="shared" si="2375"/>
        <v>共青团员</v>
      </c>
      <c r="C4812" s="1" t="str">
        <f t="shared" ref="C4812:C4815" si="2376">"专科"</f>
        <v>专科</v>
      </c>
      <c r="D4812" s="1" t="str">
        <f>"2021-07-01"</f>
        <v>2021-07-01</v>
      </c>
      <c r="E4812" s="1" t="str">
        <f>"河南信息统计职业学院"</f>
        <v>河南信息统计职业学院</v>
      </c>
      <c r="F4812" s="1" t="str">
        <f>"移动应用开发"</f>
        <v>移动应用开发</v>
      </c>
      <c r="G4812" s="1" t="str">
        <f>"河南省南阳市西峡县米坪镇堂坪村"</f>
        <v>河南省南阳市西峡县米坪镇堂坪村</v>
      </c>
      <c r="H4812" s="1" t="str">
        <f t="shared" si="2374"/>
        <v>无</v>
      </c>
      <c r="I4812" s="1" t="str">
        <f>"201809-202107  河南信息统计职业学院信息工程院系就读  全日制
202109-202309  服役于东部信息通信旅 
202309-202504  自主就业
202504-至今  牧原肉食工作"</f>
        <v>201809-202107  河南信息统计职业学院信息工程院系就读  全日制
202109-202309  服役于东部信息通信旅 
202309-202504  自主就业
202504-至今  牧原肉食工作</v>
      </c>
    </row>
    <row r="4813" spans="1:9">
      <c r="A4813" s="1" t="str">
        <f>"411327200209110025"</f>
        <v>411327200209110025</v>
      </c>
      <c r="B4813" s="1" t="str">
        <f t="shared" si="2375"/>
        <v>共青团员</v>
      </c>
      <c r="C4813" s="1" t="str">
        <f t="shared" ref="C4813:C4825" si="2377">"本科"</f>
        <v>本科</v>
      </c>
      <c r="D4813" s="1" t="str">
        <f>"20250620"</f>
        <v>20250620</v>
      </c>
      <c r="E4813" s="1" t="str">
        <f>"福建江夏学院"</f>
        <v>福建江夏学院</v>
      </c>
      <c r="F4813" s="1" t="str">
        <f>"法学"</f>
        <v>法学</v>
      </c>
      <c r="G4813" s="1" t="str">
        <f>"河南省南阳市内乡县晟景湾"</f>
        <v>河南省南阳市内乡县晟景湾</v>
      </c>
      <c r="H4813" s="1" t="str">
        <f>"四级"</f>
        <v>四级</v>
      </c>
      <c r="I4813" s="1" t="str">
        <f>"202109-202507 福建江夏学院法学院法学专业四年制全日制学历就读"</f>
        <v>202109-202507 福建江夏学院法学院法学专业四年制全日制学历就读</v>
      </c>
    </row>
    <row r="4814" spans="1:9">
      <c r="A4814" s="1" t="str">
        <f>"411327199704063726"</f>
        <v>411327199704063726</v>
      </c>
      <c r="B4814" s="1" t="str">
        <f t="shared" ref="B4814:B4819" si="2378">"群众"</f>
        <v>群众</v>
      </c>
      <c r="C4814" s="1" t="str">
        <f t="shared" si="2376"/>
        <v>专科</v>
      </c>
      <c r="D4814" s="1" t="str">
        <f>"20160607"</f>
        <v>20160607</v>
      </c>
      <c r="E4814" s="1" t="str">
        <f>"郑州信息工程职业学院"</f>
        <v>郑州信息工程职业学院</v>
      </c>
      <c r="F4814" s="1" t="str">
        <f>"音乐表演"</f>
        <v>音乐表演</v>
      </c>
      <c r="G4814" s="1" t="str">
        <f>"河南省南阳市内乡县丽都花园"</f>
        <v>河南省南阳市内乡县丽都花园</v>
      </c>
      <c r="H4814" s="1" t="str">
        <f>"普通话二级甲"</f>
        <v>普通话二级甲</v>
      </c>
      <c r="I4814" s="1" t="str">
        <f>"201609-201906就读于郑州信息工程职业学院艺术系音乐表演班，是全日制学历。"</f>
        <v>201609-201906就读于郑州信息工程职业学院艺术系音乐表演班，是全日制学历。</v>
      </c>
    </row>
    <row r="4815" spans="1:9">
      <c r="A4815" s="1" t="str">
        <f>"411327200411030037"</f>
        <v>411327200411030037</v>
      </c>
      <c r="B4815" s="1" t="str">
        <f>"共青团员"</f>
        <v>共青团员</v>
      </c>
      <c r="C4815" s="1" t="str">
        <f t="shared" si="2376"/>
        <v>专科</v>
      </c>
      <c r="D4815" s="1" t="str">
        <f>"20250605"</f>
        <v>20250605</v>
      </c>
      <c r="E4815" s="1" t="str">
        <f>"郑州铁路职业技术学院"</f>
        <v>郑州铁路职业技术学院</v>
      </c>
      <c r="F4815" s="1" t="str">
        <f>"铁道供电技术"</f>
        <v>铁道供电技术</v>
      </c>
      <c r="G4815" s="1" t="str">
        <f>"河南省南阳市内乡县城关镇"</f>
        <v>河南省南阳市内乡县城关镇</v>
      </c>
      <c r="H4815" s="1" t="str">
        <f>"中级电工证"</f>
        <v>中级电工证</v>
      </c>
      <c r="I4815" s="1" t="str">
        <f>"202209-202506郑州铁路职业技术学院就读"</f>
        <v>202209-202506郑州铁路职业技术学院就读</v>
      </c>
    </row>
    <row r="4816" spans="1:9">
      <c r="A4816" s="1" t="str">
        <f>"411522200106030101"</f>
        <v>411522200106030101</v>
      </c>
      <c r="B4816" s="1" t="str">
        <f>"中共党员"</f>
        <v>中共党员</v>
      </c>
      <c r="C4816" s="1" t="str">
        <f t="shared" si="2377"/>
        <v>本科</v>
      </c>
      <c r="D4816" s="1" t="str">
        <f>"20240630"</f>
        <v>20240630</v>
      </c>
      <c r="E4816" s="1" t="str">
        <f>"郑州大学"</f>
        <v>郑州大学</v>
      </c>
      <c r="F4816" s="1" t="str">
        <f>"新闻学（体育新闻）"</f>
        <v>新闻学（体育新闻）</v>
      </c>
      <c r="G4816" s="1" t="str">
        <f>"河南省信阳市光山县"</f>
        <v>河南省信阳市光山县</v>
      </c>
      <c r="H4816" s="1" t="str">
        <f t="shared" ref="H4816:H4822" si="2379">"无"</f>
        <v>无</v>
      </c>
      <c r="I4816" s="1" t="str">
        <f>"20200901-20240630 郑州大学 体育新闻与管理系 新闻专业就读 全日制
20240701-至今 待业"</f>
        <v>20200901-20240630 郑州大学 体育新闻与管理系 新闻专业就读 全日制
20240701-至今 待业</v>
      </c>
    </row>
    <row r="4817" spans="1:9">
      <c r="A4817" s="1" t="str">
        <f>"411327200408210029"</f>
        <v>411327200408210029</v>
      </c>
      <c r="B4817" s="1" t="str">
        <f t="shared" si="2378"/>
        <v>群众</v>
      </c>
      <c r="C4817" s="1" t="str">
        <f>"专科"</f>
        <v>专科</v>
      </c>
      <c r="D4817" s="1" t="str">
        <f>"2025.7.1"</f>
        <v>2025.7.1</v>
      </c>
      <c r="E4817" s="1" t="str">
        <f>"郑州旅游职业学院"</f>
        <v>郑州旅游职业学院</v>
      </c>
      <c r="F4817" s="1" t="str">
        <f>"旅游管理"</f>
        <v>旅游管理</v>
      </c>
      <c r="G4817" s="1" t="str">
        <f>"河南省南阳市内乡县城关镇红学村红学东路183号"</f>
        <v>河南省南阳市内乡县城关镇红学村红学东路183号</v>
      </c>
      <c r="H4817" s="1" t="str">
        <f>"初级导游证"</f>
        <v>初级导游证</v>
      </c>
      <c r="I4817" s="1" t="str">
        <f>"202209-202507郑州旅游职业学院就读，全日制学历"</f>
        <v>202209-202507郑州旅游职业学院就读，全日制学历</v>
      </c>
    </row>
    <row r="4818" spans="1:9">
      <c r="A4818" s="1" t="str">
        <f>"410901200107214032"</f>
        <v>410901200107214032</v>
      </c>
      <c r="B4818" s="1" t="str">
        <f>"中共预备党员"</f>
        <v>中共预备党员</v>
      </c>
      <c r="C4818" s="1" t="str">
        <f t="shared" si="2377"/>
        <v>本科</v>
      </c>
      <c r="D4818" s="1" t="str">
        <f>"20250630"</f>
        <v>20250630</v>
      </c>
      <c r="E4818" s="1" t="str">
        <f>"商丘工学院"</f>
        <v>商丘工学院</v>
      </c>
      <c r="F4818" s="1" t="str">
        <f>"机械电子工程"</f>
        <v>机械电子工程</v>
      </c>
      <c r="G4818" s="1" t="str">
        <f>"河南省濮阳县龙城花园"</f>
        <v>河南省濮阳县龙城花园</v>
      </c>
      <c r="H4818" s="1" t="str">
        <f t="shared" si="2379"/>
        <v>无</v>
      </c>
      <c r="I4818" s="1" t="str">
        <f>"202109-202506 商丘工学院机械工程学院机械电子工程专业就读 全日制本科"</f>
        <v>202109-202506 商丘工学院机械工程学院机械电子工程专业就读 全日制本科</v>
      </c>
    </row>
    <row r="4819" spans="1:9">
      <c r="A4819" s="1" t="str">
        <f>"410225200307100016"</f>
        <v>410225200307100016</v>
      </c>
      <c r="B4819" s="1" t="str">
        <f t="shared" si="2378"/>
        <v>群众</v>
      </c>
      <c r="C4819" s="1" t="str">
        <f t="shared" si="2377"/>
        <v>本科</v>
      </c>
      <c r="D4819" s="1" t="str">
        <f>"20250630"</f>
        <v>20250630</v>
      </c>
      <c r="E4819" s="1" t="str">
        <f>"甘肃政法大学"</f>
        <v>甘肃政法大学</v>
      </c>
      <c r="F4819" s="1" t="str">
        <f>"法学"</f>
        <v>法学</v>
      </c>
      <c r="G4819" s="1" t="str">
        <f>"13603485980"</f>
        <v>13603485980</v>
      </c>
      <c r="H4819" s="1" t="str">
        <f t="shared" si="2379"/>
        <v>无</v>
      </c>
      <c r="I4819" s="1" t="str">
        <f>"20210918-20250630甘肃政法大学就读，全日制学历。"</f>
        <v>20210918-20250630甘肃政法大学就读，全日制学历。</v>
      </c>
    </row>
    <row r="4820" spans="1:9">
      <c r="A4820" s="1" t="str">
        <f>"410423200201049556"</f>
        <v>410423200201049556</v>
      </c>
      <c r="B4820" s="1" t="str">
        <f t="shared" ref="B4820:B4825" si="2380">"共青团员"</f>
        <v>共青团员</v>
      </c>
      <c r="C4820" s="1" t="str">
        <f t="shared" si="2377"/>
        <v>本科</v>
      </c>
      <c r="D4820" s="1" t="str">
        <f>"20250618"</f>
        <v>20250618</v>
      </c>
      <c r="E4820" s="1" t="str">
        <f>"江苏海洋大学"</f>
        <v>江苏海洋大学</v>
      </c>
      <c r="F4820" s="1" t="str">
        <f>"行政管理"</f>
        <v>行政管理</v>
      </c>
      <c r="G4820" s="1" t="str">
        <f>"15637575518"</f>
        <v>15637575518</v>
      </c>
      <c r="H4820" s="1" t="str">
        <f t="shared" si="2379"/>
        <v>无</v>
      </c>
      <c r="I4820" s="1" t="str">
        <f>"202109-202506 江苏海洋大学文法学院行政管理专业就读，全日制本科
201809-202106 鲁山县第一高级中学就读
201409-201806 鲁山县第二十五初级中学就读
200809-201406 马楼乡第十八小学就读"</f>
        <v>202109-202506 江苏海洋大学文法学院行政管理专业就读，全日制本科
201809-202106 鲁山县第一高级中学就读
201409-201806 鲁山县第二十五初级中学就读
200809-201406 马楼乡第十八小学就读</v>
      </c>
    </row>
    <row r="4821" ht="108" spans="1:9">
      <c r="A4821" s="1" t="str">
        <f>"411302199808291320"</f>
        <v>411302199808291320</v>
      </c>
      <c r="B4821" s="1" t="str">
        <f>"群众"</f>
        <v>群众</v>
      </c>
      <c r="C4821" s="1" t="str">
        <f t="shared" si="2377"/>
        <v>本科</v>
      </c>
      <c r="D4821" s="1" t="str">
        <f>"20200612"</f>
        <v>20200612</v>
      </c>
      <c r="E4821" s="1" t="str">
        <f>"福建工程学院"</f>
        <v>福建工程学院</v>
      </c>
      <c r="F4821" s="1" t="str">
        <f>"信息与计算科学"</f>
        <v>信息与计算科学</v>
      </c>
      <c r="G4821" s="1" t="str">
        <f>"河南省南阳市卧龙区张衡街道信臣路商苑街四季花城一期"</f>
        <v>河南省南阳市卧龙区张衡街道信臣路商苑街四季花城一期</v>
      </c>
      <c r="H4821" s="1" t="str">
        <f t="shared" si="2379"/>
        <v>无</v>
      </c>
      <c r="I4821" s="3" t="s">
        <v>286</v>
      </c>
    </row>
    <row r="4822" spans="1:9">
      <c r="A4822" s="1" t="str">
        <f>"411327200007291526"</f>
        <v>411327200007291526</v>
      </c>
      <c r="B4822" s="1" t="str">
        <f t="shared" si="2380"/>
        <v>共青团员</v>
      </c>
      <c r="C4822" s="1" t="str">
        <f t="shared" si="2377"/>
        <v>本科</v>
      </c>
      <c r="D4822" s="1" t="str">
        <f>"2021.07"</f>
        <v>2021.07</v>
      </c>
      <c r="E4822" s="1" t="str">
        <f>"上海对外经贸大学"</f>
        <v>上海对外经贸大学</v>
      </c>
      <c r="F4822" s="1" t="str">
        <f>"英语"</f>
        <v>英语</v>
      </c>
      <c r="G4822" s="1" t="str">
        <f>"河南省南阳市内乡县湍东镇茶庵村"</f>
        <v>河南省南阳市内乡县湍东镇茶庵村</v>
      </c>
      <c r="H4822" s="1" t="str">
        <f t="shared" si="2379"/>
        <v>无</v>
      </c>
      <c r="I4822" s="1" t="str">
        <f>"201710-202106上海对外经贸大学国际商务外语学院英语专业就读，是全日制本科学历；
202107-202109上海学思堂培训学校担任初中英语老师；
202110-202112上海光芒文化公司担任新媒体运营；202201-202209上海星丹传媒公司担任新媒体运营；202210-202304待业；202305-202308广州科翰学校担任高中英语教师；202309-202403待业；202403至今于河南铝粘土矿产品批发市场内乡交易中心担任办公室办事员。"</f>
        <v>201710-202106上海对外经贸大学国际商务外语学院英语专业就读，是全日制本科学历；
202107-202109上海学思堂培训学校担任初中英语老师；
202110-202112上海光芒文化公司担任新媒体运营；202201-202209上海星丹传媒公司担任新媒体运营；202210-202304待业；202305-202308广州科翰学校担任高中英语教师；202309-202403待业；202403至今于河南铝粘土矿产品批发市场内乡交易中心担任办公室办事员。</v>
      </c>
    </row>
    <row r="4823" spans="1:9">
      <c r="A4823" s="1" t="str">
        <f>"41132420020126002X"</f>
        <v>41132420020126002X</v>
      </c>
      <c r="B4823" s="1" t="str">
        <f t="shared" si="2380"/>
        <v>共青团员</v>
      </c>
      <c r="C4823" s="1" t="str">
        <f t="shared" si="2377"/>
        <v>本科</v>
      </c>
      <c r="D4823" s="1" t="str">
        <f>"20250701"</f>
        <v>20250701</v>
      </c>
      <c r="E4823" s="1" t="str">
        <f>"郑州商学院"</f>
        <v>郑州商学院</v>
      </c>
      <c r="F4823" s="1" t="str">
        <f>"汉语言文学"</f>
        <v>汉语言文学</v>
      </c>
      <c r="G4823" s="1" t="str">
        <f>"河南省南阳市镇平县一里沟村"</f>
        <v>河南省南阳市镇平县一里沟村</v>
      </c>
      <c r="H4823" s="1" t="str">
        <f>"普通话二级甲等，秘书三级"</f>
        <v>普通话二级甲等，秘书三级</v>
      </c>
      <c r="I4823" s="1" t="str">
        <f>"2020年9月-2023年6月在许昌职业职业学院人文学院语文教育专业就读
2023年9月-2025年7月在郑州商学院文学与新闻传播学院汉语言文学专业就读"</f>
        <v>2020年9月-2023年6月在许昌职业职业学院人文学院语文教育专业就读
2023年9月-2025年7月在郑州商学院文学与新闻传播学院汉语言文学专业就读</v>
      </c>
    </row>
    <row r="4824" spans="1:9">
      <c r="A4824" s="1" t="str">
        <f>"411329199806124713"</f>
        <v>411329199806124713</v>
      </c>
      <c r="B4824" s="1" t="str">
        <f t="shared" si="2380"/>
        <v>共青团员</v>
      </c>
      <c r="C4824" s="1" t="str">
        <f t="shared" si="2377"/>
        <v>本科</v>
      </c>
      <c r="D4824" s="1" t="str">
        <f>"20210701"</f>
        <v>20210701</v>
      </c>
      <c r="E4824" s="1" t="str">
        <f>"商丘学院"</f>
        <v>商丘学院</v>
      </c>
      <c r="F4824" s="1" t="str">
        <f>"国际经济与贸易"</f>
        <v>国际经济与贸易</v>
      </c>
      <c r="G4824" s="1" t="str">
        <f>"河南省南阳市卧龙区北京大道美祥苑小区"</f>
        <v>河南省南阳市卧龙区北京大道美祥苑小区</v>
      </c>
      <c r="H4824" s="1" t="str">
        <f t="shared" ref="H4824:H4830" si="2381">"无"</f>
        <v>无</v>
      </c>
      <c r="I4824" s="1" t="str">
        <f>"2012年9月-2016年6月 在社旗县第一高级中学 学习
2016年9月-2019年6月 在河南牧业经济学院 国际贸易实务专业 学习
2019年9月-2021年6月 在商丘学院 国际经济与贸易专业 学习
2021年6月-2022年2月 待业
2022年2月-2023年8月 在社旗县新时代高级中学 任高中数学学科教师 2023年8月-2024年8月 在南阳市成达中学 任高中数学学科教师
2024年8月-至今 待业"</f>
        <v>2012年9月-2016年6月 在社旗县第一高级中学 学习
2016年9月-2019年6月 在河南牧业经济学院 国际贸易实务专业 学习
2019年9月-2021年6月 在商丘学院 国际经济与贸易专业 学习
2021年6月-2022年2月 待业
2022年2月-2023年8月 在社旗县新时代高级中学 任高中数学学科教师 2023年8月-2024年8月 在南阳市成达中学 任高中数学学科教师
2024年8月-至今 待业</v>
      </c>
    </row>
    <row r="4825" spans="1:9">
      <c r="A4825" s="1" t="str">
        <f>"411327200201031568"</f>
        <v>411327200201031568</v>
      </c>
      <c r="B4825" s="1" t="str">
        <f t="shared" si="2380"/>
        <v>共青团员</v>
      </c>
      <c r="C4825" s="1" t="str">
        <f t="shared" si="2377"/>
        <v>本科</v>
      </c>
      <c r="D4825" s="1" t="str">
        <f>"20230612"</f>
        <v>20230612</v>
      </c>
      <c r="E4825" s="1" t="str">
        <f>"天津外国语大学"</f>
        <v>天津外国语大学</v>
      </c>
      <c r="F4825" s="1" t="str">
        <f>"金融学"</f>
        <v>金融学</v>
      </c>
      <c r="G4825" s="1" t="str">
        <f>"河南省南阳市内乡县湍东镇东王沟村"</f>
        <v>河南省南阳市内乡县湍东镇东王沟村</v>
      </c>
      <c r="H4825" s="1" t="str">
        <f t="shared" si="2381"/>
        <v>无</v>
      </c>
      <c r="I4825" s="1" t="str">
        <f>"201909-202306在天津外国语大学国际商学院金融系金融学专业就读，全日制本科"</f>
        <v>201909-202306在天津外国语大学国际商学院金融系金融学专业就读，全日制本科</v>
      </c>
    </row>
    <row r="4826" spans="1:9">
      <c r="A4826" s="1" t="str">
        <f>"412822199508092729"</f>
        <v>412822199508092729</v>
      </c>
      <c r="B4826" s="1" t="str">
        <f>"中共党员"</f>
        <v>中共党员</v>
      </c>
      <c r="C4826" s="1" t="str">
        <f>"硕士研究生"</f>
        <v>硕士研究生</v>
      </c>
      <c r="D4826" s="1" t="str">
        <f>"20220609"</f>
        <v>20220609</v>
      </c>
      <c r="E4826" s="1" t="str">
        <f>"北京农学院"</f>
        <v>北京农学院</v>
      </c>
      <c r="F4826" s="1" t="str">
        <f>"林学"</f>
        <v>林学</v>
      </c>
      <c r="G4826" s="1" t="str">
        <f>"北京市通州区台湖镇玉甫上营村30号"</f>
        <v>北京市通州区台湖镇玉甫上营村30号</v>
      </c>
      <c r="H4826" s="1" t="str">
        <f t="shared" si="2381"/>
        <v>无</v>
      </c>
      <c r="I4826" s="1" t="str">
        <f>"2014.09-2018.06 	河南省河南农业大学     林学院园林专业   全日制
2018.07-2019.08      河南省驻马店市泌阳县  待业
2019.09-2022.06 	北京市北京农学院         园林学院林学专业  全日制
2022.07-2025 	北京市鲲鹏基因有限公司       试剂研发工程师"</f>
        <v>2014.09-2018.06 	河南省河南农业大学     林学院园林专业   全日制
2018.07-2019.08      河南省驻马店市泌阳县  待业
2019.09-2022.06 	北京市北京农学院         园林学院林学专业  全日制
2022.07-2025 	北京市鲲鹏基因有限公司       试剂研发工程师</v>
      </c>
    </row>
    <row r="4827" spans="1:9">
      <c r="A4827" s="1" t="str">
        <f>"41132420000203007X"</f>
        <v>41132420000203007X</v>
      </c>
      <c r="B4827" s="1" t="str">
        <f t="shared" ref="B4827:B4831" si="2382">"群众"</f>
        <v>群众</v>
      </c>
      <c r="C4827" s="1" t="str">
        <f t="shared" ref="C4827:C4832" si="2383">"本科"</f>
        <v>本科</v>
      </c>
      <c r="D4827" s="1" t="str">
        <f>"20240710"</f>
        <v>20240710</v>
      </c>
      <c r="E4827" s="1" t="str">
        <f>"大连理工大学"</f>
        <v>大连理工大学</v>
      </c>
      <c r="F4827" s="1" t="str">
        <f>"计算机科学与技术"</f>
        <v>计算机科学与技术</v>
      </c>
      <c r="G4827" s="1" t="str">
        <f>"河南省镇平县金桥小区斜对面"</f>
        <v>河南省镇平县金桥小区斜对面</v>
      </c>
      <c r="H4827" s="1" t="str">
        <f t="shared" si="2381"/>
        <v>无</v>
      </c>
      <c r="I4827" s="1" t="str">
        <f>"201809-202107 开封大学经济学院国际经济与贸易专业就读（全日制）
202109-202407 大连理工大学河南广播电视大学奥鹏中心计算机科学与技术专业就读（非全日制）
202110-202308 镇平县经济与大数据中心工作"</f>
        <v>201809-202107 开封大学经济学院国际经济与贸易专业就读（全日制）
202109-202407 大连理工大学河南广播电视大学奥鹏中心计算机科学与技术专业就读（非全日制）
202110-202308 镇平县经济与大数据中心工作</v>
      </c>
    </row>
    <row r="4828" spans="1:9">
      <c r="A4828" s="1" t="str">
        <f>"411327200408261520"</f>
        <v>411327200408261520</v>
      </c>
      <c r="B4828" s="1" t="str">
        <f t="shared" si="2382"/>
        <v>群众</v>
      </c>
      <c r="C4828" s="1" t="str">
        <f t="shared" ref="C4828:C4831" si="2384">"专科"</f>
        <v>专科</v>
      </c>
      <c r="D4828" s="1" t="str">
        <f>"2025-07-01"</f>
        <v>2025-07-01</v>
      </c>
      <c r="E4828" s="1" t="str">
        <f>"河南司法警官职业学院"</f>
        <v>河南司法警官职业学院</v>
      </c>
      <c r="F4828" s="1" t="str">
        <f>"信息安全技术应用"</f>
        <v>信息安全技术应用</v>
      </c>
      <c r="G4828" s="1" t="str">
        <f>"河南省内乡县湍东镇五里堡拌倒井13号"</f>
        <v>河南省内乡县湍东镇五里堡拌倒井13号</v>
      </c>
      <c r="H4828" s="1" t="str">
        <f t="shared" si="2381"/>
        <v>无</v>
      </c>
      <c r="I4828" s="1" t="str">
        <f>"202209-202506河南司法警官职业学院学校信息技术系信息安全技术应用专业就读，是全日制学历。"</f>
        <v>202209-202506河南司法警官职业学院学校信息技术系信息安全技术应用专业就读，是全日制学历。</v>
      </c>
    </row>
    <row r="4829" spans="1:9">
      <c r="A4829" s="1" t="str">
        <f>"411303199405160517"</f>
        <v>411303199405160517</v>
      </c>
      <c r="B4829" s="1" t="str">
        <f t="shared" ref="B4829:B4835" si="2385">"中共党员"</f>
        <v>中共党员</v>
      </c>
      <c r="C4829" s="1" t="str">
        <f t="shared" si="2384"/>
        <v>专科</v>
      </c>
      <c r="D4829" s="1" t="str">
        <f>"201507"</f>
        <v>201507</v>
      </c>
      <c r="E4829" s="1" t="str">
        <f>"南阳市理工学院"</f>
        <v>南阳市理工学院</v>
      </c>
      <c r="F4829" s="1" t="str">
        <f>"机电一体化技术"</f>
        <v>机电一体化技术</v>
      </c>
      <c r="G4829" s="1" t="str">
        <f>"河南省南阳市卧龙区白庄"</f>
        <v>河南省南阳市卧龙区白庄</v>
      </c>
      <c r="H4829" s="1" t="str">
        <f t="shared" si="2381"/>
        <v>无</v>
      </c>
      <c r="I4829" s="1" t="str">
        <f>"2010年9月——2013年7月 南阳市第五中学
2013年9月——2015年7月 南阳市理工学院
2016年4月——2019年9月 南阳市公安局交通管理支队第三勤务大队
2019年10月至今南阳市公安局高新技术产业开发区公安分局"</f>
        <v>2010年9月——2013年7月 南阳市第五中学
2013年9月——2015年7月 南阳市理工学院
2016年4月——2019年9月 南阳市公安局交通管理支队第三勤务大队
2019年10月至今南阳市公安局高新技术产业开发区公安分局</v>
      </c>
    </row>
    <row r="4830" spans="1:9">
      <c r="A4830" s="1" t="str">
        <f>"410425199703096560"</f>
        <v>410425199703096560</v>
      </c>
      <c r="B4830" s="1" t="str">
        <f t="shared" si="2382"/>
        <v>群众</v>
      </c>
      <c r="C4830" s="1" t="str">
        <f t="shared" si="2383"/>
        <v>本科</v>
      </c>
      <c r="D4830" s="1" t="str">
        <f>"20220701"</f>
        <v>20220701</v>
      </c>
      <c r="E4830" s="1" t="str">
        <f>"商丘学院"</f>
        <v>商丘学院</v>
      </c>
      <c r="F4830" s="1" t="str">
        <f>"环境设计"</f>
        <v>环境设计</v>
      </c>
      <c r="G4830" s="1" t="str">
        <f>"河南省平顶山市"</f>
        <v>河南省平顶山市</v>
      </c>
      <c r="H4830" s="1" t="str">
        <f t="shared" si="2381"/>
        <v>无</v>
      </c>
      <c r="I4830" s="1" t="str">
        <f>"201709-202007河南建筑职业技术学院环境艺术设计全日制
202009-202207商丘学院环境设计全日制
202209-202507择业期"</f>
        <v>201709-202007河南建筑职业技术学院环境艺术设计全日制
202009-202207商丘学院环境设计全日制
202209-202507择业期</v>
      </c>
    </row>
    <row r="4831" spans="1:9">
      <c r="A4831" s="1" t="str">
        <f>"411325200010034966"</f>
        <v>411325200010034966</v>
      </c>
      <c r="B4831" s="1" t="str">
        <f t="shared" si="2382"/>
        <v>群众</v>
      </c>
      <c r="C4831" s="1" t="str">
        <f t="shared" si="2384"/>
        <v>专科</v>
      </c>
      <c r="D4831" s="1" t="str">
        <f>"20240701"</f>
        <v>20240701</v>
      </c>
      <c r="E4831" s="1" t="str">
        <f>"郑州工业安全职业学院"</f>
        <v>郑州工业安全职业学院</v>
      </c>
      <c r="F4831" s="1" t="str">
        <f>"网络营销与直播电商"</f>
        <v>网络营销与直播电商</v>
      </c>
      <c r="G4831" s="1" t="str">
        <f>"河南省南阳市内乡县灌涨镇山底村"</f>
        <v>河南省南阳市内乡县灌涨镇山底村</v>
      </c>
      <c r="H4831" s="1" t="str">
        <f>"职业技能等级证书互联网营销师三级"</f>
        <v>职业技能等级证书互联网营销师三级</v>
      </c>
      <c r="I4831" s="1" t="str">
        <f>"202109——202407在郑州工业安全职业学院，数字经济与管理系，网络营销与直播电商专业就读，是全日制学历"</f>
        <v>202109——202407在郑州工业安全职业学院，数字经济与管理系，网络营销与直播电商专业就读，是全日制学历</v>
      </c>
    </row>
    <row r="4832" spans="1:9">
      <c r="A4832" s="1" t="str">
        <f>"411324200006183049"</f>
        <v>411324200006183049</v>
      </c>
      <c r="B4832" s="1" t="str">
        <f t="shared" si="2385"/>
        <v>中共党员</v>
      </c>
      <c r="C4832" s="1" t="str">
        <f t="shared" si="2383"/>
        <v>本科</v>
      </c>
      <c r="D4832" s="1" t="str">
        <f>"20220615"</f>
        <v>20220615</v>
      </c>
      <c r="E4832" s="1" t="str">
        <f>"齐齐哈尔大学"</f>
        <v>齐齐哈尔大学</v>
      </c>
      <c r="F4832" s="1" t="str">
        <f>"应用化学"</f>
        <v>应用化学</v>
      </c>
      <c r="G4832" s="1" t="str">
        <f>"河南省南阳市镇平县曲屯镇"</f>
        <v>河南省南阳市镇平县曲屯镇</v>
      </c>
      <c r="H4832" s="1" t="str">
        <f t="shared" ref="H4832:H4840" si="2386">"无"</f>
        <v>无</v>
      </c>
      <c r="I4832" s="1" t="str">
        <f>"201809-202206 齐齐哈尔大学化学与化学工程学院应用化学专业就读，全日制本科；202207-202409 美迪西普晖医药科技（上海）有限公司工作；202410-至今，镇平，待业"</f>
        <v>201809-202206 齐齐哈尔大学化学与化学工程学院应用化学专业就读，全日制本科；202207-202409 美迪西普晖医药科技（上海）有限公司工作；202410-至今，镇平，待业</v>
      </c>
    </row>
    <row r="4833" spans="1:9">
      <c r="A4833" s="1" t="str">
        <f>"410922200206042020"</f>
        <v>410922200206042020</v>
      </c>
      <c r="B4833" s="1" t="str">
        <f>"共青团员"</f>
        <v>共青团员</v>
      </c>
      <c r="C4833" s="1" t="str">
        <f>"专科"</f>
        <v>专科</v>
      </c>
      <c r="D4833" s="1" t="str">
        <f>"20230701"</f>
        <v>20230701</v>
      </c>
      <c r="E4833" s="1" t="str">
        <f>"黄河科技学院"</f>
        <v>黄河科技学院</v>
      </c>
      <c r="F4833" s="1" t="str">
        <f>"大数据与会计"</f>
        <v>大数据与会计</v>
      </c>
      <c r="G4833" s="1" t="str">
        <f>"河南省濮阳市清丰县古城乡东佛店村"</f>
        <v>河南省濮阳市清丰县古城乡东佛店村</v>
      </c>
      <c r="H4833" s="1" t="str">
        <f t="shared" si="2386"/>
        <v>无</v>
      </c>
      <c r="I4833" s="1" t="str">
        <f>"201809-202307黄河科技学院商贸经济系大数据与会计专业就读，全日制大专。"</f>
        <v>201809-202307黄河科技学院商贸经济系大数据与会计专业就读，全日制大专。</v>
      </c>
    </row>
    <row r="4834" spans="1:9">
      <c r="A4834" s="1" t="str">
        <f>"410324200206233417"</f>
        <v>410324200206233417</v>
      </c>
      <c r="B4834" s="1" t="str">
        <f t="shared" si="2385"/>
        <v>中共党员</v>
      </c>
      <c r="C4834" s="1" t="str">
        <f t="shared" ref="C4834:C4841" si="2387">"本科"</f>
        <v>本科</v>
      </c>
      <c r="D4834" s="1" t="str">
        <f>"20250701"</f>
        <v>20250701</v>
      </c>
      <c r="E4834" s="1" t="str">
        <f>"河南农业大学"</f>
        <v>河南农业大学</v>
      </c>
      <c r="F4834" s="1" t="str">
        <f>"城乡规划（美丽乡村）"</f>
        <v>城乡规划（美丽乡村）</v>
      </c>
      <c r="G4834" s="1" t="str">
        <f>"河南省洛阳市栾川县伊尹花园"</f>
        <v>河南省洛阳市栾川县伊尹花园</v>
      </c>
      <c r="H4834" s="1" t="str">
        <f t="shared" si="2386"/>
        <v>无</v>
      </c>
      <c r="I4834" s="1" t="str">
        <f>"20210901-20250701河南农业大学许昌校区城乡规划专业就读，全日制学历"</f>
        <v>20210901-20250701河南农业大学许昌校区城乡规划专业就读，全日制学历</v>
      </c>
    </row>
    <row r="4835" spans="1:9">
      <c r="A4835" s="1" t="str">
        <f>"410426199907034026"</f>
        <v>410426199907034026</v>
      </c>
      <c r="B4835" s="1" t="str">
        <f t="shared" si="2385"/>
        <v>中共党员</v>
      </c>
      <c r="C4835" s="1" t="str">
        <f t="shared" si="2387"/>
        <v>本科</v>
      </c>
      <c r="D4835" s="1" t="str">
        <f>"20220701"</f>
        <v>20220701</v>
      </c>
      <c r="E4835" s="1" t="str">
        <f>"郑州工业应用技术学院"</f>
        <v>郑州工业应用技术学院</v>
      </c>
      <c r="F4835" s="1" t="str">
        <f>"音乐表演"</f>
        <v>音乐表演</v>
      </c>
      <c r="G4835" s="1" t="str">
        <f>"河南省平顶山市新华区"</f>
        <v>河南省平顶山市新华区</v>
      </c>
      <c r="H4835" s="1" t="str">
        <f t="shared" si="2386"/>
        <v>无</v>
      </c>
      <c r="I4835" s="1" t="str">
        <f>"201809-202207郑州工业应用技术学院学校 音乐学院音乐表演专业就读 全日制
202207-202412在肖邦艺术学院就业
202412-202507在平顶山待业
"</f>
        <v>201809-202207郑州工业应用技术学院学校 音乐学院音乐表演专业就读 全日制
202207-202412在肖邦艺术学院就业
202412-202507在平顶山待业
</v>
      </c>
    </row>
    <row r="4836" spans="1:9">
      <c r="A4836" s="1" t="str">
        <f>"411381200202107462"</f>
        <v>411381200202107462</v>
      </c>
      <c r="B4836" s="1" t="str">
        <f>"群众"</f>
        <v>群众</v>
      </c>
      <c r="C4836" s="1" t="str">
        <f>"专科"</f>
        <v>专科</v>
      </c>
      <c r="D4836" s="1" t="str">
        <f>"20230701"</f>
        <v>20230701</v>
      </c>
      <c r="E4836" s="1" t="str">
        <f>"江西服装学院"</f>
        <v>江西服装学院</v>
      </c>
      <c r="F4836" s="1" t="str">
        <f>"环境艺术设计"</f>
        <v>环境艺术设计</v>
      </c>
      <c r="G4836" s="1" t="str">
        <f>"新丰市场"</f>
        <v>新丰市场</v>
      </c>
      <c r="H4836" s="1" t="str">
        <f t="shared" si="2386"/>
        <v>无</v>
      </c>
      <c r="I4836" s="1" t="str">
        <f>"20201001-20230701江西服装学院就读环境艺术设计专业全日制学历"</f>
        <v>20201001-20230701江西服装学院就读环境艺术设计专业全日制学历</v>
      </c>
    </row>
    <row r="4837" spans="1:9">
      <c r="A4837" s="1" t="str">
        <f>"41132719970203004X"</f>
        <v>41132719970203004X</v>
      </c>
      <c r="B4837" s="1" t="str">
        <f t="shared" ref="B4837:B4840" si="2388">"中共党员"</f>
        <v>中共党员</v>
      </c>
      <c r="C4837" s="1" t="str">
        <f t="shared" si="2387"/>
        <v>本科</v>
      </c>
      <c r="D4837" s="1" t="str">
        <f>"20200630"</f>
        <v>20200630</v>
      </c>
      <c r="E4837" s="1" t="str">
        <f>"河南科技大学"</f>
        <v>河南科技大学</v>
      </c>
      <c r="F4837" s="1" t="str">
        <f>"园林"</f>
        <v>园林</v>
      </c>
      <c r="G4837" s="1" t="str">
        <f>"河南省南阳市内乡县城关镇南园路郦都小区"</f>
        <v>河南省南阳市内乡县城关镇南园路郦都小区</v>
      </c>
      <c r="H4837" s="1" t="str">
        <f t="shared" si="2386"/>
        <v>无</v>
      </c>
      <c r="I4837" s="1" t="str">
        <f>"201509-201806 河南林业职业学院 园林工程 全日制
201809-202016 河南科技大学  园林  全日制
202007-202103 待业
202104-202307  上海尹弗实业有限公司  电商专员
202308-202401 待业
202402-202502 内乡县园林绿化中心  办公室办事员
202503-至今  南阳市菊苑建设有限公司"</f>
        <v>201509-201806 河南林业职业学院 园林工程 全日制
201809-202016 河南科技大学  园林  全日制
202007-202103 待业
202104-202307  上海尹弗实业有限公司  电商专员
202308-202401 待业
202402-202502 内乡县园林绿化中心  办公室办事员
202503-至今  南阳市菊苑建设有限公司</v>
      </c>
    </row>
    <row r="4838" spans="1:9">
      <c r="A4838" s="1" t="str">
        <f>"411324199912124512"</f>
        <v>411324199912124512</v>
      </c>
      <c r="B4838" s="1" t="str">
        <f t="shared" si="2388"/>
        <v>中共党员</v>
      </c>
      <c r="C4838" s="1" t="str">
        <f t="shared" si="2387"/>
        <v>本科</v>
      </c>
      <c r="D4838" s="1" t="str">
        <f>"20220607"</f>
        <v>20220607</v>
      </c>
      <c r="E4838" s="1" t="str">
        <f>"南阳师范学院"</f>
        <v>南阳师范学院</v>
      </c>
      <c r="F4838" s="1" t="str">
        <f>"环境设计"</f>
        <v>环境设计</v>
      </c>
      <c r="G4838" s="1" t="str">
        <f>"河南省镇平县"</f>
        <v>河南省镇平县</v>
      </c>
      <c r="H4838" s="1" t="str">
        <f t="shared" si="2386"/>
        <v>无</v>
      </c>
      <c r="I4838" s="1" t="str">
        <f>"201809－202206在南阳师范学院美术与艺术设计学院环境设计专业就读，全日制本科。"</f>
        <v>201809－202206在南阳师范学院美术与艺术设计学院环境设计专业就读，全日制本科。</v>
      </c>
    </row>
    <row r="4839" spans="1:9">
      <c r="A4839" s="1" t="str">
        <f>"411321200203024216"</f>
        <v>411321200203024216</v>
      </c>
      <c r="B4839" s="1" t="str">
        <f>"共青团员"</f>
        <v>共青团员</v>
      </c>
      <c r="C4839" s="1" t="str">
        <f t="shared" si="2387"/>
        <v>本科</v>
      </c>
      <c r="D4839" s="1" t="str">
        <f>"20240604"</f>
        <v>20240604</v>
      </c>
      <c r="E4839" s="1" t="str">
        <f>"河南牧业经济学院"</f>
        <v>河南牧业经济学院</v>
      </c>
      <c r="F4839" s="1" t="str">
        <f>"网络与新媒体"</f>
        <v>网络与新媒体</v>
      </c>
      <c r="G4839" s="1" t="str">
        <f>"河南省内乡县余关镇孙沟村"</f>
        <v>河南省内乡县余关镇孙沟村</v>
      </c>
      <c r="H4839" s="1" t="str">
        <f t="shared" si="2386"/>
        <v>无</v>
      </c>
      <c r="I4839" s="1" t="str">
        <f>"202009-202406河南牧业经济学院 文法学院 网络与新媒体专业就读"</f>
        <v>202009-202406河南牧业经济学院 文法学院 网络与新媒体专业就读</v>
      </c>
    </row>
    <row r="4840" spans="1:9">
      <c r="A4840" s="1" t="str">
        <f>"410184199105130611"</f>
        <v>410184199105130611</v>
      </c>
      <c r="B4840" s="1" t="str">
        <f t="shared" si="2388"/>
        <v>中共党员</v>
      </c>
      <c r="C4840" s="1" t="str">
        <f t="shared" si="2387"/>
        <v>本科</v>
      </c>
      <c r="D4840" s="1" t="str">
        <f>"20220130"</f>
        <v>20220130</v>
      </c>
      <c r="E4840" s="1" t="str">
        <f>"郑州大学"</f>
        <v>郑州大学</v>
      </c>
      <c r="F4840" s="1" t="str">
        <f>"人力资源管理"</f>
        <v>人力资源管理</v>
      </c>
      <c r="G4840" s="1" t="str">
        <f>"河南省郑州市新郑市褚庄二巷20号"</f>
        <v>河南省郑州市新郑市褚庄二巷20号</v>
      </c>
      <c r="H4840" s="1" t="str">
        <f t="shared" si="2386"/>
        <v>无</v>
      </c>
      <c r="I4840" s="1" t="str">
        <f>"2010年09月-2013年06月 山东科技职业学院 全日制
2019年09月-2022年01月  郑州大学 非全日制
2013年07月-2014年6月  北京东方仁杰展览展示有限公司
2014年07月-2023年06月  新郑市奥兰达贸易有限公司
2023年07月-至今              河南汇宝财税服务有限公司"</f>
        <v>2010年09月-2013年06月 山东科技职业学院 全日制
2019年09月-2022年01月  郑州大学 非全日制
2013年07月-2014年6月  北京东方仁杰展览展示有限公司
2014年07月-2023年06月  新郑市奥兰达贸易有限公司
2023年07月-至今              河南汇宝财税服务有限公司</v>
      </c>
    </row>
    <row r="4841" spans="1:9">
      <c r="A4841" s="1" t="str">
        <f>"411325200202204245"</f>
        <v>411325200202204245</v>
      </c>
      <c r="B4841" s="1" t="str">
        <f t="shared" ref="B4841:B4846" si="2389">"共青团员"</f>
        <v>共青团员</v>
      </c>
      <c r="C4841" s="1" t="str">
        <f t="shared" si="2387"/>
        <v>本科</v>
      </c>
      <c r="D4841" s="1" t="str">
        <f>"2024-07-01"</f>
        <v>2024-07-01</v>
      </c>
      <c r="E4841" s="1" t="str">
        <f>"郑州财经学院"</f>
        <v>郑州财经学院</v>
      </c>
      <c r="F4841" s="1" t="str">
        <f>"财务管理"</f>
        <v>财务管理</v>
      </c>
      <c r="G4841" s="1" t="str">
        <f>"河南省南阳市内乡县"</f>
        <v>河南省南阳市内乡县</v>
      </c>
      <c r="H4841" s="1" t="str">
        <f>"初级会计证书"</f>
        <v>初级会计证书</v>
      </c>
      <c r="I4841" s="1" t="str">
        <f>"2020.9.1-2024.7.1毕业于郑州财经学院至今待业"</f>
        <v>2020.9.1-2024.7.1毕业于郑州财经学院至今待业</v>
      </c>
    </row>
    <row r="4842" spans="1:9">
      <c r="A4842" s="1" t="str">
        <f>"411330199609061536"</f>
        <v>411330199609061536</v>
      </c>
      <c r="B4842" s="1" t="str">
        <f t="shared" ref="B4842:B4847" si="2390">"群众"</f>
        <v>群众</v>
      </c>
      <c r="C4842" s="1" t="str">
        <f>"专科"</f>
        <v>专科</v>
      </c>
      <c r="D4842" s="1" t="str">
        <f>"2018.07"</f>
        <v>2018.07</v>
      </c>
      <c r="E4842" s="1" t="str">
        <f>"许昌职业技术学院"</f>
        <v>许昌职业技术学院</v>
      </c>
      <c r="F4842" s="1" t="str">
        <f>"电气自动化"</f>
        <v>电气自动化</v>
      </c>
      <c r="G4842" s="1" t="str">
        <f>"南阳市西峡县幸福路51号"</f>
        <v>南阳市西峡县幸福路51号</v>
      </c>
      <c r="H4842" s="1" t="str">
        <f t="shared" ref="H4842:H4849" si="2391">"无"</f>
        <v>无</v>
      </c>
      <c r="I4842" s="1" t="str">
        <f>"2015.07--2018.07  许昌职业技术学院
2018.07--2025.09   待业"</f>
        <v>2015.07--2018.07  许昌职业技术学院
2018.07--2025.09   待业</v>
      </c>
    </row>
    <row r="4843" spans="1:9">
      <c r="A4843" s="1" t="str">
        <f>"411327200011030652"</f>
        <v>411327200011030652</v>
      </c>
      <c r="B4843" s="1" t="str">
        <f t="shared" si="2390"/>
        <v>群众</v>
      </c>
      <c r="C4843" s="1" t="str">
        <f t="shared" ref="C4843:C4849" si="2392">"本科"</f>
        <v>本科</v>
      </c>
      <c r="D4843" s="1" t="str">
        <f>"20240701"</f>
        <v>20240701</v>
      </c>
      <c r="E4843" s="1" t="str">
        <f>"河南城建学院"</f>
        <v>河南城建学院</v>
      </c>
      <c r="F4843" s="1" t="str">
        <f>"城乡规划（城市设计方向）"</f>
        <v>城乡规划（城市设计方向）</v>
      </c>
      <c r="G4843" s="1" t="str">
        <f>"河南省新乡市长垣市农业农村局"</f>
        <v>河南省新乡市长垣市农业农村局</v>
      </c>
      <c r="H4843" s="1" t="str">
        <f t="shared" si="2391"/>
        <v>无</v>
      </c>
      <c r="I4843" s="1" t="str">
        <f>"201909-202407河南城建学院就读，建筑与城市规划学院城乡规划（城市设计方向）专业，是全日制学历；202407-至今，长垣市农业农村局工作。"</f>
        <v>201909-202407河南城建学院就读，建筑与城市规划学院城乡规划（城市设计方向）专业，是全日制学历；202407-至今，长垣市农业农村局工作。</v>
      </c>
    </row>
    <row r="4844" spans="1:9">
      <c r="A4844" s="1" t="str">
        <f>"411327199711061526"</f>
        <v>411327199711061526</v>
      </c>
      <c r="B4844" s="1" t="str">
        <f>"中共预备党员"</f>
        <v>中共预备党员</v>
      </c>
      <c r="C4844" s="1" t="str">
        <f t="shared" si="2392"/>
        <v>本科</v>
      </c>
      <c r="D4844" s="1" t="str">
        <f>"20190701"</f>
        <v>20190701</v>
      </c>
      <c r="E4844" s="1" t="str">
        <f>"郑州科技学院"</f>
        <v>郑州科技学院</v>
      </c>
      <c r="F4844" s="1" t="str">
        <f>"财务管理"</f>
        <v>财务管理</v>
      </c>
      <c r="G4844" s="1" t="str">
        <f>"河南省南阳市内乡县湍东镇屈庄村"</f>
        <v>河南省南阳市内乡县湍东镇屈庄村</v>
      </c>
      <c r="H4844" s="1" t="str">
        <f>"英语四级证书"</f>
        <v>英语四级证书</v>
      </c>
      <c r="I4844" s="1" t="str">
        <f>"2015.9.1-2019.7.1 郑州科技学院"</f>
        <v>2015.9.1-2019.7.1 郑州科技学院</v>
      </c>
    </row>
    <row r="4845" spans="1:9">
      <c r="A4845" s="1" t="str">
        <f>"411327199903153724"</f>
        <v>411327199903153724</v>
      </c>
      <c r="B4845" s="1" t="str">
        <f t="shared" si="2389"/>
        <v>共青团员</v>
      </c>
      <c r="C4845" s="1" t="str">
        <f t="shared" si="2392"/>
        <v>本科</v>
      </c>
      <c r="D4845" s="1" t="str">
        <f>"202206"</f>
        <v>202206</v>
      </c>
      <c r="E4845" s="1" t="str">
        <f>"郑州大学"</f>
        <v>郑州大学</v>
      </c>
      <c r="F4845" s="1" t="str">
        <f>"体育教育（师范）"</f>
        <v>体育教育（师范）</v>
      </c>
      <c r="G4845" s="1" t="str">
        <f>"河南省南阳市内乡县桃溪镇大路村"</f>
        <v>河南省南阳市内乡县桃溪镇大路村</v>
      </c>
      <c r="H4845" s="1" t="str">
        <f t="shared" si="2391"/>
        <v>无</v>
      </c>
      <c r="I4845" s="1" t="str">
        <f>"201809-202206  郑州大学就读（体育学院，体育教育（师范）专业）
202209-至今任职于内乡菊潭高级中学，体育教师
"</f>
        <v>201809-202206  郑州大学就读（体育学院，体育教育（师范）专业）
202209-至今任职于内乡菊潭高级中学，体育教师
</v>
      </c>
    </row>
    <row r="4846" spans="1:9">
      <c r="A4846" s="1" t="str">
        <f>"411327200101193121"</f>
        <v>411327200101193121</v>
      </c>
      <c r="B4846" s="1" t="str">
        <f t="shared" si="2389"/>
        <v>共青团员</v>
      </c>
      <c r="C4846" s="1" t="str">
        <f t="shared" si="2392"/>
        <v>本科</v>
      </c>
      <c r="D4846" s="1" t="str">
        <f>"20230701"</f>
        <v>20230701</v>
      </c>
      <c r="E4846" s="1" t="str">
        <f>"河南师范大学"</f>
        <v>河南师范大学</v>
      </c>
      <c r="F4846" s="1" t="str">
        <f>"会计学"</f>
        <v>会计学</v>
      </c>
      <c r="G4846" s="1" t="str">
        <f>"河南省南阳市内乡县城关镇"</f>
        <v>河南省南阳市内乡县城关镇</v>
      </c>
      <c r="H4846" s="1" t="str">
        <f t="shared" si="2391"/>
        <v>无</v>
      </c>
      <c r="I4846" s="1" t="str">
        <f>"201909-202306  河南师范大学 全日制学历 会计学（辅修，有学位证，毕业证有显示）主修：日语"</f>
        <v>201909-202306  河南师范大学 全日制学历 会计学（辅修，有学位证，毕业证有显示）主修：日语</v>
      </c>
    </row>
    <row r="4847" spans="1:9">
      <c r="A4847" s="1" t="str">
        <f>"411327199907100080"</f>
        <v>411327199907100080</v>
      </c>
      <c r="B4847" s="1" t="str">
        <f t="shared" si="2390"/>
        <v>群众</v>
      </c>
      <c r="C4847" s="1" t="str">
        <f t="shared" si="2392"/>
        <v>本科</v>
      </c>
      <c r="D4847" s="1" t="str">
        <f>"2021.07.10"</f>
        <v>2021.07.10</v>
      </c>
      <c r="E4847" s="1" t="str">
        <f>"大连大学"</f>
        <v>大连大学</v>
      </c>
      <c r="F4847" s="1" t="str">
        <f>"音乐表演"</f>
        <v>音乐表演</v>
      </c>
      <c r="G4847" s="1" t="str">
        <f>"内乡县城关镇南园村一组90号"</f>
        <v>内乡县城关镇南园村一组90号</v>
      </c>
      <c r="H4847" s="1" t="str">
        <f t="shared" si="2391"/>
        <v>无</v>
      </c>
      <c r="I4847" s="1" t="str">
        <f>"2014.9.1-2017.6.9就读于内乡一高
2017.9.10-2020.7.1就读于大连大学
2021.7.10-2023.10待业
2023.10-至今任职于新野县委"</f>
        <v>2014.9.1-2017.6.9就读于内乡一高
2017.9.10-2020.7.1就读于大连大学
2021.7.10-2023.10待业
2023.10-至今任职于新野县委</v>
      </c>
    </row>
    <row r="4848" spans="1:9">
      <c r="A4848" s="1" t="str">
        <f>"411327199802270024"</f>
        <v>411327199802270024</v>
      </c>
      <c r="B4848" s="1" t="str">
        <f t="shared" ref="B4848:B4852" si="2393">"中共党员"</f>
        <v>中共党员</v>
      </c>
      <c r="C4848" s="1" t="str">
        <f t="shared" si="2392"/>
        <v>本科</v>
      </c>
      <c r="D4848" s="1" t="str">
        <f>"20200701"</f>
        <v>20200701</v>
      </c>
      <c r="E4848" s="1" t="str">
        <f>"河南工程学院"</f>
        <v>河南工程学院</v>
      </c>
      <c r="F4848" s="1" t="str">
        <f>"资源环境科学"</f>
        <v>资源环境科学</v>
      </c>
      <c r="G4848" s="1" t="str">
        <f>"河南省南阳市内乡县城关镇金龙小区"</f>
        <v>河南省南阳市内乡县城关镇金龙小区</v>
      </c>
      <c r="H4848" s="1" t="str">
        <f t="shared" si="2391"/>
        <v>无</v>
      </c>
      <c r="I4848" s="1" t="str">
        <f>"2016.09-2020.07在河南工程学院资源与环境学院资源环境科学专业就读，全日制学历；
2020.09-2021.08在南阳清新环保检测科技有限公司工作；
2021.09-至今在南阳瑞鑫劳务派遣有限公司派遣至南阳市生态环境局内乡分局工作。"</f>
        <v>2016.09-2020.07在河南工程学院资源与环境学院资源环境科学专业就读，全日制学历；
2020.09-2021.08在南阳清新环保检测科技有限公司工作；
2021.09-至今在南阳瑞鑫劳务派遣有限公司派遣至南阳市生态环境局内乡分局工作。</v>
      </c>
    </row>
    <row r="4849" spans="1:9">
      <c r="A4849" s="1" t="str">
        <f>"410725200206013623"</f>
        <v>410725200206013623</v>
      </c>
      <c r="B4849" s="1" t="str">
        <f t="shared" si="2393"/>
        <v>中共党员</v>
      </c>
      <c r="C4849" s="1" t="str">
        <f t="shared" si="2392"/>
        <v>本科</v>
      </c>
      <c r="D4849" s="1" t="str">
        <f>"2025.6.12"</f>
        <v>2025.6.12</v>
      </c>
      <c r="E4849" s="1" t="str">
        <f>"郑州工业应用技术学院"</f>
        <v>郑州工业应用技术学院</v>
      </c>
      <c r="F4849" s="1" t="str">
        <f>"学前教育"</f>
        <v>学前教育</v>
      </c>
      <c r="G4849" s="1" t="str">
        <f>"河南省新乡市原阳县阳和街道"</f>
        <v>河南省新乡市原阳县阳和街道</v>
      </c>
      <c r="H4849" s="1" t="str">
        <f t="shared" si="2391"/>
        <v>无</v>
      </c>
      <c r="I4849" s="1" t="str">
        <f>"2008.9.1-2014.7.1原阳县新城思谦学校  就读
2014.9.1-2017.7.1辉县市永和中学  就读
2017.9.1-2020.7.1原阳县第三高级中学  就读
2020.9.1-2023.7.1南阳职业学院  就读
2023.9.1-2025.6.12郑州工业应用技术学院  就读"</f>
        <v>2008.9.1-2014.7.1原阳县新城思谦学校  就读
2014.9.1-2017.7.1辉县市永和中学  就读
2017.9.1-2020.7.1原阳县第三高级中学  就读
2020.9.1-2023.7.1南阳职业学院  就读
2023.9.1-2025.6.12郑州工业应用技术学院  就读</v>
      </c>
    </row>
    <row r="4850" spans="1:9">
      <c r="A4850" s="1" t="str">
        <f>"411327200205221510"</f>
        <v>411327200205221510</v>
      </c>
      <c r="B4850" s="1" t="str">
        <f t="shared" ref="B4850:B4855" si="2394">"群众"</f>
        <v>群众</v>
      </c>
      <c r="C4850" s="1" t="str">
        <f>"专科"</f>
        <v>专科</v>
      </c>
      <c r="D4850" s="1" t="str">
        <f>"20230701"</f>
        <v>20230701</v>
      </c>
      <c r="E4850" s="1" t="str">
        <f>"商丘职业技术学院"</f>
        <v>商丘职业技术学院</v>
      </c>
      <c r="F4850" s="1" t="str">
        <f>"机电一体化技术"</f>
        <v>机电一体化技术</v>
      </c>
      <c r="G4850" s="1" t="str">
        <f>"内乡县集贸市场百货小区"</f>
        <v>内乡县集贸市场百货小区</v>
      </c>
      <c r="H4850" s="1" t="str">
        <f>"低压电工证书。"</f>
        <v>低压电工证书。</v>
      </c>
      <c r="I4850" s="1" t="str">
        <f>"202009-202307商丘职业技术学院机电一体化技术专业就读，为全日制。"</f>
        <v>202009-202307商丘职业技术学院机电一体化技术专业就读，为全日制。</v>
      </c>
    </row>
    <row r="4851" spans="1:9">
      <c r="A4851" s="1" t="str">
        <f>"41032520000619988X"</f>
        <v>41032520000619988X</v>
      </c>
      <c r="B4851" s="1" t="str">
        <f t="shared" si="2393"/>
        <v>中共党员</v>
      </c>
      <c r="C4851" s="1" t="str">
        <f t="shared" ref="C4851:C4855" si="2395">"本科"</f>
        <v>本科</v>
      </c>
      <c r="D4851" s="1" t="str">
        <f>"20240701"</f>
        <v>20240701</v>
      </c>
      <c r="E4851" s="1" t="str">
        <f>"中原科技学院"</f>
        <v>中原科技学院</v>
      </c>
      <c r="F4851" s="1" t="str">
        <f>"学前教育"</f>
        <v>学前教育</v>
      </c>
      <c r="G4851" s="1" t="str">
        <f>"河南省洛阳市嵩县城关镇于沟村"</f>
        <v>河南省洛阳市嵩县城关镇于沟村</v>
      </c>
      <c r="H4851" s="1" t="str">
        <f t="shared" ref="H4851:H4853" si="2396">"无"</f>
        <v>无</v>
      </c>
      <c r="I4851" s="1" t="str">
        <f>"2016-09 至 2019-06 河南省洛阳市嵩县实验中学 无
2019-09至2022-07河南省商丘市睢阳区商丘职业技术学院师范学院英语教育专科学习委员
2022-09至2024-07河南省郑州市中牟县中原科技学院教育学院学前教育本科心理委员"</f>
        <v>2016-09 至 2019-06 河南省洛阳市嵩县实验中学 无
2019-09至2022-07河南省商丘市睢阳区商丘职业技术学院师范学院英语教育专科学习委员
2022-09至2024-07河南省郑州市中牟县中原科技学院教育学院学前教育本科心理委员</v>
      </c>
    </row>
    <row r="4852" spans="1:9">
      <c r="A4852" s="1" t="str">
        <f>"410425200208206094"</f>
        <v>410425200208206094</v>
      </c>
      <c r="B4852" s="1" t="str">
        <f t="shared" si="2393"/>
        <v>中共党员</v>
      </c>
      <c r="C4852" s="1" t="str">
        <f t="shared" si="2395"/>
        <v>本科</v>
      </c>
      <c r="D4852" s="1" t="str">
        <f>"20240601"</f>
        <v>20240601</v>
      </c>
      <c r="E4852" s="1" t="str">
        <f>"西北民族大学"</f>
        <v>西北民族大学</v>
      </c>
      <c r="F4852" s="1" t="str">
        <f>"英语"</f>
        <v>英语</v>
      </c>
      <c r="G4852" s="1" t="str">
        <f>"河南省郑州市金水区"</f>
        <v>河南省郑州市金水区</v>
      </c>
      <c r="H4852" s="1" t="str">
        <f t="shared" si="2396"/>
        <v>无</v>
      </c>
      <c r="I4852" s="1" t="str">
        <f>"202009-202406 西北民族大学 外国语学院 就读英语专业 全日制
202406-202507 郑州待业
"</f>
        <v>202009-202406 西北民族大学 外国语学院 就读英语专业 全日制
202406-202507 郑州待业
</v>
      </c>
    </row>
    <row r="4853" spans="1:9">
      <c r="A4853" s="1" t="str">
        <f>"411327199809130067"</f>
        <v>411327199809130067</v>
      </c>
      <c r="B4853" s="1" t="str">
        <f t="shared" si="2394"/>
        <v>群众</v>
      </c>
      <c r="C4853" s="1" t="str">
        <f t="shared" si="2395"/>
        <v>本科</v>
      </c>
      <c r="D4853" s="1" t="str">
        <f>"20210701"</f>
        <v>20210701</v>
      </c>
      <c r="E4853" s="1" t="str">
        <f>"郑州科技学院"</f>
        <v>郑州科技学院</v>
      </c>
      <c r="F4853" s="1" t="str">
        <f>"物流管理"</f>
        <v>物流管理</v>
      </c>
      <c r="G4853" s="1" t="str">
        <f>"河南省内乡县菊香苑小区"</f>
        <v>河南省内乡县菊香苑小区</v>
      </c>
      <c r="H4853" s="1" t="str">
        <f t="shared" si="2396"/>
        <v>无</v>
      </c>
      <c r="I4853" s="1" t="str">
        <f>"2016.09.01-2019.07.01就读于三门峡职业技术学院经济管理系物流管理专业
2019.09.01-2021.07.01就读于郑州科技学院经济管理系物流管理专业"</f>
        <v>2016.09.01-2019.07.01就读于三门峡职业技术学院经济管理系物流管理专业
2019.09.01-2021.07.01就读于郑州科技学院经济管理系物流管理专业</v>
      </c>
    </row>
    <row r="4854" spans="1:9">
      <c r="A4854" s="1" t="str">
        <f>"411327200302221547"</f>
        <v>411327200302221547</v>
      </c>
      <c r="B4854" s="1" t="str">
        <f>"中共党员"</f>
        <v>中共党员</v>
      </c>
      <c r="C4854" s="1" t="str">
        <f t="shared" si="2395"/>
        <v>本科</v>
      </c>
      <c r="D4854" s="1" t="str">
        <f>"20250710"</f>
        <v>20250710</v>
      </c>
      <c r="E4854" s="1" t="str">
        <f>"江西科技学院"</f>
        <v>江西科技学院</v>
      </c>
      <c r="F4854" s="1" t="str">
        <f>"计算机科学与技术"</f>
        <v>计算机科学与技术</v>
      </c>
      <c r="G4854" s="1" t="str">
        <f>"河南省南阳市内乡县湍东镇"</f>
        <v>河南省南阳市内乡县湍东镇</v>
      </c>
      <c r="H4854" s="1" t="str">
        <f>"系统集成项目管理工程师中级"</f>
        <v>系统集成项目管理工程师中级</v>
      </c>
      <c r="I4854" s="1" t="str">
        <f>"202109-202507 江西科技学院信息工程学院计算机科学与技术专业，全日制
201809-202106 内乡县高级中学就读
201509-201806 复兴学校就读
200809-201506 内乡县北符营中心学校就读"</f>
        <v>202109-202507 江西科技学院信息工程学院计算机科学与技术专业，全日制
201809-202106 内乡县高级中学就读
201509-201806 复兴学校就读
200809-201506 内乡县北符营中心学校就读</v>
      </c>
    </row>
    <row r="4855" spans="1:9">
      <c r="A4855" s="1" t="str">
        <f>"413001199912133524"</f>
        <v>413001199912133524</v>
      </c>
      <c r="B4855" s="1" t="str">
        <f t="shared" si="2394"/>
        <v>群众</v>
      </c>
      <c r="C4855" s="1" t="str">
        <f t="shared" si="2395"/>
        <v>本科</v>
      </c>
      <c r="D4855" s="1" t="str">
        <f>"20250620"</f>
        <v>20250620</v>
      </c>
      <c r="E4855" s="1" t="str">
        <f>"洛阳师范学院"</f>
        <v>洛阳师范学院</v>
      </c>
      <c r="F4855" s="1" t="str">
        <f>"小学教育"</f>
        <v>小学教育</v>
      </c>
      <c r="G4855" s="1" t="str">
        <f>"河南省信阳市羊山新区创业花园"</f>
        <v>河南省信阳市羊山新区创业花园</v>
      </c>
      <c r="H4855" s="1" t="str">
        <f t="shared" ref="H4855:H4857" si="2397">"无"</f>
        <v>无</v>
      </c>
      <c r="I4855" s="1" t="str">
        <f>"2015年9月———2018年6月 潢川幼儿师范学校（全日制）学前教育
2018年9月———2021年6月 平顶山职业技术学院（全日制）学前教育
2021年6月———2023年2月在家待业
2023年4月———2025年6月 洛阳师范学院（成人本科）小学教育
2023年3月———至今  在羊山新区行政服务中心 （无编）"</f>
        <v>2015年9月———2018年6月 潢川幼儿师范学校（全日制）学前教育
2018年9月———2021年6月 平顶山职业技术学院（全日制）学前教育
2021年6月———2023年2月在家待业
2023年4月———2025年6月 洛阳师范学院（成人本科）小学教育
2023年3月———至今  在羊山新区行政服务中心 （无编）</v>
      </c>
    </row>
    <row r="4856" spans="1:9">
      <c r="A4856" s="1" t="str">
        <f>"411324200101220530"</f>
        <v>411324200101220530</v>
      </c>
      <c r="B4856" s="1" t="str">
        <f t="shared" ref="B4856:B4860" si="2398">"共青团员"</f>
        <v>共青团员</v>
      </c>
      <c r="C4856" s="1" t="str">
        <f t="shared" ref="C4856:C4860" si="2399">"专科"</f>
        <v>专科</v>
      </c>
      <c r="D4856" s="1" t="str">
        <f>"20220701"</f>
        <v>20220701</v>
      </c>
      <c r="E4856" s="1" t="str">
        <f>"信阳农林学院"</f>
        <v>信阳农林学院</v>
      </c>
      <c r="F4856" s="1" t="str">
        <f>"环境艺术设计"</f>
        <v>环境艺术设计</v>
      </c>
      <c r="G4856" s="1" t="str">
        <f>"河南省南阳市镇平县城郊乡泰山庙村南四里沟"</f>
        <v>河南省南阳市镇平县城郊乡泰山庙村南四里沟</v>
      </c>
      <c r="H4856" s="1" t="str">
        <f t="shared" si="2397"/>
        <v>无</v>
      </c>
      <c r="I4856" s="1" t="str">
        <f>"201909-202207 信阳农林学院 规划与设计学院 环境艺术设计 全日制 
202207-202312 在家待业
202401-至今 南阳市公安局交通管理支队第十一勤务大队"</f>
        <v>201909-202207 信阳农林学院 规划与设计学院 环境艺术设计 全日制 
202207-202312 在家待业
202401-至今 南阳市公安局交通管理支队第十一勤务大队</v>
      </c>
    </row>
    <row r="4857" spans="1:9">
      <c r="A4857" s="1" t="str">
        <f>"411327199710024221"</f>
        <v>411327199710024221</v>
      </c>
      <c r="B4857" s="1" t="str">
        <f t="shared" si="2398"/>
        <v>共青团员</v>
      </c>
      <c r="C4857" s="1" t="str">
        <f t="shared" ref="C4857:C4866" si="2400">"本科"</f>
        <v>本科</v>
      </c>
      <c r="D4857" s="1" t="str">
        <f>"20200630"</f>
        <v>20200630</v>
      </c>
      <c r="E4857" s="1" t="str">
        <f>"井冈山大学"</f>
        <v>井冈山大学</v>
      </c>
      <c r="F4857" s="1" t="str">
        <f>"英语(师范类)"</f>
        <v>英语(师范类)</v>
      </c>
      <c r="G4857" s="1" t="str">
        <f>"河南省南阳市内乡县城关镇黄金广场附近"</f>
        <v>河南省南阳市内乡县城关镇黄金广场附近</v>
      </c>
      <c r="H4857" s="1" t="str">
        <f t="shared" si="2397"/>
        <v>无</v>
      </c>
      <c r="I4857" s="1" t="str">
        <f>"201609-202006 井冈山大学 就读 外国语学院 英语（师范类）专业，是全日制本科学历
202007-202008 在内乡待业
202009-202307 内乡菊潭学校 担任八年级英语教师
202308-202404 南阳文创专升本 担任英语教师
202405-202501 在内乡待业
202502-202506 内乡复兴学校 担任八年级英语教师"</f>
        <v>201609-202006 井冈山大学 就读 外国语学院 英语（师范类）专业，是全日制本科学历
202007-202008 在内乡待业
202009-202307 内乡菊潭学校 担任八年级英语教师
202308-202404 南阳文创专升本 担任英语教师
202405-202501 在内乡待业
202502-202506 内乡复兴学校 担任八年级英语教师</v>
      </c>
    </row>
    <row r="4858" spans="1:9">
      <c r="A4858" s="1" t="str">
        <f>"41132720001016005X"</f>
        <v>41132720001016005X</v>
      </c>
      <c r="B4858" s="1" t="str">
        <f>"中共党员"</f>
        <v>中共党员</v>
      </c>
      <c r="C4858" s="1" t="str">
        <f t="shared" si="2399"/>
        <v>专科</v>
      </c>
      <c r="D4858" s="1" t="str">
        <f>"20230630"</f>
        <v>20230630</v>
      </c>
      <c r="E4858" s="1" t="str">
        <f>"常州信息职业技术学院"</f>
        <v>常州信息职业技术学院</v>
      </c>
      <c r="F4858" s="1" t="str">
        <f>"互联网金融"</f>
        <v>互联网金融</v>
      </c>
      <c r="G4858" s="1" t="str">
        <f>"河南省内乡县城关镇北园村"</f>
        <v>河南省内乡县城关镇北园村</v>
      </c>
      <c r="H4858" s="1" t="str">
        <f>"工业和信息化人才能力提升证书 基础级"</f>
        <v>工业和信息化人才能力提升证书 基础级</v>
      </c>
      <c r="I4858" s="1" t="str">
        <f>"201809-202006 常州信息职业技术学院  就读
202009-202209 中国人民解放军空军      服役
202209-202306 常州信息职业技术学院  就读
202309-至今      内乡县城关镇人民政府  工作"</f>
        <v>201809-202006 常州信息职业技术学院  就读
202009-202209 中国人民解放军空军      服役
202209-202306 常州信息职业技术学院  就读
202309-至今      内乡县城关镇人民政府  工作</v>
      </c>
    </row>
    <row r="4859" spans="1:9">
      <c r="A4859" s="1" t="str">
        <f>"411324200111196060"</f>
        <v>411324200111196060</v>
      </c>
      <c r="B4859" s="1" t="str">
        <f t="shared" si="2398"/>
        <v>共青团员</v>
      </c>
      <c r="C4859" s="1" t="str">
        <f t="shared" si="2400"/>
        <v>本科</v>
      </c>
      <c r="D4859" s="1" t="str">
        <f>"20240701"</f>
        <v>20240701</v>
      </c>
      <c r="E4859" s="1" t="str">
        <f>"河南大学"</f>
        <v>河南大学</v>
      </c>
      <c r="F4859" s="1" t="str">
        <f>"动画"</f>
        <v>动画</v>
      </c>
      <c r="G4859" s="1" t="str">
        <f>"河南省南阳市镇平县石佛寺镇新民路72号"</f>
        <v>河南省南阳市镇平县石佛寺镇新民路72号</v>
      </c>
      <c r="H4859" s="1" t="str">
        <f t="shared" ref="H4859:H4875" si="2401">"无"</f>
        <v>无</v>
      </c>
      <c r="I4859" s="1" t="str">
        <f>"202009-202407 河南大学美术学院动画专业就读 全日制学历
202407-至今 在河南省南阳市待业"</f>
        <v>202009-202407 河南大学美术学院动画专业就读 全日制学历
202407-至今 在河南省南阳市待业</v>
      </c>
    </row>
    <row r="4860" spans="1:9">
      <c r="A4860" s="1" t="str">
        <f>"420682199801304538"</f>
        <v>420682199801304538</v>
      </c>
      <c r="B4860" s="1" t="str">
        <f t="shared" si="2398"/>
        <v>共青团员</v>
      </c>
      <c r="C4860" s="1" t="str">
        <f t="shared" si="2399"/>
        <v>专科</v>
      </c>
      <c r="D4860" s="1" t="str">
        <f>"20200607"</f>
        <v>20200607</v>
      </c>
      <c r="E4860" s="1" t="str">
        <f>"武汉船舶职业技术学院"</f>
        <v>武汉船舶职业技术学院</v>
      </c>
      <c r="F4860" s="1" t="str">
        <f>"城市轨道交通机电技术"</f>
        <v>城市轨道交通机电技术</v>
      </c>
      <c r="G4860" s="1" t="str">
        <f>"湖北省老河口市孟楼镇"</f>
        <v>湖北省老河口市孟楼镇</v>
      </c>
      <c r="H4860" s="1" t="str">
        <f t="shared" si="2401"/>
        <v>无</v>
      </c>
      <c r="I4860" s="1" t="str">
        <f>"201709-202006武汉船舶职业技术学院 机电院系 城市轨道交通机电技术专业就读
202007-202507武汉地铁运营有限公司就业"</f>
        <v>201709-202006武汉船舶职业技术学院 机电院系 城市轨道交通机电技术专业就读
202007-202507武汉地铁运营有限公司就业</v>
      </c>
    </row>
    <row r="4861" spans="1:9">
      <c r="A4861" s="1" t="str">
        <f>"411325200305122146"</f>
        <v>411325200305122146</v>
      </c>
      <c r="B4861" s="1" t="str">
        <f>"中共党员"</f>
        <v>中共党员</v>
      </c>
      <c r="C4861" s="1" t="str">
        <f t="shared" si="2400"/>
        <v>本科</v>
      </c>
      <c r="D4861" s="1" t="str">
        <f>"20250617"</f>
        <v>20250617</v>
      </c>
      <c r="E4861" s="1" t="str">
        <f>"商丘学院"</f>
        <v>商丘学院</v>
      </c>
      <c r="F4861" s="1" t="str">
        <f>"小学教育（师范）"</f>
        <v>小学教育（师范）</v>
      </c>
      <c r="G4861" s="1" t="str">
        <f>"河南省内乡县宏达南路"</f>
        <v>河南省内乡县宏达南路</v>
      </c>
      <c r="H4861" s="1" t="str">
        <f t="shared" si="2401"/>
        <v>无</v>
      </c>
      <c r="I4861" s="1" t="str">
        <f>"202009—202306在开封文化艺术职业学院学前教育学院学前教育专业就读
202309—202506在商丘学院人文学院小学教育专业就读"</f>
        <v>202009—202306在开封文化艺术职业学院学前教育学院学前教育专业就读
202309—202506在商丘学院人文学院小学教育专业就读</v>
      </c>
    </row>
    <row r="4862" spans="1:9">
      <c r="A4862" s="1" t="str">
        <f>"411327200111023927"</f>
        <v>411327200111023927</v>
      </c>
      <c r="B4862" s="1" t="str">
        <f>"共青团员"</f>
        <v>共青团员</v>
      </c>
      <c r="C4862" s="1" t="str">
        <f t="shared" si="2400"/>
        <v>本科</v>
      </c>
      <c r="D4862" s="1" t="str">
        <f>"20230630"</f>
        <v>20230630</v>
      </c>
      <c r="E4862" s="1" t="str">
        <f>"南华大学"</f>
        <v>南华大学</v>
      </c>
      <c r="F4862" s="1" t="str">
        <f>"工商管理"</f>
        <v>工商管理</v>
      </c>
      <c r="G4862" s="1" t="str">
        <f>"河南省南阳市内乡县"</f>
        <v>河南省南阳市内乡县</v>
      </c>
      <c r="H4862" s="1" t="str">
        <f t="shared" si="2401"/>
        <v>无</v>
      </c>
      <c r="I4862" s="1" t="str">
        <f>"201909-202306 南华大学 经济管理与法学学院 工商管理专业就读
202308-202507 西部计划志愿者服务于广东省河源市连平县田源镇人民政府"</f>
        <v>201909-202306 南华大学 经济管理与法学学院 工商管理专业就读
202308-202507 西部计划志愿者服务于广东省河源市连平县田源镇人民政府</v>
      </c>
    </row>
    <row r="4863" spans="1:9">
      <c r="A4863" s="1" t="str">
        <f>"411327199907041527"</f>
        <v>411327199907041527</v>
      </c>
      <c r="B4863" s="1" t="str">
        <f t="shared" ref="B4863:B4865" si="2402">"群众"</f>
        <v>群众</v>
      </c>
      <c r="C4863" s="1" t="str">
        <f t="shared" si="2400"/>
        <v>本科</v>
      </c>
      <c r="D4863" s="1" t="str">
        <f>"20220701"</f>
        <v>20220701</v>
      </c>
      <c r="E4863" s="1" t="str">
        <f>"河南城建学院"</f>
        <v>河南城建学院</v>
      </c>
      <c r="F4863" s="1" t="str">
        <f>"环境工程"</f>
        <v>环境工程</v>
      </c>
      <c r="G4863" s="1" t="str">
        <f>"河南省南阳市内乡县湍东镇赵沟村"</f>
        <v>河南省南阳市内乡县湍东镇赵沟村</v>
      </c>
      <c r="H4863" s="1" t="str">
        <f t="shared" si="2401"/>
        <v>无</v>
      </c>
      <c r="I4863" s="1" t="str">
        <f>"201709-202007 洛阳理工学院 环境工程与化学学院 工业分析技术专业就读
202009-202207  河南城建学院 市政与环境工程学院 环境工程专业就读
202207至今   内乡县夏馆镇人民政府工作"</f>
        <v>201709-202007 洛阳理工学院 环境工程与化学学院 工业分析技术专业就读
202009-202207  河南城建学院 市政与环境工程学院 环境工程专业就读
202207至今   内乡县夏馆镇人民政府工作</v>
      </c>
    </row>
    <row r="4864" spans="1:9">
      <c r="A4864" s="1" t="str">
        <f>"411381199705084519"</f>
        <v>411381199705084519</v>
      </c>
      <c r="B4864" s="1" t="str">
        <f t="shared" si="2402"/>
        <v>群众</v>
      </c>
      <c r="C4864" s="1" t="str">
        <f t="shared" si="2400"/>
        <v>本科</v>
      </c>
      <c r="D4864" s="1" t="str">
        <f>"2020.07"</f>
        <v>2020.07</v>
      </c>
      <c r="E4864" s="1" t="str">
        <f>"长江大学"</f>
        <v>长江大学</v>
      </c>
      <c r="F4864" s="1" t="str">
        <f>"资源勘查工程"</f>
        <v>资源勘查工程</v>
      </c>
      <c r="G4864" s="1" t="str">
        <f>"河南省南阳市内乡县城关镇"</f>
        <v>河南省南阳市内乡县城关镇</v>
      </c>
      <c r="H4864" s="1" t="str">
        <f t="shared" si="2401"/>
        <v>无</v>
      </c>
      <c r="I4864" s="1" t="str">
        <f>"2016-2020 长江大学全日制本科
2020-2022  顺丰乡镇代理
2023-至今   东北大鹌鹑工作室"</f>
        <v>2016-2020 长江大学全日制本科
2020-2022  顺丰乡镇代理
2023-至今   东北大鹌鹑工作室</v>
      </c>
    </row>
    <row r="4865" spans="1:9">
      <c r="A4865" s="1" t="str">
        <f>"411327200108230028"</f>
        <v>411327200108230028</v>
      </c>
      <c r="B4865" s="1" t="str">
        <f t="shared" si="2402"/>
        <v>群众</v>
      </c>
      <c r="C4865" s="1" t="str">
        <f t="shared" si="2400"/>
        <v>本科</v>
      </c>
      <c r="D4865" s="1" t="str">
        <f>"20230701"</f>
        <v>20230701</v>
      </c>
      <c r="E4865" s="1" t="str">
        <f>"郑州工业应用技术学院"</f>
        <v>郑州工业应用技术学院</v>
      </c>
      <c r="F4865" s="1" t="str">
        <f>"电气工程及其自动化"</f>
        <v>电气工程及其自动化</v>
      </c>
      <c r="G4865" s="1" t="str">
        <f>"河南省南阳市内乡县城关镇西城组"</f>
        <v>河南省南阳市内乡县城关镇西城组</v>
      </c>
      <c r="H4865" s="1" t="str">
        <f t="shared" si="2401"/>
        <v>无</v>
      </c>
      <c r="I4865" s="1" t="str">
        <f>"201909-202307郑州工业应用技术学院 机电学院电气工程及其自动化专业 全日制本科
202307至今待业"</f>
        <v>201909-202307郑州工业应用技术学院 机电学院电气工程及其自动化专业 全日制本科
202307至今待业</v>
      </c>
    </row>
    <row r="4866" spans="1:9">
      <c r="A4866" s="1" t="str">
        <f>"411330200104061528"</f>
        <v>411330200104061528</v>
      </c>
      <c r="B4866" s="1" t="str">
        <f t="shared" ref="B4866:B4869" si="2403">"中共党员"</f>
        <v>中共党员</v>
      </c>
      <c r="C4866" s="1" t="str">
        <f t="shared" si="2400"/>
        <v>本科</v>
      </c>
      <c r="D4866" s="1" t="str">
        <f>"20240630"</f>
        <v>20240630</v>
      </c>
      <c r="E4866" s="1" t="str">
        <f>"郑州商学院"</f>
        <v>郑州商学院</v>
      </c>
      <c r="F4866" s="1" t="str">
        <f>"工商管理"</f>
        <v>工商管理</v>
      </c>
      <c r="G4866" s="1" t="str">
        <f>"河南南阳西峡县"</f>
        <v>河南南阳西峡县</v>
      </c>
      <c r="H4866" s="1" t="str">
        <f t="shared" si="2401"/>
        <v>无</v>
      </c>
      <c r="I4866" s="1" t="str">
        <f>"2007年9月至2013年6月在西峡县城区二小
2013年9月至2016年6年在西峡县城区一中
2016年9月至2019年6月在西峡县中等职业学校
2019年9月至2022年6月在焦作师范高等专科学校
2022年9月至2024年6月在郑州商学院
2024年6月至今待业"</f>
        <v>2007年9月至2013年6月在西峡县城区二小
2013年9月至2016年6年在西峡县城区一中
2016年9月至2019年6月在西峡县中等职业学校
2019年9月至2022年6月在焦作师范高等专科学校
2022年9月至2024年6月在郑州商学院
2024年6月至今待业</v>
      </c>
    </row>
    <row r="4867" spans="1:9">
      <c r="A4867" s="1" t="str">
        <f>"411327199912100026"</f>
        <v>411327199912100026</v>
      </c>
      <c r="B4867" s="1" t="str">
        <f t="shared" ref="B4867:B4875" si="2404">"群众"</f>
        <v>群众</v>
      </c>
      <c r="C4867" s="1" t="str">
        <f>"专科"</f>
        <v>专科</v>
      </c>
      <c r="D4867" s="1" t="str">
        <f>"20200607"</f>
        <v>20200607</v>
      </c>
      <c r="E4867" s="1" t="str">
        <f>"南阳幼儿师范学校"</f>
        <v>南阳幼儿师范学校</v>
      </c>
      <c r="F4867" s="1" t="str">
        <f>"学前教育"</f>
        <v>学前教育</v>
      </c>
      <c r="G4867" s="1" t="str">
        <f>"河南省南阳市内乡县"</f>
        <v>河南省南阳市内乡县</v>
      </c>
      <c r="H4867" s="1" t="str">
        <f t="shared" si="2401"/>
        <v>无</v>
      </c>
      <c r="I4867" s="1" t="str">
        <f>"2015-2020在南阳幼儿师范学校学前教育系就读
2020-2021疫情在家
2021至今于内乡县幼儿园从事教师工作"</f>
        <v>2015-2020在南阳幼儿师范学校学前教育系就读
2020-2021疫情在家
2021至今于内乡县幼儿园从事教师工作</v>
      </c>
    </row>
    <row r="4868" spans="1:9">
      <c r="A4868" s="1" t="str">
        <f>"411327199108100316"</f>
        <v>411327199108100316</v>
      </c>
      <c r="B4868" s="1" t="str">
        <f t="shared" si="2403"/>
        <v>中共党员</v>
      </c>
      <c r="C4868" s="1" t="str">
        <f t="shared" ref="C4868:C4873" si="2405">"本科"</f>
        <v>本科</v>
      </c>
      <c r="D4868" s="1" t="str">
        <f>"20160601"</f>
        <v>20160601</v>
      </c>
      <c r="E4868" s="1" t="str">
        <f>"湖南工业大学"</f>
        <v>湖南工业大学</v>
      </c>
      <c r="F4868" s="1" t="str">
        <f>"社会体育"</f>
        <v>社会体育</v>
      </c>
      <c r="G4868" s="1" t="str">
        <f>"河南省南阳市内乡县大桥乡"</f>
        <v>河南省南阳市内乡县大桥乡</v>
      </c>
      <c r="H4868" s="1" t="str">
        <f t="shared" si="2401"/>
        <v>无</v>
      </c>
      <c r="I4868" s="1" t="str">
        <f>"2012-2016就读湖南工业大学社会体育就读
2017-2018在菊谭学校初中部任教
2019至今在内乡复兴学校任教"</f>
        <v>2012-2016就读湖南工业大学社会体育就读
2017-2018在菊谭学校初中部任教
2019至今在内乡复兴学校任教</v>
      </c>
    </row>
    <row r="4869" spans="1:9">
      <c r="A4869" s="1" t="str">
        <f>"411381200308135920"</f>
        <v>411381200308135920</v>
      </c>
      <c r="B4869" s="1" t="str">
        <f t="shared" si="2403"/>
        <v>中共党员</v>
      </c>
      <c r="C4869" s="1" t="str">
        <f t="shared" si="2405"/>
        <v>本科</v>
      </c>
      <c r="D4869" s="1" t="str">
        <f>"20250701"</f>
        <v>20250701</v>
      </c>
      <c r="E4869" s="1" t="str">
        <f>"兰州交通大学"</f>
        <v>兰州交通大学</v>
      </c>
      <c r="F4869" s="1" t="str">
        <f>"市场营销"</f>
        <v>市场营销</v>
      </c>
      <c r="G4869" s="1" t="str">
        <f>"河南南阳"</f>
        <v>河南南阳</v>
      </c>
      <c r="H4869" s="1" t="str">
        <f t="shared" si="2401"/>
        <v>无</v>
      </c>
      <c r="I4869" s="1" t="str">
        <f>"202109-202106 在兰州交通大学经济管理学院市场营销专业就读，全日制本科。
"</f>
        <v>202109-202106 在兰州交通大学经济管理学院市场营销专业就读，全日制本科。
</v>
      </c>
    </row>
    <row r="4870" spans="1:9">
      <c r="A4870" s="1" t="str">
        <f>"41132720010329003X"</f>
        <v>41132720010329003X</v>
      </c>
      <c r="B4870" s="1" t="str">
        <f t="shared" si="2404"/>
        <v>群众</v>
      </c>
      <c r="C4870" s="1" t="str">
        <f t="shared" si="2405"/>
        <v>本科</v>
      </c>
      <c r="D4870" s="1" t="str">
        <f>"20250111"</f>
        <v>20250111</v>
      </c>
      <c r="E4870" s="1" t="str">
        <f>"河南城建学院"</f>
        <v>河南城建学院</v>
      </c>
      <c r="F4870" s="1" t="str">
        <f>"工程造价（数字化建造方向）"</f>
        <v>工程造价（数字化建造方向）</v>
      </c>
      <c r="G4870" s="1" t="str">
        <f>"0377-65066999"</f>
        <v>0377-65066999</v>
      </c>
      <c r="H4870" s="1" t="str">
        <f t="shared" si="2401"/>
        <v>无</v>
      </c>
      <c r="I4870" s="1" t="str">
        <f>"201909-202501 河南城建学院管理学院工程造价（数字化建造方向）专业就读 全日制学历
"</f>
        <v>201909-202501 河南城建学院管理学院工程造价（数字化建造方向）专业就读 全日制学历
</v>
      </c>
    </row>
    <row r="4871" spans="1:9">
      <c r="A4871" s="1" t="str">
        <f>"412727199804084033"</f>
        <v>412727199804084033</v>
      </c>
      <c r="B4871" s="1" t="str">
        <f>"中共党员"</f>
        <v>中共党员</v>
      </c>
      <c r="C4871" s="1" t="str">
        <f t="shared" si="2405"/>
        <v>本科</v>
      </c>
      <c r="D4871" s="1" t="str">
        <f>"20250620"</f>
        <v>20250620</v>
      </c>
      <c r="E4871" s="1" t="str">
        <f>"北京联合大学"</f>
        <v>北京联合大学</v>
      </c>
      <c r="F4871" s="1" t="str">
        <f>"电气工程及其自动化"</f>
        <v>电气工程及其自动化</v>
      </c>
      <c r="G4871" s="1" t="str">
        <f>"河南省郑州市中原区桐柏北路106号院"</f>
        <v>河南省郑州市中原区桐柏北路106号院</v>
      </c>
      <c r="H4871" s="1" t="str">
        <f t="shared" si="2401"/>
        <v>无</v>
      </c>
      <c r="I4871" s="1" t="str">
        <f>"202309-202506，在北京联合大学城市轨道交通与物流学院电气与控制工程系就读，是全日制学历。"</f>
        <v>202309-202506，在北京联合大学城市轨道交通与物流学院电气与控制工程系就读，是全日制学历。</v>
      </c>
    </row>
    <row r="4872" spans="1:9">
      <c r="A4872" s="1" t="str">
        <f>"411327200204100012"</f>
        <v>411327200204100012</v>
      </c>
      <c r="B4872" s="1" t="str">
        <f t="shared" si="2404"/>
        <v>群众</v>
      </c>
      <c r="C4872" s="1" t="str">
        <f t="shared" si="2405"/>
        <v>本科</v>
      </c>
      <c r="D4872" s="1" t="str">
        <f>"20250701"</f>
        <v>20250701</v>
      </c>
      <c r="E4872" s="1" t="str">
        <f>"郑州商学院"</f>
        <v>郑州商学院</v>
      </c>
      <c r="F4872" s="1" t="str">
        <f>"工程管理"</f>
        <v>工程管理</v>
      </c>
      <c r="G4872" s="1" t="str">
        <f>"河南省南阳市内乡县地毯厂家属院"</f>
        <v>河南省南阳市内乡县地毯厂家属院</v>
      </c>
      <c r="H4872" s="1" t="str">
        <f t="shared" si="2401"/>
        <v>无</v>
      </c>
      <c r="I4872" s="1" t="str">
        <f>"202009-202307安阳职业技术学院
202309-202507郑州商学院
"</f>
        <v>202009-202307安阳职业技术学院
202309-202507郑州商学院
</v>
      </c>
    </row>
    <row r="4873" spans="1:9">
      <c r="A4873" s="1" t="str">
        <f>"411323199101284487"</f>
        <v>411323199101284487</v>
      </c>
      <c r="B4873" s="1" t="str">
        <f t="shared" si="2404"/>
        <v>群众</v>
      </c>
      <c r="C4873" s="1" t="str">
        <f t="shared" si="2405"/>
        <v>本科</v>
      </c>
      <c r="D4873" s="1" t="str">
        <f>"20240701"</f>
        <v>20240701</v>
      </c>
      <c r="E4873" s="1" t="str">
        <f>"南阳师范学院"</f>
        <v>南阳师范学院</v>
      </c>
      <c r="F4873" s="1" t="str">
        <f>"教育学"</f>
        <v>教育学</v>
      </c>
      <c r="G4873" s="1" t="str">
        <f>"淅川县灌河路老车站对面"</f>
        <v>淅川县灌河路老车站对面</v>
      </c>
      <c r="H4873" s="1" t="str">
        <f t="shared" si="2401"/>
        <v>无</v>
      </c>
      <c r="I4873" s="1" t="str">
        <f>"201005至202007在淅川县第二小学任教
201103至201307在河南教育学院学前教育专业函授学习
202008至今在淅川县福森学校任教
202203至202407在南阳师范学院教育学专业函授学习"</f>
        <v>201005至202007在淅川县第二小学任教
201103至201307在河南教育学院学前教育专业函授学习
202008至今在淅川县福森学校任教
202203至202407在南阳师范学院教育学专业函授学习</v>
      </c>
    </row>
    <row r="4874" spans="1:9">
      <c r="A4874" s="1" t="str">
        <f>"411381200304082665"</f>
        <v>411381200304082665</v>
      </c>
      <c r="B4874" s="1" t="str">
        <f t="shared" si="2404"/>
        <v>群众</v>
      </c>
      <c r="C4874" s="1" t="str">
        <f>"专科"</f>
        <v>专科</v>
      </c>
      <c r="D4874" s="1" t="str">
        <f>"20240701"</f>
        <v>20240701</v>
      </c>
      <c r="E4874" s="1" t="str">
        <f>"安阳幼儿师范高等专科学校"</f>
        <v>安阳幼儿师范高等专科学校</v>
      </c>
      <c r="F4874" s="1" t="str">
        <f>"小学教育"</f>
        <v>小学教育</v>
      </c>
      <c r="G4874" s="1" t="str">
        <f>"河南省南阳市镇平县新城广场"</f>
        <v>河南省南阳市镇平县新城广场</v>
      </c>
      <c r="H4874" s="1" t="str">
        <f t="shared" si="2401"/>
        <v>无</v>
      </c>
      <c r="I4874" s="1" t="str">
        <f>"202109-202407安阳幼儿师范高等专科学校汉语言文学系小学教育专业就读 是全日制学历
240407-至今 待业"</f>
        <v>202109-202407安阳幼儿师范高等专科学校汉语言文学系小学教育专业就读 是全日制学历
240407-至今 待业</v>
      </c>
    </row>
    <row r="4875" spans="1:9">
      <c r="A4875" s="1" t="str">
        <f>"411327200208160020"</f>
        <v>411327200208160020</v>
      </c>
      <c r="B4875" s="1" t="str">
        <f t="shared" si="2404"/>
        <v>群众</v>
      </c>
      <c r="C4875" s="1" t="str">
        <f t="shared" ref="C4875:C4878" si="2406">"本科"</f>
        <v>本科</v>
      </c>
      <c r="D4875" s="1" t="str">
        <f>"20200605"</f>
        <v>20200605</v>
      </c>
      <c r="E4875" s="1" t="str">
        <f>"商丘学院"</f>
        <v>商丘学院</v>
      </c>
      <c r="F4875" s="1" t="str">
        <f>"环境设计"</f>
        <v>环境设计</v>
      </c>
      <c r="G4875" s="1" t="str">
        <f>"内乡县城关镇"</f>
        <v>内乡县城关镇</v>
      </c>
      <c r="H4875" s="1" t="str">
        <f t="shared" si="2401"/>
        <v>无</v>
      </c>
      <c r="I4875" s="1" t="str">
        <f>"202009--202406商丘学院就读
202406--2025.6待业"</f>
        <v>202009--202406商丘学院就读
202406--2025.6待业</v>
      </c>
    </row>
    <row r="4876" spans="1:9">
      <c r="A4876" s="1" t="str">
        <f>"41272720010716202X"</f>
        <v>41272720010716202X</v>
      </c>
      <c r="B4876" s="1" t="str">
        <f>"共青团员"</f>
        <v>共青团员</v>
      </c>
      <c r="C4876" s="1" t="str">
        <f t="shared" si="2406"/>
        <v>本科</v>
      </c>
      <c r="D4876" s="1" t="str">
        <f>"20250630"</f>
        <v>20250630</v>
      </c>
      <c r="E4876" s="1" t="str">
        <f>"郑州商学院"</f>
        <v>郑州商学院</v>
      </c>
      <c r="F4876" s="1" t="str">
        <f>"会计学专业"</f>
        <v>会计学专业</v>
      </c>
      <c r="G4876" s="1" t="str">
        <f>"河南省周口市"</f>
        <v>河南省周口市</v>
      </c>
      <c r="H4876" s="1" t="str">
        <f>"初级会计师证书"</f>
        <v>初级会计师证书</v>
      </c>
      <c r="I4876" s="1" t="str">
        <f>"202109-202506郑州商学院在读"</f>
        <v>202109-202506郑州商学院在读</v>
      </c>
    </row>
    <row r="4877" spans="1:9">
      <c r="A4877" s="1" t="str">
        <f>"410728200306126536"</f>
        <v>410728200306126536</v>
      </c>
      <c r="B4877" s="1" t="str">
        <f>"中共预备党员"</f>
        <v>中共预备党员</v>
      </c>
      <c r="C4877" s="1" t="str">
        <f t="shared" si="2406"/>
        <v>本科</v>
      </c>
      <c r="D4877" s="1" t="str">
        <f>"20250607"</f>
        <v>20250607</v>
      </c>
      <c r="E4877" s="1" t="str">
        <f>"重庆工商大学"</f>
        <v>重庆工商大学</v>
      </c>
      <c r="F4877" s="1" t="str">
        <f>"公共管理类城市管理"</f>
        <v>公共管理类城市管理</v>
      </c>
      <c r="G4877" s="1" t="str">
        <f>"河南省新乡市长垣市长城华庭"</f>
        <v>河南省新乡市长垣市长城华庭</v>
      </c>
      <c r="H4877" s="1" t="str">
        <f t="shared" ref="H4877:H4879" si="2407">"无"</f>
        <v>无</v>
      </c>
      <c r="I4877" s="1" t="str">
        <f>"202109-202506 重庆工商大学公共管理学院城市管理专业 就读。全日制学历"</f>
        <v>202109-202506 重庆工商大学公共管理学院城市管理专业 就读。全日制学历</v>
      </c>
    </row>
    <row r="4878" spans="1:9">
      <c r="A4878" s="1" t="str">
        <f>"411321199903175511"</f>
        <v>411321199903175511</v>
      </c>
      <c r="B4878" s="1" t="str">
        <f t="shared" ref="B4878:B4881" si="2408">"群众"</f>
        <v>群众</v>
      </c>
      <c r="C4878" s="1" t="str">
        <f t="shared" si="2406"/>
        <v>本科</v>
      </c>
      <c r="D4878" s="1" t="str">
        <f>"20220622"</f>
        <v>20220622</v>
      </c>
      <c r="E4878" s="1" t="str">
        <f>"郑州大学"</f>
        <v>郑州大学</v>
      </c>
      <c r="F4878" s="1" t="str">
        <f>"工商管理"</f>
        <v>工商管理</v>
      </c>
      <c r="G4878" s="1" t="str">
        <f>"河南省南阳市南召县城郊乡"</f>
        <v>河南省南阳市南召县城郊乡</v>
      </c>
      <c r="H4878" s="1" t="str">
        <f t="shared" si="2407"/>
        <v>无</v>
      </c>
      <c r="I4878" s="1" t="str">
        <f>"201809-202206在郑州大学西亚斯国际学院就读工商管理，全日制学历"</f>
        <v>201809-202206在郑州大学西亚斯国际学院就读工商管理，全日制学历</v>
      </c>
    </row>
    <row r="4879" spans="1:9">
      <c r="A4879" s="1" t="str">
        <f>"411327199202104268"</f>
        <v>411327199202104268</v>
      </c>
      <c r="B4879" s="1" t="str">
        <f t="shared" si="2408"/>
        <v>群众</v>
      </c>
      <c r="C4879" s="1" t="str">
        <f t="shared" ref="C4879:C4882" si="2409">"专科"</f>
        <v>专科</v>
      </c>
      <c r="D4879" s="1" t="str">
        <f>"20240701"</f>
        <v>20240701</v>
      </c>
      <c r="E4879" s="1" t="str">
        <f>"南阳师范"</f>
        <v>南阳师范</v>
      </c>
      <c r="F4879" s="1" t="str">
        <f>"函数"</f>
        <v>函数</v>
      </c>
      <c r="G4879" s="1" t="str">
        <f>"河南省内乡县三里桥附近"</f>
        <v>河南省内乡县三里桥附近</v>
      </c>
      <c r="H4879" s="1" t="str">
        <f t="shared" si="2407"/>
        <v>无</v>
      </c>
      <c r="I4879" s="1" t="str">
        <f>"202203-202407南阳师范学院就读小学教育专业，不是全日制大专"</f>
        <v>202203-202407南阳师范学院就读小学教育专业，不是全日制大专</v>
      </c>
    </row>
    <row r="4880" spans="1:9">
      <c r="A4880" s="1" t="str">
        <f>"41132720010116008X"</f>
        <v>41132720010116008X</v>
      </c>
      <c r="B4880" s="1" t="str">
        <f t="shared" si="2408"/>
        <v>群众</v>
      </c>
      <c r="C4880" s="1" t="str">
        <f t="shared" ref="C4880:C4890" si="2410">"本科"</f>
        <v>本科</v>
      </c>
      <c r="D4880" s="1" t="str">
        <f>"20240630"</f>
        <v>20240630</v>
      </c>
      <c r="E4880" s="1" t="str">
        <f>"新乡学院"</f>
        <v>新乡学院</v>
      </c>
      <c r="F4880" s="1" t="str">
        <f>"汉语国际教育"</f>
        <v>汉语国际教育</v>
      </c>
      <c r="G4880" s="1" t="str">
        <f>"河南省南阳市内乡县城关镇菊潭大街5巷7号"</f>
        <v>河南省南阳市内乡县城关镇菊潭大街5巷7号</v>
      </c>
      <c r="H4880" s="1" t="str">
        <f>"茶艺师三级高级工"</f>
        <v>茶艺师三级高级工</v>
      </c>
      <c r="I4880" s="1" t="str">
        <f>"202009-202406 新乡学院就读 人文学院 中国语言文学类 汉语国际教育专业就读 全日制本科
202406-至今 河南省南阳市内乡县待业"</f>
        <v>202009-202406 新乡学院就读 人文学院 中国语言文学类 汉语国际教育专业就读 全日制本科
202406-至今 河南省南阳市内乡县待业</v>
      </c>
    </row>
    <row r="4881" spans="1:9">
      <c r="A4881" s="1" t="str">
        <f>"411327200206141125"</f>
        <v>411327200206141125</v>
      </c>
      <c r="B4881" s="1" t="str">
        <f t="shared" si="2408"/>
        <v>群众</v>
      </c>
      <c r="C4881" s="1" t="str">
        <f t="shared" si="2409"/>
        <v>专科</v>
      </c>
      <c r="D4881" s="1" t="str">
        <f>"20230701"</f>
        <v>20230701</v>
      </c>
      <c r="E4881" s="1" t="str">
        <f>"鹤壁职业技术学院"</f>
        <v>鹤壁职业技术学院</v>
      </c>
      <c r="F4881" s="1" t="str">
        <f>"语文教育"</f>
        <v>语文教育</v>
      </c>
      <c r="G4881" s="1" t="str">
        <f>"河南省南阳市内乡县三里桥"</f>
        <v>河南省南阳市内乡县三里桥</v>
      </c>
      <c r="H4881" s="1" t="str">
        <f t="shared" ref="H4881:H4897" si="2411">"无"</f>
        <v>无</v>
      </c>
      <c r="I4881" s="1" t="str">
        <f>"202009-202307鹤壁职业技术学院语文教育专业就读，是全日制学历
202309-202402余关镇岳沟小学担任语文教师
202402-202506内乡复兴学校担任语文教师"</f>
        <v>202009-202307鹤壁职业技术学院语文教育专业就读，是全日制学历
202309-202402余关镇岳沟小学担任语文教师
202402-202506内乡复兴学校担任语文教师</v>
      </c>
    </row>
    <row r="4882" spans="1:9">
      <c r="A4882" s="1" t="str">
        <f>"411326200307182413"</f>
        <v>411326200307182413</v>
      </c>
      <c r="B4882" s="1" t="str">
        <f t="shared" ref="B4882:B4886" si="2412">"共青团员"</f>
        <v>共青团员</v>
      </c>
      <c r="C4882" s="1" t="str">
        <f t="shared" si="2409"/>
        <v>专科</v>
      </c>
      <c r="D4882" s="1" t="str">
        <f>"2026年07月01日"</f>
        <v>2026年07月01日</v>
      </c>
      <c r="E4882" s="1" t="str">
        <f>"河南测绘职业学院"</f>
        <v>河南测绘职业学院</v>
      </c>
      <c r="F4882" s="1" t="str">
        <f>"人工智能技术应用"</f>
        <v>人工智能技术应用</v>
      </c>
      <c r="G4882" s="1" t="str">
        <f>"河南省南召县云阳镇鹿鸣山小区"</f>
        <v>河南省南召县云阳镇鹿鸣山小区</v>
      </c>
      <c r="H4882" s="1" t="str">
        <f t="shared" si="2411"/>
        <v>无</v>
      </c>
      <c r="I4882" s="1" t="str">
        <f>"2023年09月至2026年07月在河南测绘职业学院大数据院系人工智能技术应用专业就读"</f>
        <v>2023年09月至2026年07月在河南测绘职业学院大数据院系人工智能技术应用专业就读</v>
      </c>
    </row>
    <row r="4883" spans="1:9">
      <c r="A4883" s="1" t="str">
        <f>"411326200203043697"</f>
        <v>411326200203043697</v>
      </c>
      <c r="B4883" s="1" t="str">
        <f t="shared" si="2412"/>
        <v>共青团员</v>
      </c>
      <c r="C4883" s="1" t="str">
        <f t="shared" si="2410"/>
        <v>本科</v>
      </c>
      <c r="D4883" s="1" t="str">
        <f>"20240630"</f>
        <v>20240630</v>
      </c>
      <c r="E4883" s="1" t="str">
        <f>"黄河科技学院"</f>
        <v>黄河科技学院</v>
      </c>
      <c r="F4883" s="1" t="str">
        <f>"电气工程及其自动化"</f>
        <v>电气工程及其自动化</v>
      </c>
      <c r="G4883" s="1" t="str">
        <f>"河南省南召县芙蓉苑"</f>
        <v>河南省南召县芙蓉苑</v>
      </c>
      <c r="H4883" s="1" t="str">
        <f t="shared" si="2411"/>
        <v>无</v>
      </c>
      <c r="I4883" s="1" t="str">
        <f>"202009-202406 黄河科技学院工学院电气工程及其自动化就读 是全日制学历"</f>
        <v>202009-202406 黄河科技学院工学院电气工程及其自动化就读 是全日制学历</v>
      </c>
    </row>
    <row r="4884" spans="1:9">
      <c r="A4884" s="1" t="str">
        <f>"411381199712013962"</f>
        <v>411381199712013962</v>
      </c>
      <c r="B4884" s="1" t="str">
        <f>"群众"</f>
        <v>群众</v>
      </c>
      <c r="C4884" s="1" t="str">
        <f>"专科"</f>
        <v>专科</v>
      </c>
      <c r="D4884" s="1" t="str">
        <f>"20240701"</f>
        <v>20240701</v>
      </c>
      <c r="E4884" s="1" t="str">
        <f>"黄河科技学院"</f>
        <v>黄河科技学院</v>
      </c>
      <c r="F4884" s="1" t="str">
        <f>"法律事务"</f>
        <v>法律事务</v>
      </c>
      <c r="G4884" s="1" t="str">
        <f>"内乡县城关镇南关幸福小区"</f>
        <v>内乡县城关镇南关幸福小区</v>
      </c>
      <c r="H4884" s="1" t="str">
        <f t="shared" si="2411"/>
        <v>无</v>
      </c>
      <c r="I4884" s="1" t="str">
        <f>"202203-202407黄河科技学院"</f>
        <v>202203-202407黄河科技学院</v>
      </c>
    </row>
    <row r="4885" spans="1:9">
      <c r="A4885" s="1" t="str">
        <f>"410527200202285412"</f>
        <v>410527200202285412</v>
      </c>
      <c r="B4885" s="1" t="str">
        <f t="shared" si="2412"/>
        <v>共青团员</v>
      </c>
      <c r="C4885" s="1" t="str">
        <f t="shared" si="2410"/>
        <v>本科</v>
      </c>
      <c r="D4885" s="1" t="str">
        <f>"20250701"</f>
        <v>20250701</v>
      </c>
      <c r="E4885" s="1" t="str">
        <f>"安阳学院"</f>
        <v>安阳学院</v>
      </c>
      <c r="F4885" s="1" t="str">
        <f>"国际经济与贸易"</f>
        <v>国际经济与贸易</v>
      </c>
      <c r="G4885" s="1" t="str">
        <f>"河南省安阳市内黄县楚旺镇沟村后街183号"</f>
        <v>河南省安阳市内黄县楚旺镇沟村后街183号</v>
      </c>
      <c r="H4885" s="1" t="str">
        <f t="shared" si="2411"/>
        <v>无</v>
      </c>
      <c r="I4885" s="1" t="str">
        <f>"202009-202307河南经贸职业学院专业国际经济与贸易全日制大专
202309-202507安阳学院专业国际经济与贸易全日制本科在读
"</f>
        <v>202009-202307河南经贸职业学院专业国际经济与贸易全日制大专
202309-202507安阳学院专业国际经济与贸易全日制本科在读
</v>
      </c>
    </row>
    <row r="4886" spans="1:9">
      <c r="A4886" s="1" t="str">
        <f>"620521200010153029"</f>
        <v>620521200010153029</v>
      </c>
      <c r="B4886" s="1" t="str">
        <f t="shared" si="2412"/>
        <v>共青团员</v>
      </c>
      <c r="C4886" s="1" t="str">
        <f t="shared" si="2410"/>
        <v>本科</v>
      </c>
      <c r="D4886" s="1" t="str">
        <f>"20240603"</f>
        <v>20240603</v>
      </c>
      <c r="E4886" s="1" t="str">
        <f>"昌吉学院"</f>
        <v>昌吉学院</v>
      </c>
      <c r="F4886" s="1" t="str">
        <f>"应用统计学"</f>
        <v>应用统计学</v>
      </c>
      <c r="G4886" s="1" t="str">
        <f>"甘肃省天水市清水县"</f>
        <v>甘肃省天水市清水县</v>
      </c>
      <c r="H4886" s="1" t="str">
        <f t="shared" si="2411"/>
        <v>无</v>
      </c>
      <c r="I4886" s="1" t="str">
        <f>"202009-2024-06在昌吉学院数学与数据科学学院应用统计学就读，是全日制学历，学历未间断。"</f>
        <v>202009-2024-06在昌吉学院数学与数据科学学院应用统计学就读，是全日制学历，学历未间断。</v>
      </c>
    </row>
    <row r="4887" spans="1:9">
      <c r="A4887" s="1" t="str">
        <f>"41132720031106036X"</f>
        <v>41132720031106036X</v>
      </c>
      <c r="B4887" s="1" t="str">
        <f>"群众"</f>
        <v>群众</v>
      </c>
      <c r="C4887" s="1" t="str">
        <f t="shared" si="2410"/>
        <v>本科</v>
      </c>
      <c r="D4887" s="1" t="str">
        <f>"20250620"</f>
        <v>20250620</v>
      </c>
      <c r="E4887" s="1" t="str">
        <f>"哈尔滨医科大学"</f>
        <v>哈尔滨医科大学</v>
      </c>
      <c r="F4887" s="1" t="str">
        <f>"医学信息工程"</f>
        <v>医学信息工程</v>
      </c>
      <c r="G4887" s="1" t="str">
        <f>"河南省南阳市内乡县大桥乡大桥村"</f>
        <v>河南省南阳市内乡县大桥乡大桥村</v>
      </c>
      <c r="H4887" s="1" t="str">
        <f t="shared" si="2411"/>
        <v>无</v>
      </c>
      <c r="I4887" s="1" t="str">
        <f>"202109-202506 哈尔滨医科大学医学信息学系医学信息工程专业就读，全日制学历"</f>
        <v>202109-202506 哈尔滨医科大学医学信息学系医学信息工程专业就读，全日制学历</v>
      </c>
    </row>
    <row r="4888" spans="1:9">
      <c r="A4888" s="1" t="str">
        <f>"410122200211030020"</f>
        <v>410122200211030020</v>
      </c>
      <c r="B4888" s="1" t="str">
        <f t="shared" ref="B4888:B4891" si="2413">"中共党员"</f>
        <v>中共党员</v>
      </c>
      <c r="C4888" s="1" t="str">
        <f t="shared" si="2410"/>
        <v>本科</v>
      </c>
      <c r="D4888" s="1" t="str">
        <f>"20250620"</f>
        <v>20250620</v>
      </c>
      <c r="E4888" s="1" t="str">
        <f>"商丘师范学院"</f>
        <v>商丘师范学院</v>
      </c>
      <c r="F4888" s="1" t="str">
        <f>"汉语言文学"</f>
        <v>汉语言文学</v>
      </c>
      <c r="G4888" s="1" t="str">
        <f>"河南省郑州市中牟县林工商公司家属院"</f>
        <v>河南省郑州市中牟县林工商公司家属院</v>
      </c>
      <c r="H4888" s="1" t="str">
        <f t="shared" si="2411"/>
        <v>无</v>
      </c>
      <c r="I4888" s="1" t="str">
        <f>"202109-202506 商丘师范学院  人文学院 汉语言文学 就读 
是全日制学历"</f>
        <v>202109-202506 商丘师范学院  人文学院 汉语言文学 就读 
是全日制学历</v>
      </c>
    </row>
    <row r="4889" spans="1:9">
      <c r="A4889" s="1" t="str">
        <f>"412727199804050714"</f>
        <v>412727199804050714</v>
      </c>
      <c r="B4889" s="1" t="str">
        <f t="shared" si="2413"/>
        <v>中共党员</v>
      </c>
      <c r="C4889" s="1" t="str">
        <f t="shared" si="2410"/>
        <v>本科</v>
      </c>
      <c r="D4889" s="1" t="str">
        <f>"20220630"</f>
        <v>20220630</v>
      </c>
      <c r="E4889" s="1" t="str">
        <f>"郑州工业应用技术学院"</f>
        <v>郑州工业应用技术学院</v>
      </c>
      <c r="F4889" s="1" t="str">
        <f>"工程管理"</f>
        <v>工程管理</v>
      </c>
      <c r="G4889" s="1" t="str">
        <f>"辽宁省沈阳市沈北新区阳光国际花园6号楼"</f>
        <v>辽宁省沈阳市沈北新区阳光国际花园6号楼</v>
      </c>
      <c r="H4889" s="1" t="str">
        <f t="shared" si="2411"/>
        <v>无</v>
      </c>
      <c r="I4889" s="1" t="str">
        <f>"201709-202006河南工业大学中英国际学院工程造价专业
202009-202206郑州工业应用技术学院土木建筑学院工程管理专业，全日制"</f>
        <v>201709-202006河南工业大学中英国际学院工程造价专业
202009-202206郑州工业应用技术学院土木建筑学院工程管理专业，全日制</v>
      </c>
    </row>
    <row r="4890" spans="1:9">
      <c r="A4890" s="1" t="str">
        <f>"41132719990508294X"</f>
        <v>41132719990508294X</v>
      </c>
      <c r="B4890" s="1" t="str">
        <f t="shared" ref="B4890:B4894" si="2414">"群众"</f>
        <v>群众</v>
      </c>
      <c r="C4890" s="1" t="str">
        <f t="shared" si="2410"/>
        <v>本科</v>
      </c>
      <c r="D4890" s="1" t="str">
        <f>"20220607"</f>
        <v>20220607</v>
      </c>
      <c r="E4890" s="1" t="str">
        <f>"苏州科技大学天平学院"</f>
        <v>苏州科技大学天平学院</v>
      </c>
      <c r="F4890" s="1" t="str">
        <f>"汉语言文学"</f>
        <v>汉语言文学</v>
      </c>
      <c r="G4890" s="1" t="str">
        <f>"河南省南阳市内乡县瓦亭镇"</f>
        <v>河南省南阳市内乡县瓦亭镇</v>
      </c>
      <c r="H4890" s="1" t="str">
        <f t="shared" si="2411"/>
        <v>无</v>
      </c>
      <c r="I4890" s="1" t="str">
        <f>"201809-202206苏州科技大学天平学院 汉语言文学 全日制"</f>
        <v>201809-202206苏州科技大学天平学院 汉语言文学 全日制</v>
      </c>
    </row>
    <row r="4891" spans="1:9">
      <c r="A4891" s="1" t="str">
        <f>"411327200105120317"</f>
        <v>411327200105120317</v>
      </c>
      <c r="B4891" s="1" t="str">
        <f t="shared" si="2413"/>
        <v>中共党员</v>
      </c>
      <c r="C4891" s="1" t="str">
        <f>"专科"</f>
        <v>专科</v>
      </c>
      <c r="D4891" s="1" t="str">
        <f>"20200701"</f>
        <v>20200701</v>
      </c>
      <c r="E4891" s="1" t="str">
        <f>"河南工业职业技术学院"</f>
        <v>河南工业职业技术学院</v>
      </c>
      <c r="F4891" s="1" t="str">
        <f>"建筑工程技术"</f>
        <v>建筑工程技术</v>
      </c>
      <c r="G4891" s="1" t="str">
        <f>"南阳市内乡县"</f>
        <v>南阳市内乡县</v>
      </c>
      <c r="H4891" s="1" t="str">
        <f t="shared" si="2411"/>
        <v>无</v>
      </c>
      <c r="I4891" s="1" t="str">
        <f>"201509——202007在河南工业职业技术学院建筑工程技术专业学习
202007——202110在家待业
202110至今在内乡公路事业发展中心工作"</f>
        <v>201509——202007在河南工业职业技术学院建筑工程技术专业学习
202007——202110在家待业
202110至今在内乡公路事业发展中心工作</v>
      </c>
    </row>
    <row r="4892" spans="1:9">
      <c r="A4892" s="1" t="str">
        <f>"370725199907214630"</f>
        <v>370725199907214630</v>
      </c>
      <c r="B4892" s="1" t="str">
        <f>"共青团员"</f>
        <v>共青团员</v>
      </c>
      <c r="C4892" s="1" t="str">
        <f t="shared" ref="C4892:C4895" si="2415">"本科"</f>
        <v>本科</v>
      </c>
      <c r="D4892" s="1" t="str">
        <f>"20220701"</f>
        <v>20220701</v>
      </c>
      <c r="E4892" s="1" t="str">
        <f>"周口师范学院"</f>
        <v>周口师范学院</v>
      </c>
      <c r="F4892" s="1" t="str">
        <f>"机械设计制造及其自动化"</f>
        <v>机械设计制造及其自动化</v>
      </c>
      <c r="G4892" s="1" t="str">
        <f>"山东省潍坊市奎文区"</f>
        <v>山东省潍坊市奎文区</v>
      </c>
      <c r="H4892" s="1" t="str">
        <f t="shared" si="2411"/>
        <v>无</v>
      </c>
      <c r="I4892" s="1" t="str">
        <f>"201709-202007 河南工学院就读，全日制专科
202009-202207 周口师范学院就读，全日制本科
202207-202410，潍坊浩泰机械有限责任工作任职
202410-202507，在潍坊待业"</f>
        <v>201709-202007 河南工学院就读，全日制专科
202009-202207 周口师范学院就读，全日制本科
202207-202410，潍坊浩泰机械有限责任工作任职
202410-202507，在潍坊待业</v>
      </c>
    </row>
    <row r="4893" spans="1:9">
      <c r="A4893" s="1" t="str">
        <f>"411325200111072961"</f>
        <v>411325200111072961</v>
      </c>
      <c r="B4893" s="1" t="str">
        <f t="shared" si="2414"/>
        <v>群众</v>
      </c>
      <c r="C4893" s="1" t="str">
        <f t="shared" si="2415"/>
        <v>本科</v>
      </c>
      <c r="D4893" s="1" t="str">
        <f>"20240613"</f>
        <v>20240613</v>
      </c>
      <c r="E4893" s="1" t="str">
        <f>"天津商业大学"</f>
        <v>天津商业大学</v>
      </c>
      <c r="F4893" s="1" t="str">
        <f>"软件工程"</f>
        <v>软件工程</v>
      </c>
      <c r="G4893" s="1" t="str">
        <f>"河南省南阳市内乡县瓦亭镇"</f>
        <v>河南省南阳市内乡县瓦亭镇</v>
      </c>
      <c r="H4893" s="1" t="str">
        <f t="shared" si="2411"/>
        <v>无</v>
      </c>
      <c r="I4893" s="1" t="str">
        <f>"202009-202406 天津商业大学信息工程学院计算机系软件工程专业 就读 全日制学历"</f>
        <v>202009-202406 天津商业大学信息工程学院计算机系软件工程专业 就读 全日制学历</v>
      </c>
    </row>
    <row r="4894" spans="1:9">
      <c r="A4894" s="1" t="str">
        <f>"411327200008251526"</f>
        <v>411327200008251526</v>
      </c>
      <c r="B4894" s="1" t="str">
        <f t="shared" si="2414"/>
        <v>群众</v>
      </c>
      <c r="C4894" s="1" t="str">
        <f>"专科"</f>
        <v>专科</v>
      </c>
      <c r="D4894" s="1" t="str">
        <f>"2022-06-30"</f>
        <v>2022-06-30</v>
      </c>
      <c r="E4894" s="1" t="str">
        <f>"南阳农业职业学院"</f>
        <v>南阳农业职业学院</v>
      </c>
      <c r="F4894" s="1" t="str">
        <f>"学前教育"</f>
        <v>学前教育</v>
      </c>
      <c r="G4894" s="1" t="str">
        <f>"河南省南阳市内乡县湍东镇龙头村许家组"</f>
        <v>河南省南阳市内乡县湍东镇龙头村许家组</v>
      </c>
      <c r="H4894" s="1" t="str">
        <f t="shared" si="2411"/>
        <v>无</v>
      </c>
      <c r="I4894" s="1" t="str">
        <f>"无"</f>
        <v>无</v>
      </c>
    </row>
    <row r="4895" spans="1:9">
      <c r="A4895" s="1" t="str">
        <f>"411322200212086124"</f>
        <v>411322200212086124</v>
      </c>
      <c r="B4895" s="1" t="str">
        <f>"中共预备党员"</f>
        <v>中共预备党员</v>
      </c>
      <c r="C4895" s="1" t="str">
        <f t="shared" si="2415"/>
        <v>本科</v>
      </c>
      <c r="D4895" s="1" t="str">
        <f>"20250617"</f>
        <v>20250617</v>
      </c>
      <c r="E4895" s="1" t="str">
        <f>"商丘学院"</f>
        <v>商丘学院</v>
      </c>
      <c r="F4895" s="1" t="str">
        <f>"汉语言文学(师范)"</f>
        <v>汉语言文学(师范)</v>
      </c>
      <c r="G4895" s="1" t="str">
        <f>"河南省南阳市方城县袁店回族乡河湾村大高庄135号"</f>
        <v>河南省南阳市方城县袁店回族乡河湾村大高庄135号</v>
      </c>
      <c r="H4895" s="1" t="str">
        <f t="shared" si="2411"/>
        <v>无</v>
      </c>
      <c r="I4895" s="1" t="str">
        <f>"202109-202506就读于商丘学院人文学院汉语言文学（师范）专业四年制本科，全日制学历"</f>
        <v>202109-202506就读于商丘学院人文学院汉语言文学（师范）专业四年制本科，全日制学历</v>
      </c>
    </row>
    <row r="4896" spans="1:9">
      <c r="A4896" s="1" t="str">
        <f>"411321199910204413"</f>
        <v>411321199910204413</v>
      </c>
      <c r="B4896" s="1" t="str">
        <f t="shared" ref="B4896:B4899" si="2416">"共青团员"</f>
        <v>共青团员</v>
      </c>
      <c r="C4896" s="1" t="str">
        <f>"硕士研究生"</f>
        <v>硕士研究生</v>
      </c>
      <c r="D4896" s="1" t="str">
        <f>"20250630"</f>
        <v>20250630</v>
      </c>
      <c r="E4896" s="1" t="str">
        <f>"河南农业大学"</f>
        <v>河南农业大学</v>
      </c>
      <c r="F4896" s="1" t="str">
        <f>"作物学"</f>
        <v>作物学</v>
      </c>
      <c r="G4896" s="1" t="str">
        <f>"河南省南阳市南召县白土岗镇桃元村石尖沟组"</f>
        <v>河南省南阳市南召县白土岗镇桃元村石尖沟组</v>
      </c>
      <c r="H4896" s="1" t="str">
        <f t="shared" si="2411"/>
        <v>无</v>
      </c>
      <c r="I4896" s="1" t="str">
        <f>"201809-202206 河南农业大学 就读于农学院种子科学与工程专业 全日制本科
202209-202506 河南农业大学 就读于农学院作物学专业 全日制硕士"</f>
        <v>201809-202206 河南农业大学 就读于农学院种子科学与工程专业 全日制本科
202209-202506 河南农业大学 就读于农学院作物学专业 全日制硕士</v>
      </c>
    </row>
    <row r="4897" spans="1:9">
      <c r="A4897" s="1" t="str">
        <f>"411327200007240614"</f>
        <v>411327200007240614</v>
      </c>
      <c r="B4897" s="1" t="str">
        <f>"中共党员"</f>
        <v>中共党员</v>
      </c>
      <c r="C4897" s="1" t="str">
        <f>"专科"</f>
        <v>专科</v>
      </c>
      <c r="D4897" s="1" t="str">
        <f>"20210701"</f>
        <v>20210701</v>
      </c>
      <c r="E4897" s="1" t="str">
        <f>"河南财政金融学院"</f>
        <v>河南财政金融学院</v>
      </c>
      <c r="F4897" s="1" t="str">
        <f>"物流管理"</f>
        <v>物流管理</v>
      </c>
      <c r="G4897" s="1" t="str">
        <f>"河南省南阳市内乡县大成相府21号楼3单元3楼"</f>
        <v>河南省南阳市内乡县大成相府21号楼3单元3楼</v>
      </c>
      <c r="H4897" s="1" t="str">
        <f t="shared" si="2411"/>
        <v>无</v>
      </c>
      <c r="I4897" s="1" t="str">
        <f>"201809-202107就读全日制专科河南财政金融学院
202109-202309服役于中国人民解放军陆军
202309-202409待业
202409-至今就读全日制本科南阳师范学院"</f>
        <v>201809-202107就读全日制专科河南财政金融学院
202109-202309服役于中国人民解放军陆军
202309-202409待业
202409-至今就读全日制本科南阳师范学院</v>
      </c>
    </row>
    <row r="4898" spans="1:9">
      <c r="A4898" s="1" t="str">
        <f>"412822200206060030"</f>
        <v>412822200206060030</v>
      </c>
      <c r="B4898" s="1" t="str">
        <f t="shared" si="2416"/>
        <v>共青团员</v>
      </c>
      <c r="C4898" s="1" t="str">
        <f t="shared" ref="C4898:C4906" si="2417">"本科"</f>
        <v>本科</v>
      </c>
      <c r="D4898" s="1" t="str">
        <f>"20250612"</f>
        <v>20250612</v>
      </c>
      <c r="E4898" s="1" t="str">
        <f>"黄河科技学院"</f>
        <v>黄河科技学院</v>
      </c>
      <c r="F4898" s="1" t="str">
        <f>"机械设计制造及其自动化"</f>
        <v>机械设计制造及其自动化</v>
      </c>
      <c r="G4898" s="1" t="str">
        <f>"河南省驻马店市泌阳县"</f>
        <v>河南省驻马店市泌阳县</v>
      </c>
      <c r="H4898" s="1" t="str">
        <f>"三级电工证，三级车工证"</f>
        <v>三级电工证，三级车工证</v>
      </c>
      <c r="I4898" s="1" t="str">
        <f>"202009-202307  河南工学院 就读 普通全日制专科
202309-202506  黄河科技学院 就读 普通全日制本科"</f>
        <v>202009-202307  河南工学院 就读 普通全日制专科
202309-202506  黄河科技学院 就读 普通全日制本科</v>
      </c>
    </row>
    <row r="4899" spans="1:9">
      <c r="A4899" s="1" t="str">
        <f>"411302199901241328"</f>
        <v>411302199901241328</v>
      </c>
      <c r="B4899" s="1" t="str">
        <f t="shared" si="2416"/>
        <v>共青团员</v>
      </c>
      <c r="C4899" s="1" t="str">
        <f>"硕士研究生"</f>
        <v>硕士研究生</v>
      </c>
      <c r="D4899" s="1" t="str">
        <f>"20250625"</f>
        <v>20250625</v>
      </c>
      <c r="E4899" s="1" t="str">
        <f>"宁波大学"</f>
        <v>宁波大学</v>
      </c>
      <c r="F4899" s="1" t="str">
        <f>"公共管理"</f>
        <v>公共管理</v>
      </c>
      <c r="G4899" s="1" t="str">
        <f>"河南省南阳市宛城区红卫村外贸家属院"</f>
        <v>河南省南阳市宛城区红卫村外贸家属院</v>
      </c>
      <c r="H4899" s="1" t="str">
        <f t="shared" ref="H4899:H4906" si="2418">"无"</f>
        <v>无</v>
      </c>
      <c r="I4899" s="1" t="str">
        <f>"20170901-20210630 南京大学金陵学院化学与生命科学学院制药工程专业就读 全日制
20210630-20220901 南阳市宛城区（家）待业
20220901-20250630 宁波大学法学院公共管理专业就读 全日制"</f>
        <v>20170901-20210630 南京大学金陵学院化学与生命科学学院制药工程专业就读 全日制
20210630-20220901 南阳市宛城区（家）待业
20220901-20250630 宁波大学法学院公共管理专业就读 全日制</v>
      </c>
    </row>
    <row r="4900" ht="121.5" spans="1:9">
      <c r="A4900" s="1" t="str">
        <f>"411327199803202920"</f>
        <v>411327199803202920</v>
      </c>
      <c r="B4900" s="1" t="str">
        <f t="shared" ref="B4900:B4905" si="2419">"群众"</f>
        <v>群众</v>
      </c>
      <c r="C4900" s="1" t="str">
        <f t="shared" si="2417"/>
        <v>本科</v>
      </c>
      <c r="D4900" s="1" t="str">
        <f>"20210701"</f>
        <v>20210701</v>
      </c>
      <c r="E4900" s="1" t="str">
        <f>"商丘工学院"</f>
        <v>商丘工学院</v>
      </c>
      <c r="F4900" s="1" t="str">
        <f>"会计学（专升本）"</f>
        <v>会计学（专升本）</v>
      </c>
      <c r="G4900" s="1" t="str">
        <f>"河南省内乡县湍东镇湍河西路建业森林半岛3期"</f>
        <v>河南省内乡县湍东镇湍河西路建业森林半岛3期</v>
      </c>
      <c r="H4900" s="1" t="str">
        <f>"初级会计专业技术资格"</f>
        <v>初级会计专业技术资格</v>
      </c>
      <c r="I4900" s="3" t="s">
        <v>287</v>
      </c>
    </row>
    <row r="4901" spans="1:9">
      <c r="A4901" s="1" t="str">
        <f>"411327200201103517"</f>
        <v>411327200201103517</v>
      </c>
      <c r="B4901" s="1" t="str">
        <f>"共青团员"</f>
        <v>共青团员</v>
      </c>
      <c r="C4901" s="1" t="str">
        <f t="shared" si="2417"/>
        <v>本科</v>
      </c>
      <c r="D4901" s="1" t="str">
        <f>"20240715"</f>
        <v>20240715</v>
      </c>
      <c r="E4901" s="1" t="str">
        <f>"北京工商大学"</f>
        <v>北京工商大学</v>
      </c>
      <c r="F4901" s="1" t="str">
        <f>"食品科学与工程"</f>
        <v>食品科学与工程</v>
      </c>
      <c r="G4901" s="1" t="str">
        <f>"河南省南阳市内乡县城关镇"</f>
        <v>河南省南阳市内乡县城关镇</v>
      </c>
      <c r="H4901" s="1" t="str">
        <f t="shared" si="2418"/>
        <v>无</v>
      </c>
      <c r="I4901" s="1" t="str">
        <f>"20190901-20240715在北京工商大学食品科学与健康学院食品科学与工程专业就读，全日制学历。"</f>
        <v>20190901-20240715在北京工商大学食品科学与健康学院食品科学与工程专业就读，全日制学历。</v>
      </c>
    </row>
    <row r="4902" spans="1:9">
      <c r="A4902" s="1" t="str">
        <f>"142733199409031822"</f>
        <v>142733199409031822</v>
      </c>
      <c r="B4902" s="1" t="str">
        <f t="shared" si="2419"/>
        <v>群众</v>
      </c>
      <c r="C4902" s="1" t="str">
        <f t="shared" si="2417"/>
        <v>本科</v>
      </c>
      <c r="D4902" s="1" t="str">
        <f>"20170701"</f>
        <v>20170701</v>
      </c>
      <c r="E4902" s="1" t="str">
        <f>"云南大学"</f>
        <v>云南大学</v>
      </c>
      <c r="F4902" s="1" t="str">
        <f>"经济学"</f>
        <v>经济学</v>
      </c>
      <c r="G4902" s="1" t="str">
        <f>"山西省运城市垣曲县中条大街金华苑楼下志祥门诊"</f>
        <v>山西省运城市垣曲县中条大街金华苑楼下志祥门诊</v>
      </c>
      <c r="H4902" s="1" t="str">
        <f t="shared" si="2418"/>
        <v>无</v>
      </c>
      <c r="I4902" s="1" t="str">
        <f>"1.2013.09-2017.07在云南大学经济学专业就读，是全日制；
2.2017.08-2019.12在志祥门诊工作；
3.2020.01-2020.06在陕西猿辅导工作；
4.2020.07-2025.03，自由职业，无单位"</f>
        <v>1.2013.09-2017.07在云南大学经济学专业就读，是全日制；
2.2017.08-2019.12在志祥门诊工作；
3.2020.01-2020.06在陕西猿辅导工作；
4.2020.07-2025.03，自由职业，无单位</v>
      </c>
    </row>
    <row r="4903" spans="1:9">
      <c r="A4903" s="1" t="str">
        <f>"411323200101211419"</f>
        <v>411323200101211419</v>
      </c>
      <c r="B4903" s="1" t="str">
        <f>"共青团员"</f>
        <v>共青团员</v>
      </c>
      <c r="C4903" s="1" t="str">
        <f t="shared" si="2417"/>
        <v>本科</v>
      </c>
      <c r="D4903" s="1" t="str">
        <f>"2023-06-12"</f>
        <v>2023-06-12</v>
      </c>
      <c r="E4903" s="1" t="str">
        <f>"新乡医学院"</f>
        <v>新乡医学院</v>
      </c>
      <c r="F4903" s="1" t="str">
        <f>"公共事业管理"</f>
        <v>公共事业管理</v>
      </c>
      <c r="G4903" s="1" t="str">
        <f>"南阳市淅川县体委小区"</f>
        <v>南阳市淅川县体委小区</v>
      </c>
      <c r="H4903" s="1" t="str">
        <f t="shared" si="2418"/>
        <v>无</v>
      </c>
      <c r="I4903" s="1" t="str">
        <f>"2019.09-2023.06就读于新乡医学院公共事业管理专业
2023.06-2025.07待业中"</f>
        <v>2019.09-2023.06就读于新乡医学院公共事业管理专业
2023.06-2025.07待业中</v>
      </c>
    </row>
    <row r="4904" spans="1:9">
      <c r="A4904" s="1" t="str">
        <f>"412822200108120028"</f>
        <v>412822200108120028</v>
      </c>
      <c r="B4904" s="1" t="str">
        <f>"中共党员"</f>
        <v>中共党员</v>
      </c>
      <c r="C4904" s="1" t="str">
        <f t="shared" si="2417"/>
        <v>本科</v>
      </c>
      <c r="D4904" s="1" t="str">
        <f>"20240701"</f>
        <v>20240701</v>
      </c>
      <c r="E4904" s="1" t="str">
        <f>"郑州商学院"</f>
        <v>郑州商学院</v>
      </c>
      <c r="F4904" s="1" t="str">
        <f>"学前教育"</f>
        <v>学前教育</v>
      </c>
      <c r="G4904" s="1" t="str">
        <f>"河南省驻马店市泌阳县杭州家具城"</f>
        <v>河南省驻马店市泌阳县杭州家具城</v>
      </c>
      <c r="H4904" s="1" t="str">
        <f t="shared" si="2418"/>
        <v>无</v>
      </c>
      <c r="I4904" s="1" t="str">
        <f>"201909-202206河南财政金融学院国际教育学院学前教育专业就读 全日制
202209-202407郑州商学院文学与新闻传播学院学前教育专业就读 全日制
202407-至今 待业"</f>
        <v>201909-202206河南财政金融学院国际教育学院学前教育专业就读 全日制
202209-202407郑州商学院文学与新闻传播学院学前教育专业就读 全日制
202407-至今 待业</v>
      </c>
    </row>
    <row r="4905" spans="1:9">
      <c r="A4905" s="1" t="str">
        <f>"411327200110160321"</f>
        <v>411327200110160321</v>
      </c>
      <c r="B4905" s="1" t="str">
        <f t="shared" si="2419"/>
        <v>群众</v>
      </c>
      <c r="C4905" s="1" t="str">
        <f t="shared" si="2417"/>
        <v>本科</v>
      </c>
      <c r="D4905" s="1" t="str">
        <f>"20230701"</f>
        <v>20230701</v>
      </c>
      <c r="E4905" s="1" t="str">
        <f>"许昌学院"</f>
        <v>许昌学院</v>
      </c>
      <c r="F4905" s="1" t="str">
        <f>"工商管理"</f>
        <v>工商管理</v>
      </c>
      <c r="G4905" s="1" t="str">
        <f>"河南省南阳市内乡县大桥乡"</f>
        <v>河南省南阳市内乡县大桥乡</v>
      </c>
      <c r="H4905" s="1" t="str">
        <f t="shared" si="2418"/>
        <v>无</v>
      </c>
      <c r="I4905" s="1" t="str">
        <f>"201909-202306许昌学院国际教育学院工商管理专业就读，是全日制学历
202307-至今在河南省南阳市内乡县待业"</f>
        <v>201909-202306许昌学院国际教育学院工商管理专业就读，是全日制学历
202307-至今在河南省南阳市内乡县待业</v>
      </c>
    </row>
    <row r="4906" spans="1:9">
      <c r="A4906" s="1" t="str">
        <f>"410324200210170025"</f>
        <v>410324200210170025</v>
      </c>
      <c r="B4906" s="1" t="str">
        <f>"中共党员"</f>
        <v>中共党员</v>
      </c>
      <c r="C4906" s="1" t="str">
        <f t="shared" si="2417"/>
        <v>本科</v>
      </c>
      <c r="D4906" s="1" t="str">
        <f>"20240618"</f>
        <v>20240618</v>
      </c>
      <c r="E4906" s="1" t="str">
        <f>"河南农业大学"</f>
        <v>河南农业大学</v>
      </c>
      <c r="F4906" s="1" t="str">
        <f>"环境设计"</f>
        <v>环境设计</v>
      </c>
      <c r="G4906" s="1" t="str">
        <f>"河南省洛阳市栾川县城关镇上河南社区"</f>
        <v>河南省洛阳市栾川县城关镇上河南社区</v>
      </c>
      <c r="H4906" s="1" t="str">
        <f t="shared" si="2418"/>
        <v>无</v>
      </c>
      <c r="I4906" s="1" t="str">
        <f>"202009-202406河南农业大学风景园林与艺术学院环境设计专业就读，全日制学历。"</f>
        <v>202009-202406河南农业大学风景园林与艺术学院环境设计专业就读，全日制学历。</v>
      </c>
    </row>
    <row r="4907" spans="1:9">
      <c r="A4907" s="1" t="str">
        <f>"41132719940305202X"</f>
        <v>41132719940305202X</v>
      </c>
      <c r="B4907" s="1" t="str">
        <f t="shared" ref="B4907:B4910" si="2420">"群众"</f>
        <v>群众</v>
      </c>
      <c r="C4907" s="1" t="str">
        <f>"专科"</f>
        <v>专科</v>
      </c>
      <c r="D4907" s="1" t="str">
        <f>"20160701"</f>
        <v>20160701</v>
      </c>
      <c r="E4907" s="1" t="str">
        <f>"安阳幼儿师范高等专科学校"</f>
        <v>安阳幼儿师范高等专科学校</v>
      </c>
      <c r="F4907" s="1" t="str">
        <f>"美术教育"</f>
        <v>美术教育</v>
      </c>
      <c r="G4907" s="1" t="str">
        <f>"河南省南阳市内乡县师岗镇付湾村"</f>
        <v>河南省南阳市内乡县师岗镇付湾村</v>
      </c>
      <c r="H4907" s="1" t="str">
        <f>"普通话证书"</f>
        <v>普通话证书</v>
      </c>
      <c r="I4907" s="1" t="str">
        <f>"201309-201607    安阳幼儿师范高等专科学校美术教育专业就读全日制
201609-202009专升本教育学函授"</f>
        <v>201309-201607    安阳幼儿师范高等专科学校美术教育专业就读全日制
201609-202009专升本教育学函授</v>
      </c>
    </row>
    <row r="4908" spans="1:9">
      <c r="A4908" s="1" t="str">
        <f>"411325200009162063"</f>
        <v>411325200009162063</v>
      </c>
      <c r="B4908" s="1" t="str">
        <f t="shared" si="2420"/>
        <v>群众</v>
      </c>
      <c r="C4908" s="1" t="str">
        <f>"硕士研究生"</f>
        <v>硕士研究生</v>
      </c>
      <c r="D4908" s="1" t="str">
        <f>"2025-06-12"</f>
        <v>2025-06-12</v>
      </c>
      <c r="E4908" s="1" t="str">
        <f>"哈尔滨工业大学"</f>
        <v>哈尔滨工业大学</v>
      </c>
      <c r="F4908" s="1" t="str">
        <f>"化学"</f>
        <v>化学</v>
      </c>
      <c r="G4908" s="1" t="str">
        <f>"河南省南阳市内乡县师岗镇"</f>
        <v>河南省南阳市内乡县师岗镇</v>
      </c>
      <c r="H4908" s="1" t="str">
        <f t="shared" ref="H4908:H4913" si="2421">"无"</f>
        <v>无</v>
      </c>
      <c r="I4908" s="1" t="str">
        <f>"201809-202206  信阳师范大学
202209-202506 哈尔滨工业大学"</f>
        <v>201809-202206  信阳师范大学
202209-202506 哈尔滨工业大学</v>
      </c>
    </row>
    <row r="4909" spans="1:9">
      <c r="A4909" s="1" t="str">
        <f>"411324200207291126"</f>
        <v>411324200207291126</v>
      </c>
      <c r="B4909" s="1" t="str">
        <f>"共青团员"</f>
        <v>共青团员</v>
      </c>
      <c r="C4909" s="1" t="str">
        <f t="shared" ref="C4909:C4913" si="2422">"本科"</f>
        <v>本科</v>
      </c>
      <c r="D4909" s="1" t="str">
        <f>"20240607"</f>
        <v>20240607</v>
      </c>
      <c r="E4909" s="1" t="str">
        <f>"南阳师范学院"</f>
        <v>南阳师范学院</v>
      </c>
      <c r="F4909" s="1" t="str">
        <f>"学前教育"</f>
        <v>学前教育</v>
      </c>
      <c r="G4909" s="1" t="str">
        <f>"河南省南阳市镇平县老庄镇曾寨村后赵湾"</f>
        <v>河南省南阳市镇平县老庄镇曾寨村后赵湾</v>
      </c>
      <c r="H4909" s="1" t="str">
        <f t="shared" si="2421"/>
        <v>无</v>
      </c>
      <c r="I4909" s="1" t="str">
        <f>"202009——202406南阳师范学院学前教育专业就读全日制学历"</f>
        <v>202009——202406南阳师范学院学前教育专业就读全日制学历</v>
      </c>
    </row>
    <row r="4910" spans="1:9">
      <c r="A4910" s="1" t="str">
        <f>"411324199007155554"</f>
        <v>411324199007155554</v>
      </c>
      <c r="B4910" s="1" t="str">
        <f t="shared" si="2420"/>
        <v>群众</v>
      </c>
      <c r="C4910" s="1" t="str">
        <f t="shared" si="2422"/>
        <v>本科</v>
      </c>
      <c r="D4910" s="1" t="str">
        <f>"20150701"</f>
        <v>20150701</v>
      </c>
      <c r="E4910" s="1" t="str">
        <f>"洛阳理工学院"</f>
        <v>洛阳理工学院</v>
      </c>
      <c r="F4910" s="1" t="str">
        <f>"工商管理"</f>
        <v>工商管理</v>
      </c>
      <c r="G4910" s="1" t="str">
        <f>"南阳市宛城区恒大帝景42号楼201室"</f>
        <v>南阳市宛城区恒大帝景42号楼201室</v>
      </c>
      <c r="H4910" s="1" t="str">
        <f t="shared" si="2421"/>
        <v>无</v>
      </c>
      <c r="I4910" s="1" t="str">
        <f>"201109-201507 洛阳理工学院经济与工商管理系工商管理专业 就读 全日制学历
201508-201705 蒙牛乳业浙江大区 职员
201706-201801 南阳金冠电力工程公司 职员
201802-至今 中国平安财产保险股份有限公司河南分公司"</f>
        <v>201109-201507 洛阳理工学院经济与工商管理系工商管理专业 就读 全日制学历
201508-201705 蒙牛乳业浙江大区 职员
201706-201801 南阳金冠电力工程公司 职员
201802-至今 中国平安财产保险股份有限公司河南分公司</v>
      </c>
    </row>
    <row r="4911" spans="1:9">
      <c r="A4911" s="1" t="str">
        <f>"411330200107271125"</f>
        <v>411330200107271125</v>
      </c>
      <c r="B4911" s="1" t="str">
        <f>"中共党员"</f>
        <v>中共党员</v>
      </c>
      <c r="C4911" s="1" t="str">
        <f t="shared" si="2422"/>
        <v>本科</v>
      </c>
      <c r="D4911" s="1" t="str">
        <f>"20240701"</f>
        <v>20240701</v>
      </c>
      <c r="E4911" s="1" t="str">
        <f>"安阳师范学院"</f>
        <v>安阳师范学院</v>
      </c>
      <c r="F4911" s="1" t="str">
        <f>"应用统计学"</f>
        <v>应用统计学</v>
      </c>
      <c r="G4911" s="1" t="str">
        <f>"河南省南阳市西峡县水利局对面"</f>
        <v>河南省南阳市西峡县水利局对面</v>
      </c>
      <c r="H4911" s="1" t="str">
        <f t="shared" si="2421"/>
        <v>无</v>
      </c>
      <c r="I4911" s="1" t="str">
        <f>"202009-20240701安阳师范学院数学与统计学院应用统计学专业就读"</f>
        <v>202009-20240701安阳师范学院数学与统计学院应用统计学专业就读</v>
      </c>
    </row>
    <row r="4912" spans="1:9">
      <c r="A4912" s="1" t="str">
        <f>"411327199508262517"</f>
        <v>411327199508262517</v>
      </c>
      <c r="B4912" s="1" t="str">
        <f t="shared" ref="B4912:B4916" si="2423">"群众"</f>
        <v>群众</v>
      </c>
      <c r="C4912" s="1" t="str">
        <f t="shared" si="2422"/>
        <v>本科</v>
      </c>
      <c r="D4912" s="1" t="str">
        <f>"20170701"</f>
        <v>20170701</v>
      </c>
      <c r="E4912" s="1" t="str">
        <f>"郑州工业应用技术学院"</f>
        <v>郑州工业应用技术学院</v>
      </c>
      <c r="F4912" s="1" t="str">
        <f>"土木工程"</f>
        <v>土木工程</v>
      </c>
      <c r="G4912" s="1" t="str">
        <f>"河南省南阳市内乡县王店镇"</f>
        <v>河南省南阳市内乡县王店镇</v>
      </c>
      <c r="H4912" s="1" t="str">
        <f t="shared" si="2421"/>
        <v>无</v>
      </c>
      <c r="I4912" s="1" t="str">
        <f>"201309-201707郑州工业应用技术学院就读，全日制本科学历；
201709-202007在家待业；
202007-至今在河南锦瑞建筑劳务有限公司工作。"</f>
        <v>201309-201707郑州工业应用技术学院就读，全日制本科学历；
201709-202007在家待业；
202007-至今在河南锦瑞建筑劳务有限公司工作。</v>
      </c>
    </row>
    <row r="4913" spans="1:9">
      <c r="A4913" s="1" t="str">
        <f>"41132720020614422X"</f>
        <v>41132720020614422X</v>
      </c>
      <c r="B4913" s="1" t="str">
        <f t="shared" ref="B4913:B4918" si="2424">"共青团员"</f>
        <v>共青团员</v>
      </c>
      <c r="C4913" s="1" t="str">
        <f t="shared" si="2422"/>
        <v>本科</v>
      </c>
      <c r="D4913" s="1" t="str">
        <f>"2023-07-01"</f>
        <v>2023-07-01</v>
      </c>
      <c r="E4913" s="1" t="str">
        <f>"河南财政金融学院"</f>
        <v>河南财政金融学院</v>
      </c>
      <c r="F4913" s="1" t="str">
        <f>"视觉传达设计"</f>
        <v>视觉传达设计</v>
      </c>
      <c r="G4913" s="1" t="str">
        <f>"河南省内乡县余关乡朱沟村"</f>
        <v>河南省内乡县余关乡朱沟村</v>
      </c>
      <c r="H4913" s="1" t="str">
        <f t="shared" si="2421"/>
        <v>无</v>
      </c>
      <c r="I4913" s="1" t="str">
        <f>"2019年9月-2023年7月  在河南财政金融学院 艺术设计学院 视觉传达设计专业就读，全日制本科学历"</f>
        <v>2019年9月-2023年7月  在河南财政金融学院 艺术设计学院 视觉传达设计专业就读，全日制本科学历</v>
      </c>
    </row>
    <row r="4914" spans="1:9">
      <c r="A4914" s="1" t="str">
        <f>"411321199408233219"</f>
        <v>411321199408233219</v>
      </c>
      <c r="B4914" s="1" t="str">
        <f t="shared" si="2423"/>
        <v>群众</v>
      </c>
      <c r="C4914" s="1" t="str">
        <f>"专科"</f>
        <v>专科</v>
      </c>
      <c r="D4914" s="1" t="str">
        <f>"20160701"</f>
        <v>20160701</v>
      </c>
      <c r="E4914" s="1" t="str">
        <f>"郑州工业应用技术学院"</f>
        <v>郑州工业应用技术学院</v>
      </c>
      <c r="F4914" s="1" t="str">
        <f>"数控设备应用与维护"</f>
        <v>数控设备应用与维护</v>
      </c>
      <c r="G4914" s="1" t="str">
        <f>"湖北省武汉市江夏区"</f>
        <v>湖北省武汉市江夏区</v>
      </c>
      <c r="H4914" s="1" t="str">
        <f>"数控机床操作调整工 中级技能证"</f>
        <v>数控机床操作调整工 中级技能证</v>
      </c>
      <c r="I4914" s="1" t="str">
        <f>"201309-201607 郑州工业应用技术学院 机电工程学院 数控设备应用与维护专业就读。全日制学历"</f>
        <v>201309-201607 郑州工业应用技术学院 机电工程学院 数控设备应用与维护专业就读。全日制学历</v>
      </c>
    </row>
    <row r="4915" spans="1:9">
      <c r="A4915" s="1" t="str">
        <f>"41133020000718151X"</f>
        <v>41133020000718151X</v>
      </c>
      <c r="B4915" s="1" t="str">
        <f t="shared" si="2424"/>
        <v>共青团员</v>
      </c>
      <c r="C4915" s="1" t="str">
        <f t="shared" ref="C4915:C4918" si="2425">"本科"</f>
        <v>本科</v>
      </c>
      <c r="D4915" s="1" t="str">
        <f>"2025年7月1日"</f>
        <v>2025年7月1日</v>
      </c>
      <c r="E4915" s="1" t="str">
        <f>"周口师范学院"</f>
        <v>周口师范学院</v>
      </c>
      <c r="F4915" s="1" t="str">
        <f>"体育教育"</f>
        <v>体育教育</v>
      </c>
      <c r="G4915" s="1" t="str">
        <f>"河南省南阳市西峡县城关镇安子沟路28号"</f>
        <v>河南省南阳市西峡县城关镇安子沟路28号</v>
      </c>
      <c r="H4915" s="1" t="str">
        <f t="shared" ref="H4915:H4919" si="2426">"无"</f>
        <v>无</v>
      </c>
      <c r="I4915" s="1" t="str">
        <f>"2018.09-2021.06 商丘职业技术学院   全日制
2021.03-2023.03参军
2023.09-2025.06周口师范学院            全日制"</f>
        <v>2018.09-2021.06 商丘职业技术学院   全日制
2021.03-2023.03参军
2023.09-2025.06周口师范学院            全日制</v>
      </c>
    </row>
    <row r="4916" spans="1:9">
      <c r="A4916" s="1" t="str">
        <f>"411327199702230041"</f>
        <v>411327199702230041</v>
      </c>
      <c r="B4916" s="1" t="str">
        <f t="shared" si="2423"/>
        <v>群众</v>
      </c>
      <c r="C4916" s="1" t="str">
        <f t="shared" si="2425"/>
        <v>本科</v>
      </c>
      <c r="D4916" s="1" t="str">
        <f>"20200701"</f>
        <v>20200701</v>
      </c>
      <c r="E4916" s="1" t="str">
        <f>"新乡学院"</f>
        <v>新乡学院</v>
      </c>
      <c r="F4916" s="1" t="str">
        <f>"人力资源管理（专升本）"</f>
        <v>人力资源管理（专升本）</v>
      </c>
      <c r="G4916" s="1" t="str">
        <f>"河南省南阳市内乡县状元府小区"</f>
        <v>河南省南阳市内乡县状元府小区</v>
      </c>
      <c r="H4916" s="1" t="str">
        <f>"三级企业人力资源管理师"</f>
        <v>三级企业人力资源管理师</v>
      </c>
      <c r="I4916" s="1" t="str">
        <f>"201509-201807 河南农业大学 文法学院 人力资源管理专业就读；
201809-202007 新乡学院 管理学院 人力资源管理（专升本）专业就读；
202007-202207 想念食品股份有限公司就业；
202207-202306 待业；
202307-至今 内乡交通驾校就业。"</f>
        <v>201509-201807 河南农业大学 文法学院 人力资源管理专业就读；
201809-202007 新乡学院 管理学院 人力资源管理（专升本）专业就读；
202007-202207 想念食品股份有限公司就业；
202207-202306 待业；
202307-至今 内乡交通驾校就业。</v>
      </c>
    </row>
    <row r="4917" spans="1:9">
      <c r="A4917" s="1" t="str">
        <f>"411327200109010027"</f>
        <v>411327200109010027</v>
      </c>
      <c r="B4917" s="1" t="str">
        <f>"中共党员"</f>
        <v>中共党员</v>
      </c>
      <c r="C4917" s="1" t="str">
        <f t="shared" si="2425"/>
        <v>本科</v>
      </c>
      <c r="D4917" s="1" t="str">
        <f>"20230712"</f>
        <v>20230712</v>
      </c>
      <c r="E4917" s="1" t="str">
        <f>"河南牧业经济学院"</f>
        <v>河南牧业经济学院</v>
      </c>
      <c r="F4917" s="1" t="str">
        <f>"物流管理"</f>
        <v>物流管理</v>
      </c>
      <c r="G4917" s="1" t="str">
        <f>"南阳市内乡县"</f>
        <v>南阳市内乡县</v>
      </c>
      <c r="H4917" s="1" t="str">
        <f t="shared" si="2426"/>
        <v>无</v>
      </c>
      <c r="I4917" s="1" t="str">
        <f>"201909-202307河南牧业经济学院物流与电商学院物流管理专业就读 全日制学历
202307-202507待业"</f>
        <v>201909-202307河南牧业经济学院物流与电商学院物流管理专业就读 全日制学历
202307-202507待业</v>
      </c>
    </row>
    <row r="4918" spans="1:9">
      <c r="A4918" s="1" t="str">
        <f>"411330200301083144"</f>
        <v>411330200301083144</v>
      </c>
      <c r="B4918" s="1" t="str">
        <f t="shared" si="2424"/>
        <v>共青团员</v>
      </c>
      <c r="C4918" s="1" t="str">
        <f t="shared" si="2425"/>
        <v>本科</v>
      </c>
      <c r="D4918" s="1" t="str">
        <f>"20250610"</f>
        <v>20250610</v>
      </c>
      <c r="E4918" s="1" t="str">
        <f>"新乡工程学院"</f>
        <v>新乡工程学院</v>
      </c>
      <c r="F4918" s="1" t="str">
        <f>"酒店管理"</f>
        <v>酒店管理</v>
      </c>
      <c r="G4918" s="1" t="str">
        <f>"河南省南阳市西峡县重阳镇鱼池村"</f>
        <v>河南省南阳市西峡县重阳镇鱼池村</v>
      </c>
      <c r="H4918" s="1" t="str">
        <f t="shared" si="2426"/>
        <v>无</v>
      </c>
      <c r="I4918" s="1" t="str">
        <f>"202109-202507在新乡工程学院食品工程学院酒店管理专业就读，是全日制本科学历；202507-至今在家待业。"</f>
        <v>202109-202507在新乡工程学院食品工程学院酒店管理专业就读，是全日制本科学历；202507-至今在家待业。</v>
      </c>
    </row>
    <row r="4919" spans="1:9">
      <c r="A4919" s="1" t="str">
        <f>"411327200306143128"</f>
        <v>411327200306143128</v>
      </c>
      <c r="B4919" s="1" t="str">
        <f t="shared" ref="B4919:B4926" si="2427">"群众"</f>
        <v>群众</v>
      </c>
      <c r="C4919" s="1" t="str">
        <f t="shared" ref="C4919:C4924" si="2428">"专科"</f>
        <v>专科</v>
      </c>
      <c r="D4919" s="1" t="str">
        <f>"20250607"</f>
        <v>20250607</v>
      </c>
      <c r="E4919" s="1" t="str">
        <f>"西安科技大学"</f>
        <v>西安科技大学</v>
      </c>
      <c r="F4919" s="1" t="str">
        <f>"城市轨道交通运营与管理"</f>
        <v>城市轨道交通运营与管理</v>
      </c>
      <c r="G4919" s="1" t="str">
        <f>"河南省南阳市内乡县夏馆镇"</f>
        <v>河南省南阳市内乡县夏馆镇</v>
      </c>
      <c r="H4919" s="1" t="str">
        <f t="shared" si="2426"/>
        <v>无</v>
      </c>
      <c r="I4919" s="1" t="str">
        <f>"202209-202506 西安铁道技师学院 城市轨道交通运营与管理 非全日制大专"</f>
        <v>202209-202506 西安铁道技师学院 城市轨道交通运营与管理 非全日制大专</v>
      </c>
    </row>
    <row r="4920" spans="1:9">
      <c r="A4920" s="1" t="str">
        <f>"411325199307146525"</f>
        <v>411325199307146525</v>
      </c>
      <c r="B4920" s="1" t="str">
        <f>"中共预备党员"</f>
        <v>中共预备党员</v>
      </c>
      <c r="C4920" s="1" t="str">
        <f t="shared" ref="C4920:C4922" si="2429">"本科"</f>
        <v>本科</v>
      </c>
      <c r="D4920" s="1" t="str">
        <f>"20240701"</f>
        <v>20240701</v>
      </c>
      <c r="E4920" s="1" t="str">
        <f>"南阳师范学院"</f>
        <v>南阳师范学院</v>
      </c>
      <c r="F4920" s="1" t="str">
        <f>"汉语言文学"</f>
        <v>汉语言文学</v>
      </c>
      <c r="G4920" s="1" t="str">
        <f>"长花园社区"</f>
        <v>长花园社区</v>
      </c>
      <c r="H4920" s="1" t="str">
        <f>"电子商务师"</f>
        <v>电子商务师</v>
      </c>
      <c r="I4920" s="1" t="str">
        <f>"202203-202407 南阳师范学院就读。成人高等教育
202407-至今 唐河县智慧城管中心工作"</f>
        <v>202203-202407 南阳师范学院就读。成人高等教育
202407-至今 唐河县智慧城管中心工作</v>
      </c>
    </row>
    <row r="4921" spans="1:9">
      <c r="A4921" s="1" t="str">
        <f>"360124200209092132"</f>
        <v>360124200209092132</v>
      </c>
      <c r="B4921" s="1" t="str">
        <f t="shared" si="2427"/>
        <v>群众</v>
      </c>
      <c r="C4921" s="1" t="str">
        <f t="shared" si="2429"/>
        <v>本科</v>
      </c>
      <c r="D4921" s="1" t="str">
        <f>"20250615"</f>
        <v>20250615</v>
      </c>
      <c r="E4921" s="1" t="str">
        <f>"安徽建筑大学"</f>
        <v>安徽建筑大学</v>
      </c>
      <c r="F4921" s="1" t="str">
        <f>"城乡规划"</f>
        <v>城乡规划</v>
      </c>
      <c r="G4921" s="1" t="str">
        <f>"江西省南昌市进贤县三里乡东岸村11号"</f>
        <v>江西省南昌市进贤县三里乡东岸村11号</v>
      </c>
      <c r="H4921" s="1" t="str">
        <f t="shared" ref="H4921:H4924" si="2430">"无"</f>
        <v>无</v>
      </c>
      <c r="I4921" s="1" t="str">
        <f>"202009-202506 安徽建筑大学 建筑与规划学院 城乡规划专业 就读。
202506-202507 江西省南昌市进贤县三里乡东岸村在家待业
是全日制学历。"</f>
        <v>202009-202506 安徽建筑大学 建筑与规划学院 城乡规划专业 就读。
202506-202507 江西省南昌市进贤县三里乡东岸村在家待业
是全日制学历。</v>
      </c>
    </row>
    <row r="4922" spans="1:9">
      <c r="A4922" s="1" t="str">
        <f>"411330200306010024"</f>
        <v>411330200306010024</v>
      </c>
      <c r="B4922" s="1" t="str">
        <f>"共青团员"</f>
        <v>共青团员</v>
      </c>
      <c r="C4922" s="1" t="str">
        <f t="shared" si="2429"/>
        <v>本科</v>
      </c>
      <c r="D4922" s="1" t="str">
        <f>"20250618"</f>
        <v>20250618</v>
      </c>
      <c r="E4922" s="1" t="str">
        <f>"黑龙江大学"</f>
        <v>黑龙江大学</v>
      </c>
      <c r="F4922" s="1" t="str">
        <f>"应用心理学"</f>
        <v>应用心理学</v>
      </c>
      <c r="G4922" s="1" t="str">
        <f>"河南省南阳市西峡县水岸清逸苑"</f>
        <v>河南省南阳市西峡县水岸清逸苑</v>
      </c>
      <c r="H4922" s="1" t="str">
        <f t="shared" si="2430"/>
        <v>无</v>
      </c>
      <c r="I4922" s="1" t="str">
        <f>"202109-202506 黑龙江大学创新创业教育学院应用心理学专业就读，全日制本科"</f>
        <v>202109-202506 黑龙江大学创新创业教育学院应用心理学专业就读，全日制本科</v>
      </c>
    </row>
    <row r="4923" spans="1:9">
      <c r="A4923" s="1" t="str">
        <f>"411381200205137130"</f>
        <v>411381200205137130</v>
      </c>
      <c r="B4923" s="1" t="str">
        <f t="shared" si="2427"/>
        <v>群众</v>
      </c>
      <c r="C4923" s="1" t="str">
        <f t="shared" si="2428"/>
        <v>专科</v>
      </c>
      <c r="D4923" s="1" t="str">
        <f>"2021.9.1"</f>
        <v>2021.9.1</v>
      </c>
      <c r="E4923" s="1" t="str">
        <f>"洛阳职业技术学院"</f>
        <v>洛阳职业技术学院</v>
      </c>
      <c r="F4923" s="1" t="str">
        <f>"工业机器人技术"</f>
        <v>工业机器人技术</v>
      </c>
      <c r="G4923" s="1" t="str">
        <f>"河南省邓州市"</f>
        <v>河南省邓州市</v>
      </c>
      <c r="H4923" s="1" t="str">
        <f t="shared" si="2430"/>
        <v>无</v>
      </c>
      <c r="I4923" s="1" t="str">
        <f>"2018.9.1——2021.9.1   洛阳职业技术学院（高新校区机电系学院）工业机器人技术
2021.9.1——2023.9.1 新疆武警第七支队 当兵
2023.9.1——2024.3.1 创业
2024.3.1——2025.10.1罗庄镇派出所协警
2025.10.1——至今邓州市特警大队"</f>
        <v>2018.9.1——2021.9.1   洛阳职业技术学院（高新校区机电系学院）工业机器人技术
2021.9.1——2023.9.1 新疆武警第七支队 当兵
2023.9.1——2024.3.1 创业
2024.3.1——2025.10.1罗庄镇派出所协警
2025.10.1——至今邓州市特警大队</v>
      </c>
    </row>
    <row r="4924" spans="1:9">
      <c r="A4924" s="1" t="str">
        <f>"411325200207230645"</f>
        <v>411325200207230645</v>
      </c>
      <c r="B4924" s="1" t="str">
        <f t="shared" si="2427"/>
        <v>群众</v>
      </c>
      <c r="C4924" s="1" t="str">
        <f t="shared" si="2428"/>
        <v>专科</v>
      </c>
      <c r="D4924" s="1" t="str">
        <f>"20240630"</f>
        <v>20240630</v>
      </c>
      <c r="E4924" s="1" t="str">
        <f>"三门峡社会管理职业学院"</f>
        <v>三门峡社会管理职业学院</v>
      </c>
      <c r="F4924" s="1" t="str">
        <f>"工业机器人技术"</f>
        <v>工业机器人技术</v>
      </c>
      <c r="G4924" s="1" t="str">
        <f>"河南省南阳市内乡县马山口镇"</f>
        <v>河南省南阳市内乡县马山口镇</v>
      </c>
      <c r="H4924" s="1" t="str">
        <f t="shared" si="2430"/>
        <v>无</v>
      </c>
      <c r="I4924" s="1" t="str">
        <f>"20210901-20240630 三门峡社会管理职业学院全日制学校就读。20240602-20241230 韩宫宴上班坐管培生。20250101-20250201 在家过年。20250202-20250520 在马山京轩电子厂上班。20250521-20250726 创业。"</f>
        <v>20210901-20240630 三门峡社会管理职业学院全日制学校就读。20240602-20241230 韩宫宴上班坐管培生。20250101-20250201 在家过年。20250202-20250520 在马山京轩电子厂上班。20250521-20250726 创业。</v>
      </c>
    </row>
    <row r="4925" spans="1:9">
      <c r="A4925" s="1" t="str">
        <f>"410422200209170012"</f>
        <v>410422200209170012</v>
      </c>
      <c r="B4925" s="1" t="str">
        <f t="shared" si="2427"/>
        <v>群众</v>
      </c>
      <c r="C4925" s="1" t="str">
        <f t="shared" ref="C4925:C4929" si="2431">"本科"</f>
        <v>本科</v>
      </c>
      <c r="D4925" s="1" t="str">
        <f>"20240630"</f>
        <v>20240630</v>
      </c>
      <c r="E4925" s="1" t="str">
        <f>"新乡学院"</f>
        <v>新乡学院</v>
      </c>
      <c r="F4925" s="1" t="str">
        <f>"信息与计算科学"</f>
        <v>信息与计算科学</v>
      </c>
      <c r="G4925" s="1" t="str">
        <f>"河南省平顶山市北关大街90号"</f>
        <v>河南省平顶山市北关大街90号</v>
      </c>
      <c r="H4925" s="1" t="str">
        <f>"网络与信息安全管理三级"</f>
        <v>网络与信息安全管理三级</v>
      </c>
      <c r="I4925" s="1" t="str">
        <f>"20200910-20240630 新乡学院数学与统计学院信息与计算科学全日制就读"</f>
        <v>20200910-20240630 新乡学院数学与统计学院信息与计算科学全日制就读</v>
      </c>
    </row>
    <row r="4926" spans="1:9">
      <c r="A4926" s="1" t="str">
        <f>"411323199711276310"</f>
        <v>411323199711276310</v>
      </c>
      <c r="B4926" s="1" t="str">
        <f t="shared" si="2427"/>
        <v>群众</v>
      </c>
      <c r="C4926" s="1" t="str">
        <f t="shared" si="2431"/>
        <v>本科</v>
      </c>
      <c r="D4926" s="1" t="str">
        <f>"2020.07"</f>
        <v>2020.07</v>
      </c>
      <c r="E4926" s="1" t="str">
        <f>"河南城建学院"</f>
        <v>河南城建学院</v>
      </c>
      <c r="F4926" s="1" t="str">
        <f>"生物技术"</f>
        <v>生物技术</v>
      </c>
      <c r="G4926" s="1" t="str">
        <f>"河南省南阳市淅川县厚坡镇饶西村"</f>
        <v>河南省南阳市淅川县厚坡镇饶西村</v>
      </c>
      <c r="H4926" s="1" t="str">
        <f t="shared" ref="H4926:H4940" si="2432">"无"</f>
        <v>无</v>
      </c>
      <c r="I4926" s="1" t="str">
        <f>"201609-202007 河南城建学院 生命科学与工程学院生物技术专业就读  全日制；
202011-202208 深圳海关动植物检验检疫技术中心 检测员；
202211-202407 河南兴华生物技术有限公司 制剂工艺师；
202408-202411 平安人寿 业务员；
202412 -202506 中信银行信用卡中心 客户经理；"</f>
        <v>201609-202007 河南城建学院 生命科学与工程学院生物技术专业就读  全日制；
202011-202208 深圳海关动植物检验检疫技术中心 检测员；
202211-202407 河南兴华生物技术有限公司 制剂工艺师；
202408-202411 平安人寿 业务员；
202412 -202506 中信银行信用卡中心 客户经理；</v>
      </c>
    </row>
    <row r="4927" spans="1:9">
      <c r="A4927" s="1" t="str">
        <f>"411327200307031515"</f>
        <v>411327200307031515</v>
      </c>
      <c r="B4927" s="1" t="str">
        <f>"共青团员"</f>
        <v>共青团员</v>
      </c>
      <c r="C4927" s="1" t="str">
        <f>"专科"</f>
        <v>专科</v>
      </c>
      <c r="D4927" s="1" t="str">
        <f>"20250612"</f>
        <v>20250612</v>
      </c>
      <c r="E4927" s="1" t="str">
        <f>"黄河科技学院"</f>
        <v>黄河科技学院</v>
      </c>
      <c r="F4927" s="1" t="str">
        <f>"学前教育"</f>
        <v>学前教育</v>
      </c>
      <c r="G4927" s="1" t="str">
        <f>"内乡县乍曲初中"</f>
        <v>内乡县乍曲初中</v>
      </c>
      <c r="H4927" s="1" t="str">
        <f t="shared" si="2432"/>
        <v>无</v>
      </c>
      <c r="I4927" s="1" t="str">
        <f>"202209-202506黄河科技学院职业技术学院学前教育专业，全日制学历"</f>
        <v>202209-202506黄河科技学院职业技术学院学前教育专业，全日制学历</v>
      </c>
    </row>
    <row r="4928" spans="1:9">
      <c r="A4928" s="1" t="str">
        <f>"411327199304303137"</f>
        <v>411327199304303137</v>
      </c>
      <c r="B4928" s="1" t="str">
        <f>"中共党员"</f>
        <v>中共党员</v>
      </c>
      <c r="C4928" s="1" t="str">
        <f t="shared" si="2431"/>
        <v>本科</v>
      </c>
      <c r="D4928" s="1" t="str">
        <f>"20160701"</f>
        <v>20160701</v>
      </c>
      <c r="E4928" s="1" t="str">
        <f>"郑州工业应用技术应用学院"</f>
        <v>郑州工业应用技术应用学院</v>
      </c>
      <c r="F4928" s="1" t="str">
        <f>"旅游管理"</f>
        <v>旅游管理</v>
      </c>
      <c r="G4928" s="1" t="str">
        <f>"河南省南阳市内乡县城关镇"</f>
        <v>河南省南阳市内乡县城关镇</v>
      </c>
      <c r="H4928" s="1" t="str">
        <f t="shared" si="2432"/>
        <v>无</v>
      </c>
      <c r="I4928" s="1" t="str">
        <f>"201209-201607郑州工业应用技术学院（原郑州华信学院）管理学院旅游管理专业，全日制本科。201609-至今南阳菊苑建设工程有限公司上班。"</f>
        <v>201209-201607郑州工业应用技术学院（原郑州华信学院）管理学院旅游管理专业，全日制本科。201609-至今南阳菊苑建设工程有限公司上班。</v>
      </c>
    </row>
    <row r="4929" spans="1:9">
      <c r="A4929" s="1" t="str">
        <f>"411330200202195116"</f>
        <v>411330200202195116</v>
      </c>
      <c r="B4929" s="1" t="str">
        <f>"共青团员"</f>
        <v>共青团员</v>
      </c>
      <c r="C4929" s="1" t="str">
        <f t="shared" si="2431"/>
        <v>本科</v>
      </c>
      <c r="D4929" s="1" t="str">
        <f>"20240628"</f>
        <v>20240628</v>
      </c>
      <c r="E4929" s="1" t="str">
        <f>"呼伦贝尔学院"</f>
        <v>呼伦贝尔学院</v>
      </c>
      <c r="F4929" s="1" t="str">
        <f>"土木工程"</f>
        <v>土木工程</v>
      </c>
      <c r="G4929" s="1" t="str">
        <f>"河南省南阳市西峡县双龙镇"</f>
        <v>河南省南阳市西峡县双龙镇</v>
      </c>
      <c r="H4929" s="1" t="str">
        <f t="shared" si="2432"/>
        <v>无</v>
      </c>
      <c r="I4929" s="1" t="str">
        <f>"202009-202406 呼伦贝尔学院建筑工程学院土木工程专业就读  是全日制学历
202406-至今      待业"</f>
        <v>202009-202406 呼伦贝尔学院建筑工程学院土木工程专业就读  是全日制学历
202406-至今      待业</v>
      </c>
    </row>
    <row r="4930" spans="1:9">
      <c r="A4930" s="1" t="str">
        <f>"411327199005121552"</f>
        <v>411327199005121552</v>
      </c>
      <c r="B4930" s="1" t="str">
        <f t="shared" ref="B4930:B4932" si="2433">"群众"</f>
        <v>群众</v>
      </c>
      <c r="C4930" s="1" t="str">
        <f>"专科"</f>
        <v>专科</v>
      </c>
      <c r="D4930" s="1" t="str">
        <f>"20130701"</f>
        <v>20130701</v>
      </c>
      <c r="E4930" s="1" t="str">
        <f>"许昌职业技术学院"</f>
        <v>许昌职业技术学院</v>
      </c>
      <c r="F4930" s="1" t="str">
        <f>"电气自动化技术"</f>
        <v>电气自动化技术</v>
      </c>
      <c r="G4930" s="1" t="str">
        <f>"内乡县维多利亚小区"</f>
        <v>内乡县维多利亚小区</v>
      </c>
      <c r="H4930" s="1" t="str">
        <f t="shared" si="2432"/>
        <v>无</v>
      </c>
      <c r="I4930" s="1" t="str">
        <f>"201009-201307许昌职业技术学院电气自动化技术就读全日制学历
201307-201408  待业
201408-201508  南阳仁创沙业科技有限公司
201508-201610  待业
201610-202209  河南宝天机电科技有限公司
202209-至今  湍东镇人民政府（劳务派遣）"</f>
        <v>201009-201307许昌职业技术学院电气自动化技术就读全日制学历
201307-201408  待业
201408-201508  南阳仁创沙业科技有限公司
201508-201610  待业
201610-202209  河南宝天机电科技有限公司
202209-至今  湍东镇人民政府（劳务派遣）</v>
      </c>
    </row>
    <row r="4931" spans="1:9">
      <c r="A4931" s="1" t="str">
        <f>"411224199411295633"</f>
        <v>411224199411295633</v>
      </c>
      <c r="B4931" s="1" t="str">
        <f t="shared" si="2433"/>
        <v>群众</v>
      </c>
      <c r="C4931" s="1" t="str">
        <f t="shared" ref="C4931:C4944" si="2434">"本科"</f>
        <v>本科</v>
      </c>
      <c r="D4931" s="1" t="str">
        <f>"20180701"</f>
        <v>20180701</v>
      </c>
      <c r="E4931" s="1" t="str">
        <f>"新乡学院"</f>
        <v>新乡学院</v>
      </c>
      <c r="F4931" s="1" t="str">
        <f>"生物技术"</f>
        <v>生物技术</v>
      </c>
      <c r="G4931" s="1" t="str">
        <f>"河南省三门峡市卢氏县易和园"</f>
        <v>河南省三门峡市卢氏县易和园</v>
      </c>
      <c r="H4931" s="1" t="str">
        <f t="shared" si="2432"/>
        <v>无</v>
      </c>
      <c r="I4931" s="1" t="str">
        <f>"201409-201807 新乡学院生命科学技术院系就读
201809-201908 在家待业
201908-202007 上海凯创生物技术有限公司就业
202007-202108 在家待业
202108-至今 郑州育才人力资源公司就业"</f>
        <v>201409-201807 新乡学院生命科学技术院系就读
201809-201908 在家待业
201908-202007 上海凯创生物技术有限公司就业
202007-202108 在家待业
202108-至今 郑州育才人力资源公司就业</v>
      </c>
    </row>
    <row r="4932" spans="1:9">
      <c r="A4932" s="1" t="str">
        <f>"411327199711024928"</f>
        <v>411327199711024928</v>
      </c>
      <c r="B4932" s="1" t="str">
        <f t="shared" si="2433"/>
        <v>群众</v>
      </c>
      <c r="C4932" s="1" t="str">
        <f t="shared" si="2434"/>
        <v>本科</v>
      </c>
      <c r="D4932" s="1" t="str">
        <f>"20240701"</f>
        <v>20240701</v>
      </c>
      <c r="E4932" s="1" t="str">
        <f>"平顶山学院"</f>
        <v>平顶山学院</v>
      </c>
      <c r="F4932" s="1" t="str">
        <f>"英语"</f>
        <v>英语</v>
      </c>
      <c r="G4932" s="1" t="str">
        <f>"河南省南阳市内乡县灌涨镇山底村"</f>
        <v>河南省南阳市内乡县灌涨镇山底村</v>
      </c>
      <c r="H4932" s="1" t="str">
        <f t="shared" si="2432"/>
        <v>无</v>
      </c>
      <c r="I4932" s="1" t="str">
        <f>"201709-202106  平顶山学院英语专业
202109-202503    教育机构就业
202503-202507     山香机构学习"</f>
        <v>201709-202106  平顶山学院英语专业
202109-202503    教育机构就业
202503-202507     山香机构学习</v>
      </c>
    </row>
    <row r="4933" spans="1:9">
      <c r="A4933" s="1" t="str">
        <f>"411330199804162519"</f>
        <v>411330199804162519</v>
      </c>
      <c r="B4933" s="1" t="str">
        <f t="shared" ref="B4933:B4938" si="2435">"共青团员"</f>
        <v>共青团员</v>
      </c>
      <c r="C4933" s="1" t="str">
        <f t="shared" si="2434"/>
        <v>本科</v>
      </c>
      <c r="D4933" s="1" t="str">
        <f>"20220701"</f>
        <v>20220701</v>
      </c>
      <c r="E4933" s="1" t="str">
        <f>"黄淮学院"</f>
        <v>黄淮学院</v>
      </c>
      <c r="F4933" s="1" t="str">
        <f>"城乡规划"</f>
        <v>城乡规划</v>
      </c>
      <c r="G4933" s="1" t="str">
        <f>"河南省南阳市西峡县丁河镇邪地村14组"</f>
        <v>河南省南阳市西峡县丁河镇邪地村14组</v>
      </c>
      <c r="H4933" s="1" t="str">
        <f t="shared" si="2432"/>
        <v>无</v>
      </c>
      <c r="I4933" s="1" t="str">
        <f>"201709-202207黄淮学院建筑工程学院城乡规划专业就读"</f>
        <v>201709-202207黄淮学院建筑工程学院城乡规划专业就读</v>
      </c>
    </row>
    <row r="4934" spans="1:9">
      <c r="A4934" s="1" t="str">
        <f>"411327200007294516"</f>
        <v>411327200007294516</v>
      </c>
      <c r="B4934" s="1" t="str">
        <f t="shared" ref="B4934:B4936" si="2436">"群众"</f>
        <v>群众</v>
      </c>
      <c r="C4934" s="1" t="str">
        <f t="shared" si="2434"/>
        <v>本科</v>
      </c>
      <c r="D4934" s="1" t="str">
        <f>"20190701"</f>
        <v>20190701</v>
      </c>
      <c r="E4934" s="1" t="str">
        <f>"郑州工商学院"</f>
        <v>郑州工商学院</v>
      </c>
      <c r="F4934" s="1" t="str">
        <f>"电气工程及其自动化"</f>
        <v>电气工程及其自动化</v>
      </c>
      <c r="G4934" s="1" t="str">
        <f>"河南省南阳市内乡县赵店乡花洼村袁东"</f>
        <v>河南省南阳市内乡县赵店乡花洼村袁东</v>
      </c>
      <c r="H4934" s="1" t="str">
        <f t="shared" si="2432"/>
        <v>无</v>
      </c>
      <c r="I4934" s="1" t="str">
        <f>"201929-202307郑州工商学院电气工程及其自动化专业就读，是全日制学历"</f>
        <v>201929-202307郑州工商学院电气工程及其自动化专业就读，是全日制学历</v>
      </c>
    </row>
    <row r="4935" spans="1:9">
      <c r="A4935" s="1" t="str">
        <f>"411327199911270015"</f>
        <v>411327199911270015</v>
      </c>
      <c r="B4935" s="1" t="str">
        <f t="shared" si="2436"/>
        <v>群众</v>
      </c>
      <c r="C4935" s="1" t="str">
        <f t="shared" si="2434"/>
        <v>本科</v>
      </c>
      <c r="D4935" s="1" t="str">
        <f>"20220701"</f>
        <v>20220701</v>
      </c>
      <c r="E4935" s="1" t="str">
        <f>"郑州经贸学院"</f>
        <v>郑州经贸学院</v>
      </c>
      <c r="F4935" s="1" t="str">
        <f>"市场营销"</f>
        <v>市场营销</v>
      </c>
      <c r="G4935" s="1" t="str">
        <f>"内乡县左岸皇朝小区"</f>
        <v>内乡县左岸皇朝小区</v>
      </c>
      <c r="H4935" s="1" t="str">
        <f t="shared" si="2432"/>
        <v>无</v>
      </c>
      <c r="I4935" s="1" t="str">
        <f>"201706-202007 郑州西亚斯学院工商企业管理就读全日制专科
202009-202207 郑州经贸学院市场营销专业就读全日制本科"</f>
        <v>201706-202007 郑州西亚斯学院工商企业管理就读全日制专科
202009-202207 郑州经贸学院市场营销专业就读全日制本科</v>
      </c>
    </row>
    <row r="4936" spans="1:9">
      <c r="A4936" s="1" t="str">
        <f>"411326199906221116"</f>
        <v>411326199906221116</v>
      </c>
      <c r="B4936" s="1" t="str">
        <f t="shared" si="2436"/>
        <v>群众</v>
      </c>
      <c r="C4936" s="1" t="str">
        <f t="shared" si="2434"/>
        <v>本科</v>
      </c>
      <c r="D4936" s="1" t="str">
        <f>"20210701"</f>
        <v>20210701</v>
      </c>
      <c r="E4936" s="1" t="str">
        <f>"河南中医药大学"</f>
        <v>河南中医药大学</v>
      </c>
      <c r="F4936" s="1" t="str">
        <f>"市场营销"</f>
        <v>市场营销</v>
      </c>
      <c r="G4936" s="1" t="str">
        <f>"南阳市南召县云阳镇国储家园"</f>
        <v>南阳市南召县云阳镇国储家园</v>
      </c>
      <c r="H4936" s="1" t="str">
        <f t="shared" si="2432"/>
        <v>无</v>
      </c>
      <c r="I4936" s="1" t="str">
        <f>"20170901-20210701河南中医药大学
20210701-20230715在家待业
20230715-至今南召县四棵树乡人民政府"</f>
        <v>20170901-20210701河南中医药大学
20210701-20230715在家待业
20230715-至今南召县四棵树乡人民政府</v>
      </c>
    </row>
    <row r="4937" spans="1:9">
      <c r="A4937" s="1" t="str">
        <f>"411327199508272520"</f>
        <v>411327199508272520</v>
      </c>
      <c r="B4937" s="1" t="str">
        <f t="shared" si="2435"/>
        <v>共青团员</v>
      </c>
      <c r="C4937" s="1" t="str">
        <f t="shared" si="2434"/>
        <v>本科</v>
      </c>
      <c r="D4937" s="1" t="str">
        <f>"20190701"</f>
        <v>20190701</v>
      </c>
      <c r="E4937" s="1" t="str">
        <f>"河南师范大学"</f>
        <v>河南师范大学</v>
      </c>
      <c r="F4937" s="1" t="str">
        <f>"本专业计算机科学与技术，辅修双学位汉语言文学"</f>
        <v>本专业计算机科学与技术，辅修双学位汉语言文学</v>
      </c>
      <c r="G4937" s="1" t="str">
        <f>"河南省南阳市内乡县菊潭大街北三巷吉祥小区"</f>
        <v>河南省南阳市内乡县菊潭大街北三巷吉祥小区</v>
      </c>
      <c r="H4937" s="1" t="str">
        <f t="shared" si="2432"/>
        <v>无</v>
      </c>
      <c r="I4937" s="1" t="str">
        <f>"201609—20190701河南师范大学，辅修汉语言文学，三年制非全日制，双学位学士学位。 201509— 201907河南师范大学，计算机科学与技术，全日制，学士学位	201907—202508在内乡县待业				"</f>
        <v>201609—20190701河南师范大学，辅修汉语言文学，三年制非全日制，双学位学士学位。 201509— 201907河南师范大学，计算机科学与技术，全日制，学士学位	201907—202508在内乡县待业				</v>
      </c>
    </row>
    <row r="4938" spans="1:9">
      <c r="A4938" s="1" t="str">
        <f>"411330200010295120"</f>
        <v>411330200010295120</v>
      </c>
      <c r="B4938" s="1" t="str">
        <f t="shared" si="2435"/>
        <v>共青团员</v>
      </c>
      <c r="C4938" s="1" t="str">
        <f t="shared" si="2434"/>
        <v>本科</v>
      </c>
      <c r="D4938" s="1" t="str">
        <f>"20230701"</f>
        <v>20230701</v>
      </c>
      <c r="E4938" s="1" t="str">
        <f>"商丘工学院"</f>
        <v>商丘工学院</v>
      </c>
      <c r="F4938" s="1" t="str">
        <f>"学前教育（师范）"</f>
        <v>学前教育（师范）</v>
      </c>
      <c r="G4938" s="1" t="str">
        <f>"河南省南阳市西峡县莲花街道"</f>
        <v>河南省南阳市西峡县莲花街道</v>
      </c>
      <c r="H4938" s="1" t="str">
        <f t="shared" si="2432"/>
        <v>无</v>
      </c>
      <c r="I4938" s="1" t="str">
        <f>"201909-202307 商丘工学院教育与现代艺术学院学前教育专业 全日制
202309-202402 光迅科技有限公司
202403-202408 在家待业
202409-202501 红苹果托管之家专职老师
202502-至今   莲花幼儿园教师"</f>
        <v>201909-202307 商丘工学院教育与现代艺术学院学前教育专业 全日制
202309-202402 光迅科技有限公司
202403-202408 在家待业
202409-202501 红苹果托管之家专职老师
202502-至今   莲花幼儿园教师</v>
      </c>
    </row>
    <row r="4939" spans="1:9">
      <c r="A4939" s="1" t="str">
        <f>"411527199502260060"</f>
        <v>411527199502260060</v>
      </c>
      <c r="B4939" s="1" t="str">
        <f>"群众"</f>
        <v>群众</v>
      </c>
      <c r="C4939" s="1" t="str">
        <f t="shared" si="2434"/>
        <v>本科</v>
      </c>
      <c r="D4939" s="1" t="str">
        <f>"20170701"</f>
        <v>20170701</v>
      </c>
      <c r="E4939" s="1" t="str">
        <f>"郑州成功财经学院（现改名为郑州商学院）"</f>
        <v>郑州成功财经学院（现改名为郑州商学院）</v>
      </c>
      <c r="F4939" s="1" t="str">
        <f>"工商管理"</f>
        <v>工商管理</v>
      </c>
      <c r="G4939" s="1" t="str">
        <f>"河南省信阳市淮滨县南大街208号"</f>
        <v>河南省信阳市淮滨县南大街208号</v>
      </c>
      <c r="H4939" s="1" t="str">
        <f t="shared" si="2432"/>
        <v>无</v>
      </c>
      <c r="I4939" s="1" t="str">
        <f>"201309-201707 郑州成功财经学院现改名为郑州商学院 商学系 工商管理专业就读 全日制
2018-2021 武汉市 策划
"</f>
        <v>201309-201707 郑州成功财经学院现改名为郑州商学院 商学系 工商管理专业就读 全日制
2018-2021 武汉市 策划
</v>
      </c>
    </row>
    <row r="4940" spans="1:9">
      <c r="A4940" s="1" t="str">
        <f>"411327199810110610"</f>
        <v>411327199810110610</v>
      </c>
      <c r="B4940" s="1" t="str">
        <f t="shared" ref="B4940:B4943" si="2437">"共青团员"</f>
        <v>共青团员</v>
      </c>
      <c r="C4940" s="1" t="str">
        <f t="shared" si="2434"/>
        <v>本科</v>
      </c>
      <c r="D4940" s="1" t="str">
        <f>"20220701"</f>
        <v>20220701</v>
      </c>
      <c r="E4940" s="1" t="str">
        <f>"郑州财经学院"</f>
        <v>郑州财经学院</v>
      </c>
      <c r="F4940" s="1" t="str">
        <f>"土木工程"</f>
        <v>土木工程</v>
      </c>
      <c r="G4940" s="1" t="str">
        <f>"河南省南阳市内乡县马山口镇"</f>
        <v>河南省南阳市内乡县马山口镇</v>
      </c>
      <c r="H4940" s="1" t="str">
        <f t="shared" si="2432"/>
        <v>无</v>
      </c>
      <c r="I4940" s="1" t="str">
        <f>"202009-202207郑州财经学院就读全日制
201709-202007河南交通职业技术学院就读全日制"</f>
        <v>202009-202207郑州财经学院就读全日制
201709-202007河南交通职业技术学院就读全日制</v>
      </c>
    </row>
    <row r="4941" spans="1:9">
      <c r="A4941" s="1" t="str">
        <f>"410324200104202521"</f>
        <v>410324200104202521</v>
      </c>
      <c r="B4941" s="1" t="str">
        <f t="shared" si="2437"/>
        <v>共青团员</v>
      </c>
      <c r="C4941" s="1" t="str">
        <f t="shared" si="2434"/>
        <v>本科</v>
      </c>
      <c r="D4941" s="1" t="str">
        <f>"20240607"</f>
        <v>20240607</v>
      </c>
      <c r="E4941" s="1" t="str">
        <f>"南阳师范学院"</f>
        <v>南阳师范学院</v>
      </c>
      <c r="F4941" s="1" t="str">
        <f>"计算机科学与技术专业"</f>
        <v>计算机科学与技术专业</v>
      </c>
      <c r="G4941" s="1" t="str">
        <f>"河南省洛阳市栾川县虎平沟三丰樱花园"</f>
        <v>河南省洛阳市栾川县虎平沟三丰樱花园</v>
      </c>
      <c r="H4941" s="1" t="str">
        <f>"计算机程序设计员三级工"</f>
        <v>计算机程序设计员三级工</v>
      </c>
      <c r="I4941" s="1" t="str">
        <f>"202009-202406 南阳师范学院就读 计算机科学与技术专业 全日制学历
"</f>
        <v>202009-202406 南阳师范学院就读 计算机科学与技术专业 全日制学历
</v>
      </c>
    </row>
    <row r="4942" spans="1:9">
      <c r="A4942" s="1" t="str">
        <f>"410926199801074449"</f>
        <v>410926199801074449</v>
      </c>
      <c r="B4942" s="1" t="str">
        <f>"中共党员"</f>
        <v>中共党员</v>
      </c>
      <c r="C4942" s="1" t="str">
        <f t="shared" si="2434"/>
        <v>本科</v>
      </c>
      <c r="D4942" s="1" t="str">
        <f>"20220701"</f>
        <v>20220701</v>
      </c>
      <c r="E4942" s="1" t="str">
        <f>"河南科技学院"</f>
        <v>河南科技学院</v>
      </c>
      <c r="F4942" s="1" t="str">
        <f>"园林"</f>
        <v>园林</v>
      </c>
      <c r="G4942" s="1" t="str">
        <f>"河南省范县高码头镇"</f>
        <v>河南省范县高码头镇</v>
      </c>
      <c r="H4942" s="1" t="str">
        <f t="shared" ref="H4942:H4948" si="2438">"无"</f>
        <v>无</v>
      </c>
      <c r="I4942" s="1" t="str">
        <f>"201809-202207 河南科技学院 园艺园林学院 园林专业 全日制
202209-202406 石河子大学     农学院 农业工程与信息技术专业 全日制
202406-至今      待业"</f>
        <v>201809-202207 河南科技学院 园艺园林学院 园林专业 全日制
202209-202406 石河子大学     农学院 农业工程与信息技术专业 全日制
202406-至今      待业</v>
      </c>
    </row>
    <row r="4943" spans="1:9">
      <c r="A4943" s="1" t="str">
        <f>"142602199709020017"</f>
        <v>142602199709020017</v>
      </c>
      <c r="B4943" s="1" t="str">
        <f t="shared" si="2437"/>
        <v>共青团员</v>
      </c>
      <c r="C4943" s="1" t="str">
        <f t="shared" si="2434"/>
        <v>本科</v>
      </c>
      <c r="D4943" s="1" t="str">
        <f>"20200701"</f>
        <v>20200701</v>
      </c>
      <c r="E4943" s="1" t="str">
        <f>"中北大学信息商务学院"</f>
        <v>中北大学信息商务学院</v>
      </c>
      <c r="F4943" s="1" t="str">
        <f>"国际经济与贸易"</f>
        <v>国际经济与贸易</v>
      </c>
      <c r="G4943" s="1" t="str">
        <f>"山西省侯马市紫金山街紫金旺居"</f>
        <v>山西省侯马市紫金山街紫金旺居</v>
      </c>
      <c r="H4943" s="1" t="str">
        <f t="shared" si="2438"/>
        <v>无</v>
      </c>
      <c r="I4943" s="1" t="str">
        <f>"201609-202007 中北大学信息商务学院国际经济与贸易专业 就读 全日制学历
202007-202201 在家待业
202201-202301 侯马市威创动力机械有限公司从事行政助理工作
202301-202308 在家待业
202308-202401 山西省凌讯电梯有限公司从事工程维护工作
202401-202508 在家待业"</f>
        <v>201609-202007 中北大学信息商务学院国际经济与贸易专业 就读 全日制学历
202007-202201 在家待业
202201-202301 侯马市威创动力机械有限公司从事行政助理工作
202301-202308 在家待业
202308-202401 山西省凌讯电梯有限公司从事工程维护工作
202401-202508 在家待业</v>
      </c>
    </row>
    <row r="4944" spans="1:9">
      <c r="A4944" s="1" t="str">
        <f>"41132720011015428X"</f>
        <v>41132720011015428X</v>
      </c>
      <c r="B4944" s="1" t="str">
        <f t="shared" ref="B4944:B4946" si="2439">"群众"</f>
        <v>群众</v>
      </c>
      <c r="C4944" s="1" t="str">
        <f t="shared" si="2434"/>
        <v>本科</v>
      </c>
      <c r="D4944" s="1" t="str">
        <f>"2023-07-26"</f>
        <v>2023-07-26</v>
      </c>
      <c r="E4944" s="1" t="str">
        <f>"周口师范学院"</f>
        <v>周口师范学院</v>
      </c>
      <c r="F4944" s="1" t="str">
        <f>"学前教育专业"</f>
        <v>学前教育专业</v>
      </c>
      <c r="G4944" s="1" t="str">
        <f>"河南省南阳市内乡县城关镇"</f>
        <v>河南省南阳市内乡县城关镇</v>
      </c>
      <c r="H4944" s="1" t="str">
        <f>"高中语文教师资格证"</f>
        <v>高中语文教师资格证</v>
      </c>
      <c r="I4944" s="1" t="str">
        <f>"201909-202306周口师范学院学前教育专业全日制
202308-202504上海工作"</f>
        <v>201909-202306周口师范学院学前教育专业全日制
202308-202504上海工作</v>
      </c>
    </row>
    <row r="4945" spans="1:9">
      <c r="A4945" s="1" t="str">
        <f>"412723200010021233"</f>
        <v>412723200010021233</v>
      </c>
      <c r="B4945" s="1" t="str">
        <f t="shared" si="2439"/>
        <v>群众</v>
      </c>
      <c r="C4945" s="1" t="str">
        <f>"专科"</f>
        <v>专科</v>
      </c>
      <c r="D4945" s="1" t="str">
        <f>"2025年7月1日"</f>
        <v>2025年7月1日</v>
      </c>
      <c r="E4945" s="1" t="str">
        <f>"哈尔滨职业技术大学"</f>
        <v>哈尔滨职业技术大学</v>
      </c>
      <c r="F4945" s="1" t="str">
        <f>"机电一体化"</f>
        <v>机电一体化</v>
      </c>
      <c r="G4945" s="1" t="str">
        <f>"河南省周口市商水县张庄乡张庄街"</f>
        <v>河南省周口市商水县张庄乡张庄街</v>
      </c>
      <c r="H4945" s="1" t="str">
        <f>"电梯特种作业证"</f>
        <v>电梯特种作业证</v>
      </c>
      <c r="I4945" s="1" t="str">
        <f>"本人名叫陈坤赛，于2022年9月1日至2025年7月1日在哈尔滨职业技术大学就读，所学专业为机电一体化技术。在2024年8月1日至2025年5月1日在长春蒂升电梯从事电梯保养维护工作，现在如今在商水县信访局从事办公室文员的工作，可以熟练的制作文档和表格，对于信访工作有了一定的基本认识。"</f>
        <v>本人名叫陈坤赛，于2022年9月1日至2025年7月1日在哈尔滨职业技术大学就读，所学专业为机电一体化技术。在2024年8月1日至2025年5月1日在长春蒂升电梯从事电梯保养维护工作，现在如今在商水县信访局从事办公室文员的工作，可以熟练的制作文档和表格，对于信访工作有了一定的基本认识。</v>
      </c>
    </row>
    <row r="4946" spans="1:9">
      <c r="A4946" s="1" t="str">
        <f>"411202199807171524"</f>
        <v>411202199807171524</v>
      </c>
      <c r="B4946" s="1" t="str">
        <f t="shared" si="2439"/>
        <v>群众</v>
      </c>
      <c r="C4946" s="1" t="str">
        <f t="shared" ref="C4946:C4955" si="2440">"本科"</f>
        <v>本科</v>
      </c>
      <c r="D4946" s="1" t="str">
        <f>"202107"</f>
        <v>202107</v>
      </c>
      <c r="E4946" s="1" t="str">
        <f>"安阳师范学院"</f>
        <v>安阳师范学院</v>
      </c>
      <c r="F4946" s="1" t="str">
        <f>"会计学"</f>
        <v>会计学</v>
      </c>
      <c r="G4946" s="1" t="str">
        <f>"河南省三门峡市湖滨区黄河路南二街坊40号楼1单元12号"</f>
        <v>河南省三门峡市湖滨区黄河路南二街坊40号楼1单元12号</v>
      </c>
      <c r="H4946" s="1" t="str">
        <f t="shared" si="2438"/>
        <v>无</v>
      </c>
      <c r="I4946" s="1" t="str">
        <f>"201709-202107在安阳师范学院商学院会计学专业就读 全日制本科
202107-202304 待业
202305-202412 在河南省三门峡市湖滨区统计局办公室工作（编外）
202501至今 待业"</f>
        <v>201709-202107在安阳师范学院商学院会计学专业就读 全日制本科
202107-202304 待业
202305-202412 在河南省三门峡市湖滨区统计局办公室工作（编外）
202501至今 待业</v>
      </c>
    </row>
    <row r="4947" spans="1:9">
      <c r="A4947" s="1" t="str">
        <f>"410185199009196537"</f>
        <v>410185199009196537</v>
      </c>
      <c r="B4947" s="1" t="str">
        <f>"中共预备党员"</f>
        <v>中共预备党员</v>
      </c>
      <c r="C4947" s="1" t="str">
        <f t="shared" si="2440"/>
        <v>本科</v>
      </c>
      <c r="D4947" s="1" t="str">
        <f>"2025-06-13"</f>
        <v>2025-06-13</v>
      </c>
      <c r="E4947" s="1" t="str">
        <f>"河南工程学院"</f>
        <v>河南工程学院</v>
      </c>
      <c r="F4947" s="1" t="str">
        <f>"机械设计制造及其自动化"</f>
        <v>机械设计制造及其自动化</v>
      </c>
      <c r="G4947" s="1" t="str">
        <f>"登封市中岳区新店2社区"</f>
        <v>登封市中岳区新店2社区</v>
      </c>
      <c r="H4947" s="1" t="str">
        <f t="shared" si="2438"/>
        <v>无</v>
      </c>
      <c r="I4947" s="1" t="str">
        <f>"201109-201406郑州旅游职业学院
201309-201509 8661部队
201509-201605在家待业
201606-202303中国人民银行
202304-202308在家待业
202309-202506河南工程学院
202507-至今在家待业
"</f>
        <v>201109-201406郑州旅游职业学院
201309-201509 8661部队
201509-201605在家待业
201606-202303中国人民银行
202304-202308在家待业
202309-202506河南工程学院
202507-至今在家待业
</v>
      </c>
    </row>
    <row r="4948" spans="1:9">
      <c r="A4948" s="1" t="str">
        <f>"411327200009183326"</f>
        <v>411327200009183326</v>
      </c>
      <c r="B4948" s="1" t="str">
        <f t="shared" ref="B4948:B4955" si="2441">"共青团员"</f>
        <v>共青团员</v>
      </c>
      <c r="C4948" s="1" t="str">
        <f t="shared" si="2440"/>
        <v>本科</v>
      </c>
      <c r="D4948" s="1" t="str">
        <f>"20230701"</f>
        <v>20230701</v>
      </c>
      <c r="E4948" s="1" t="str">
        <f>"河南理工大学"</f>
        <v>河南理工大学</v>
      </c>
      <c r="F4948" s="1" t="str">
        <f>"人力资源管理专业"</f>
        <v>人力资源管理专业</v>
      </c>
      <c r="G4948" s="1" t="str">
        <f>"河南省南阳市内乡县七里坪乡后坪村"</f>
        <v>河南省南阳市内乡县七里坪乡后坪村</v>
      </c>
      <c r="H4948" s="1" t="str">
        <f t="shared" si="2438"/>
        <v>无</v>
      </c>
      <c r="I4948" s="1" t="str">
        <f>"201909-202307河南理工大学就读是全日制学历"</f>
        <v>201909-202307河南理工大学就读是全日制学历</v>
      </c>
    </row>
    <row r="4949" spans="1:9">
      <c r="A4949" s="1" t="str">
        <f>"411302200012252321"</f>
        <v>411302200012252321</v>
      </c>
      <c r="B4949" s="1" t="str">
        <f t="shared" si="2441"/>
        <v>共青团员</v>
      </c>
      <c r="C4949" s="1" t="str">
        <f t="shared" si="2440"/>
        <v>本科</v>
      </c>
      <c r="D4949" s="1" t="str">
        <f>"2024.06"</f>
        <v>2024.06</v>
      </c>
      <c r="E4949" s="1" t="str">
        <f>"武汉工程科技学院"</f>
        <v>武汉工程科技学院</v>
      </c>
      <c r="F4949" s="1" t="str">
        <f>"会计学"</f>
        <v>会计学</v>
      </c>
      <c r="G4949" s="1" t="str">
        <f>"河南省南阳市龙王庙社区"</f>
        <v>河南省南阳市龙王庙社区</v>
      </c>
      <c r="H4949" s="1" t="str">
        <f>"初级会计证"</f>
        <v>初级会计证</v>
      </c>
      <c r="I4949" s="1" t="str">
        <f>"201909-202206 武汉工程科技学院 就读 专科 经济与管理学院 会计 
202209-202406 武汉工程科技学院 就读 本科 经济与管理学院 会计学
202406-202409 在南阳待业                                                                            
202409-至今      示范区姜营街道办事处     "</f>
        <v>201909-202206 武汉工程科技学院 就读 专科 经济与管理学院 会计 
202209-202406 武汉工程科技学院 就读 本科 经济与管理学院 会计学
202406-202409 在南阳待业                                                                            
202409-至今      示范区姜营街道办事处     </v>
      </c>
    </row>
    <row r="4950" spans="1:9">
      <c r="A4950" s="1" t="str">
        <f>"411330200105044041"</f>
        <v>411330200105044041</v>
      </c>
      <c r="B4950" s="1" t="str">
        <f>"群众"</f>
        <v>群众</v>
      </c>
      <c r="C4950" s="1" t="str">
        <f t="shared" si="2440"/>
        <v>本科</v>
      </c>
      <c r="D4950" s="1" t="str">
        <f>"2024-06-30"</f>
        <v>2024-06-30</v>
      </c>
      <c r="E4950" s="1" t="str">
        <f>"湖北科技学院"</f>
        <v>湖北科技学院</v>
      </c>
      <c r="F4950" s="1" t="str">
        <f>"化学"</f>
        <v>化学</v>
      </c>
      <c r="G4950" s="1" t="str">
        <f>"河南省南阳市西峡县土门摩托城"</f>
        <v>河南省南阳市西峡县土门摩托城</v>
      </c>
      <c r="H4950" s="1" t="str">
        <f t="shared" ref="H4950:H4953" si="2442">"无"</f>
        <v>无</v>
      </c>
      <c r="I4950" s="1" t="str">
        <f>"202009-202406湖北科技学院核技术与化学生物学院化学专业在读"</f>
        <v>202009-202406湖北科技学院核技术与化学生物学院化学专业在读</v>
      </c>
    </row>
    <row r="4951" spans="1:9">
      <c r="A4951" s="1" t="str">
        <f>"411303199703036741"</f>
        <v>411303199703036741</v>
      </c>
      <c r="B4951" s="1" t="str">
        <f t="shared" si="2441"/>
        <v>共青团员</v>
      </c>
      <c r="C4951" s="1" t="str">
        <f t="shared" si="2440"/>
        <v>本科</v>
      </c>
      <c r="D4951" s="1" t="str">
        <f>"2021-07-01"</f>
        <v>2021-07-01</v>
      </c>
      <c r="E4951" s="1" t="str">
        <f>"黄河科技学院"</f>
        <v>黄河科技学院</v>
      </c>
      <c r="F4951" s="1" t="str">
        <f>"动画"</f>
        <v>动画</v>
      </c>
      <c r="G4951" s="1" t="str">
        <f>"河南省南阳市南召县消防救援大队"</f>
        <v>河南省南阳市南召县消防救援大队</v>
      </c>
      <c r="H4951" s="1" t="str">
        <f t="shared" si="2442"/>
        <v>无</v>
      </c>
      <c r="I4951" s="1" t="str">
        <f>"2019年黄河科技学院就读，2021年毕业，为全日制本科学历，先在河南省南阳市南召县消防救援大队就职"</f>
        <v>2019年黄河科技学院就读，2021年毕业，为全日制本科学历，先在河南省南阳市南召县消防救援大队就职</v>
      </c>
    </row>
    <row r="4952" spans="1:9">
      <c r="A4952" s="1" t="str">
        <f>"411327199812240320"</f>
        <v>411327199812240320</v>
      </c>
      <c r="B4952" s="1" t="str">
        <f t="shared" si="2441"/>
        <v>共青团员</v>
      </c>
      <c r="C4952" s="1" t="str">
        <f t="shared" si="2440"/>
        <v>本科</v>
      </c>
      <c r="D4952" s="1" t="str">
        <f>"20200701"</f>
        <v>20200701</v>
      </c>
      <c r="E4952" s="1" t="str">
        <f>"河南科技大学"</f>
        <v>河南科技大学</v>
      </c>
      <c r="F4952" s="1" t="str">
        <f>"材料成型及控制工程专业"</f>
        <v>材料成型及控制工程专业</v>
      </c>
      <c r="G4952" s="1" t="str">
        <f>"河南省内乡县城关镇民主社区"</f>
        <v>河南省内乡县城关镇民主社区</v>
      </c>
      <c r="H4952" s="1" t="str">
        <f t="shared" si="2442"/>
        <v>无</v>
      </c>
      <c r="I4952" s="1" t="str">
        <f>"201609-202007河南科技大学 材料科学与工程学院材料成型及控制工程专业就读（全日制本科）
202007-202303在家待业
202304-202406内乡郦都学校 教师
202407-202408在家待业
202409-至今内乡蓝盾保安服务有限公司 安检员"</f>
        <v>201609-202007河南科技大学 材料科学与工程学院材料成型及控制工程专业就读（全日制本科）
202007-202303在家待业
202304-202406内乡郦都学校 教师
202407-202408在家待业
202409-至今内乡蓝盾保安服务有限公司 安检员</v>
      </c>
    </row>
    <row r="4953" spans="1:9">
      <c r="A4953" s="1" t="str">
        <f>"411323199911135846"</f>
        <v>411323199911135846</v>
      </c>
      <c r="B4953" s="1" t="str">
        <f t="shared" si="2441"/>
        <v>共青团员</v>
      </c>
      <c r="C4953" s="1" t="str">
        <f t="shared" si="2440"/>
        <v>本科</v>
      </c>
      <c r="D4953" s="1" t="str">
        <f>"20220701"</f>
        <v>20220701</v>
      </c>
      <c r="E4953" s="1" t="str">
        <f>"信阳师范学院"</f>
        <v>信阳师范学院</v>
      </c>
      <c r="F4953" s="1" t="str">
        <f>"国际经济与贸易"</f>
        <v>国际经济与贸易</v>
      </c>
      <c r="G4953" s="1" t="str">
        <f>"河南省淅川县九重镇中州路27号"</f>
        <v>河南省淅川县九重镇中州路27号</v>
      </c>
      <c r="H4953" s="1" t="str">
        <f t="shared" si="2442"/>
        <v>无</v>
      </c>
      <c r="I4953" s="1" t="str">
        <f>"201809-202207 信阳师范学院商学院国际经济与贸易专业就读，全日制本科；202208-202301在家待业；202302-202306牧原；202307-至今在家待业"</f>
        <v>201809-202207 信阳师范学院商学院国际经济与贸易专业就读，全日制本科；202208-202301在家待业；202302-202306牧原；202307-至今在家待业</v>
      </c>
    </row>
    <row r="4954" spans="1:9">
      <c r="A4954" s="1" t="str">
        <f>"411330200012184520"</f>
        <v>411330200012184520</v>
      </c>
      <c r="B4954" s="1" t="str">
        <f t="shared" si="2441"/>
        <v>共青团员</v>
      </c>
      <c r="C4954" s="1" t="str">
        <f t="shared" si="2440"/>
        <v>本科</v>
      </c>
      <c r="D4954" s="1" t="str">
        <f>"2024-06-05"</f>
        <v>2024-06-05</v>
      </c>
      <c r="E4954" s="1" t="str">
        <f>"安阳学院"</f>
        <v>安阳学院</v>
      </c>
      <c r="F4954" s="1" t="str">
        <f>"音乐学"</f>
        <v>音乐学</v>
      </c>
      <c r="G4954" s="1" t="str">
        <f>"河南省南阳市西峡县"</f>
        <v>河南省南阳市西峡县</v>
      </c>
      <c r="H4954" s="1" t="str">
        <f>"三级音响调音员"</f>
        <v>三级音响调音员</v>
      </c>
      <c r="I4954" s="1" t="str">
        <f>"2020年9月—2024年6月在安阳学院音乐学院音乐学专业就读，为全日制四年本科。"</f>
        <v>2020年9月—2024年6月在安阳学院音乐学院音乐学专业就读，为全日制四年本科。</v>
      </c>
    </row>
    <row r="4955" spans="1:9">
      <c r="A4955" s="1" t="str">
        <f>"411327200105230049"</f>
        <v>411327200105230049</v>
      </c>
      <c r="B4955" s="1" t="str">
        <f t="shared" si="2441"/>
        <v>共青团员</v>
      </c>
      <c r="C4955" s="1" t="str">
        <f t="shared" si="2440"/>
        <v>本科</v>
      </c>
      <c r="D4955" s="1" t="str">
        <f>"20230701"</f>
        <v>20230701</v>
      </c>
      <c r="E4955" s="1" t="str">
        <f>"河南科技学院"</f>
        <v>河南科技学院</v>
      </c>
      <c r="F4955" s="1" t="str">
        <f>"教育学(中外合作办学）"</f>
        <v>教育学(中外合作办学）</v>
      </c>
      <c r="G4955" s="1" t="str">
        <f>"河南省内乡县城关镇县衙路邮电组237号"</f>
        <v>河南省内乡县城关镇县衙路邮电组237号</v>
      </c>
      <c r="H4955" s="1" t="str">
        <f t="shared" ref="H4955:H4957" si="2443">"无"</f>
        <v>无</v>
      </c>
      <c r="I4955" s="1" t="str">
        <f>"2019年9月-2023年7月 河南科技学院在教育科学学院就读教育学，全日制。
2023年8月-2024年7月 在河南省内乡县待业。
2024年8月-2025年5月 在内乡县职业中等学校任职。
2025年5月至今 在河南省内乡县待业。"</f>
        <v>2019年9月-2023年7月 河南科技学院在教育科学学院就读教育学，全日制。
2023年8月-2024年7月 在河南省内乡县待业。
2024年8月-2025年5月 在内乡县职业中等学校任职。
2025年5月至今 在河南省内乡县待业。</v>
      </c>
    </row>
    <row r="4956" spans="1:9">
      <c r="A4956" s="1" t="str">
        <f>"411303200210170032"</f>
        <v>411303200210170032</v>
      </c>
      <c r="B4956" s="1" t="str">
        <f t="shared" ref="B4956:B4959" si="2444">"群众"</f>
        <v>群众</v>
      </c>
      <c r="C4956" s="1" t="str">
        <f>"专科"</f>
        <v>专科</v>
      </c>
      <c r="D4956" s="1" t="str">
        <f>"2023-06-01"</f>
        <v>2023-06-01</v>
      </c>
      <c r="E4956" s="1" t="str">
        <f>"平顶山工业职业技术学院"</f>
        <v>平顶山工业职业技术学院</v>
      </c>
      <c r="F4956" s="1" t="str">
        <f>"应用电子技术"</f>
        <v>应用电子技术</v>
      </c>
      <c r="G4956" s="1" t="str">
        <f>"河南省南阳市卧龙区王村乡王村村"</f>
        <v>河南省南阳市卧龙区王村乡王村村</v>
      </c>
      <c r="H4956" s="1" t="str">
        <f t="shared" si="2443"/>
        <v>无</v>
      </c>
      <c r="I4956" s="1" t="str">
        <f>"2020-09-2023-06在平顶山工业职业技术学院自动化学院应用电子技术专业，是全日制"</f>
        <v>2020-09-2023-06在平顶山工业职业技术学院自动化学院应用电子技术专业，是全日制</v>
      </c>
    </row>
    <row r="4957" spans="1:9">
      <c r="A4957" s="1" t="str">
        <f>"420322200011155710"</f>
        <v>420322200011155710</v>
      </c>
      <c r="B4957" s="1" t="str">
        <f t="shared" si="2444"/>
        <v>群众</v>
      </c>
      <c r="C4957" s="1" t="str">
        <f t="shared" ref="C4957:C4960" si="2445">"本科"</f>
        <v>本科</v>
      </c>
      <c r="D4957" s="1" t="str">
        <f>"20230601"</f>
        <v>20230601</v>
      </c>
      <c r="E4957" s="1" t="str">
        <f>"北京工业大学"</f>
        <v>北京工业大学</v>
      </c>
      <c r="F4957" s="1" t="str">
        <f>"机械工程"</f>
        <v>机械工程</v>
      </c>
      <c r="G4957" s="1" t="str">
        <f>"湖北省十堰市郧西县教育局"</f>
        <v>湖北省十堰市郧西县教育局</v>
      </c>
      <c r="H4957" s="1" t="str">
        <f t="shared" si="2443"/>
        <v>无</v>
      </c>
      <c r="I4957" s="1" t="str">
        <f>"201909-202306 北京工业大学 机电学院机械系专业就读 全日制学历
202306-202503 岚图汽车有限公司任职
202503-至今 待业"</f>
        <v>201909-202306 北京工业大学 机电学院机械系专业就读 全日制学历
202306-202503 岚图汽车有限公司任职
202503-至今 待业</v>
      </c>
    </row>
    <row r="4958" spans="1:9">
      <c r="A4958" s="1" t="str">
        <f>"411330200109223119"</f>
        <v>411330200109223119</v>
      </c>
      <c r="B4958" s="1" t="str">
        <f t="shared" ref="B4958:B4962" si="2446">"共青团员"</f>
        <v>共青团员</v>
      </c>
      <c r="C4958" s="1" t="str">
        <f t="shared" si="2445"/>
        <v>本科</v>
      </c>
      <c r="D4958" s="1" t="str">
        <f>"2024.07"</f>
        <v>2024.07</v>
      </c>
      <c r="E4958" s="1" t="str">
        <f>"河南科技职业大学"</f>
        <v>河南科技职业大学</v>
      </c>
      <c r="F4958" s="1" t="str">
        <f>"建筑工程"</f>
        <v>建筑工程</v>
      </c>
      <c r="G4958" s="1" t="str">
        <f>"河南省南阳市西峡县重阳镇重阳村10组15号"</f>
        <v>河南省南阳市西峡县重阳镇重阳村10组15号</v>
      </c>
      <c r="H4958" s="1" t="str">
        <f>"高级测量员"</f>
        <v>高级测量员</v>
      </c>
      <c r="I4958" s="1" t="str">
        <f>"2019.09-2022.07 河南农业职业学院
2022.09-2024.07 河南科技职业大学
2024.07-至今 待业"</f>
        <v>2019.09-2022.07 河南农业职业学院
2022.09-2024.07 河南科技职业大学
2024.07-至今 待业</v>
      </c>
    </row>
    <row r="4959" spans="1:9">
      <c r="A4959" s="1" t="str">
        <f>"411381199606300810"</f>
        <v>411381199606300810</v>
      </c>
      <c r="B4959" s="1" t="str">
        <f t="shared" si="2444"/>
        <v>群众</v>
      </c>
      <c r="C4959" s="1" t="str">
        <f>"专科"</f>
        <v>专科</v>
      </c>
      <c r="D4959" s="1" t="str">
        <f>"2017年7月1日"</f>
        <v>2017年7月1日</v>
      </c>
      <c r="E4959" s="1" t="str">
        <f>"新疆兵团警官高等专科学校"</f>
        <v>新疆兵团警官高等专科学校</v>
      </c>
      <c r="F4959" s="1" t="str">
        <f>"刑事执行"</f>
        <v>刑事执行</v>
      </c>
      <c r="G4959" s="1" t="str">
        <f>"河南省邓州市湍河街道办事处水车村"</f>
        <v>河南省邓州市湍河街道办事处水车村</v>
      </c>
      <c r="H4959" s="1" t="str">
        <f t="shared" ref="H4959:H4964" si="2447">"无"</f>
        <v>无</v>
      </c>
      <c r="I4959" s="1" t="str">
        <f>"2014年9月-2017年7月，新疆兵团警官高等专科学校，司法系刑事执行专业就读，全日制学历"</f>
        <v>2014年9月-2017年7月，新疆兵团警官高等专科学校，司法系刑事执行专业就读，全日制学历</v>
      </c>
    </row>
    <row r="4960" spans="1:9">
      <c r="A4960" s="1" t="str">
        <f>"411327199608201148"</f>
        <v>411327199608201148</v>
      </c>
      <c r="B4960" s="1" t="str">
        <f t="shared" si="2446"/>
        <v>共青团员</v>
      </c>
      <c r="C4960" s="1" t="str">
        <f t="shared" si="2445"/>
        <v>本科</v>
      </c>
      <c r="D4960" s="1" t="str">
        <f>"20230701"</f>
        <v>20230701</v>
      </c>
      <c r="E4960" s="1" t="str">
        <f>"南阳师范学院"</f>
        <v>南阳师范学院</v>
      </c>
      <c r="F4960" s="1" t="str">
        <f>"汉语言文学"</f>
        <v>汉语言文学</v>
      </c>
      <c r="G4960" s="1" t="str">
        <f>"内乡县湍东镇学府公馆3单元6号楼1801"</f>
        <v>内乡县湍东镇学府公馆3单元6号楼1801</v>
      </c>
      <c r="H4960" s="1" t="str">
        <f t="shared" si="2447"/>
        <v>无</v>
      </c>
      <c r="I4960" s="1" t="str">
        <f>"201509—201806在河南工业职业技术学院就读外语系商务英语，全日制学历；201806—202004从事于外贸行业：202005——至今从事于内乡郦都学校小学语文教师"</f>
        <v>201509—201806在河南工业职业技术学院就读外语系商务英语，全日制学历；201806—202004从事于外贸行业：202005——至今从事于内乡郦都学校小学语文教师</v>
      </c>
    </row>
    <row r="4961" spans="1:9">
      <c r="A4961" s="1" t="str">
        <f>"140522200009015325"</f>
        <v>140522200009015325</v>
      </c>
      <c r="B4961" s="1" t="str">
        <f>"中共党员"</f>
        <v>中共党员</v>
      </c>
      <c r="C4961" s="1" t="str">
        <f>"硕士研究生"</f>
        <v>硕士研究生</v>
      </c>
      <c r="D4961" s="1" t="str">
        <f>"20250617"</f>
        <v>20250617</v>
      </c>
      <c r="E4961" s="1" t="str">
        <f>"南开大学"</f>
        <v>南开大学</v>
      </c>
      <c r="F4961" s="1" t="str">
        <f>"马克思主义基本原理"</f>
        <v>马克思主义基本原理</v>
      </c>
      <c r="G4961" s="1" t="str">
        <f>"山西省晋城市阳城县凤城镇老窑头村"</f>
        <v>山西省晋城市阳城县凤城镇老窑头村</v>
      </c>
      <c r="H4961" s="1" t="str">
        <f t="shared" si="2447"/>
        <v>无</v>
      </c>
      <c r="I4961" s="1" t="str">
        <f>"201809-202206 河南大学马克思主义学院思想政治教育 全日制学历
202209-202506 南开大学马克思主义学院马克思主义基本原理 全日制学历
"</f>
        <v>201809-202206 河南大学马克思主义学院思想政治教育 全日制学历
202209-202506 南开大学马克思主义学院马克思主义基本原理 全日制学历
</v>
      </c>
    </row>
    <row r="4962" spans="1:9">
      <c r="A4962" s="1" t="str">
        <f>"411327200108152947"</f>
        <v>411327200108152947</v>
      </c>
      <c r="B4962" s="1" t="str">
        <f t="shared" si="2446"/>
        <v>共青团员</v>
      </c>
      <c r="C4962" s="1" t="str">
        <f t="shared" ref="C4962:C4964" si="2448">"本科"</f>
        <v>本科</v>
      </c>
      <c r="D4962" s="1" t="str">
        <f>"20230615"</f>
        <v>20230615</v>
      </c>
      <c r="E4962" s="1" t="str">
        <f>"黄河科技学院"</f>
        <v>黄河科技学院</v>
      </c>
      <c r="F4962" s="1" t="str">
        <f>"社会工作"</f>
        <v>社会工作</v>
      </c>
      <c r="G4962" s="1" t="str">
        <f>"内乡县湍东镇茶庵村"</f>
        <v>内乡县湍东镇茶庵村</v>
      </c>
      <c r="H4962" s="1" t="str">
        <f t="shared" si="2447"/>
        <v>无</v>
      </c>
      <c r="I4962" s="1" t="str">
        <f>"201909-202307黄河科技学院商学院社会工作专业就读。"</f>
        <v>201909-202307黄河科技学院商学院社会工作专业就读。</v>
      </c>
    </row>
    <row r="4963" spans="1:9">
      <c r="A4963" s="1" t="str">
        <f>"412326199211096014"</f>
        <v>412326199211096014</v>
      </c>
      <c r="B4963" s="1" t="str">
        <f>"中共党员"</f>
        <v>中共党员</v>
      </c>
      <c r="C4963" s="1" t="str">
        <f t="shared" si="2448"/>
        <v>本科</v>
      </c>
      <c r="D4963" s="1" t="str">
        <f>"20160701"</f>
        <v>20160701</v>
      </c>
      <c r="E4963" s="1" t="str">
        <f>"河南理工大学"</f>
        <v>河南理工大学</v>
      </c>
      <c r="F4963" s="1" t="str">
        <f>"公共事业管理"</f>
        <v>公共事业管理</v>
      </c>
      <c r="G4963" s="1" t="str">
        <f>"商丘市睢阳区南京路爱丁堡小区"</f>
        <v>商丘市睢阳区南京路爱丁堡小区</v>
      </c>
      <c r="H4963" s="1" t="str">
        <f t="shared" si="2447"/>
        <v>无</v>
      </c>
      <c r="I4963" s="1" t="str">
        <f>"201209-201607 就读于河南理工大学应急管理学院公共事业管理专业
201607-201707 在家待业
201707-201912 就职于商丘华海置业有限公司
202001-202110 就职于商丘碧昌置业有限公司
202110-202404 就职于商丘建铭置业有限公司
202404-202406 在家待业
202407-202409 就职于陕西浦思信息科技有限公司河南分公司
202409至今 在家待业"</f>
        <v>201209-201607 就读于河南理工大学应急管理学院公共事业管理专业
201607-201707 在家待业
201707-201912 就职于商丘华海置业有限公司
202001-202110 就职于商丘碧昌置业有限公司
202110-202404 就职于商丘建铭置业有限公司
202404-202406 在家待业
202407-202409 就职于陕西浦思信息科技有限公司河南分公司
202409至今 在家待业</v>
      </c>
    </row>
    <row r="4964" spans="1:9">
      <c r="A4964" s="1" t="str">
        <f>"411327199909290033"</f>
        <v>411327199909290033</v>
      </c>
      <c r="B4964" s="1" t="str">
        <f t="shared" ref="B4964:B4971" si="2449">"共青团员"</f>
        <v>共青团员</v>
      </c>
      <c r="C4964" s="1" t="str">
        <f t="shared" si="2448"/>
        <v>本科</v>
      </c>
      <c r="D4964" s="1" t="str">
        <f>"2021-07-01"</f>
        <v>2021-07-01</v>
      </c>
      <c r="E4964" s="1" t="str">
        <f t="shared" ref="E4964:E4968" si="2450">"郑州升达经贸管理学院"</f>
        <v>郑州升达经贸管理学院</v>
      </c>
      <c r="F4964" s="1" t="str">
        <f>"国际经济与贸易"</f>
        <v>国际经济与贸易</v>
      </c>
      <c r="G4964" s="1" t="str">
        <f>"内乡县城关镇北园村北园西路71号"</f>
        <v>内乡县城关镇北园村北园西路71号</v>
      </c>
      <c r="H4964" s="1" t="str">
        <f t="shared" si="2447"/>
        <v>无</v>
      </c>
      <c r="I4964" s="1" t="str">
        <f>"201709-202107   郑州升达经贸管理学院
202107-202307   待业
202308-至今        板场乡人民政府"</f>
        <v>201709-202107   郑州升达经贸管理学院
202107-202307   待业
202308-至今        板场乡人民政府</v>
      </c>
    </row>
    <row r="4965" spans="1:9">
      <c r="A4965" s="1" t="str">
        <f>"410602199412182510"</f>
        <v>410602199412182510</v>
      </c>
      <c r="B4965" s="1" t="str">
        <f>"群众"</f>
        <v>群众</v>
      </c>
      <c r="C4965" s="1" t="str">
        <f>"硕士研究生"</f>
        <v>硕士研究生</v>
      </c>
      <c r="D4965" s="1" t="str">
        <f>"20220602"</f>
        <v>20220602</v>
      </c>
      <c r="E4965" s="1" t="str">
        <f>"河北工业大学"</f>
        <v>河北工业大学</v>
      </c>
      <c r="F4965" s="1" t="str">
        <f>"建筑与土木工程"</f>
        <v>建筑与土木工程</v>
      </c>
      <c r="G4965" s="1" t="str">
        <f>"河南省鹤壁市淇滨区橄榄熙苑8号楼401"</f>
        <v>河南省鹤壁市淇滨区橄榄熙苑8号楼401</v>
      </c>
      <c r="H4965" s="1" t="str">
        <f>"助理工程师"</f>
        <v>助理工程师</v>
      </c>
      <c r="I4965" s="1" t="str">
        <f>"2014年09月至2018年06月	黑龙江八一农垦大学 土木工程专业就读（全日制本科）
2018年07月至2019年08月  待业
2019年09月至2022年06月	河北工业大学  建筑与土木工程专业就读（全日制硕士研究生）
2022年06月至2024年02月	中国建筑第六工程局有限公司工作
2024年03月至今    	待业"</f>
        <v>2014年09月至2018年06月	黑龙江八一农垦大学 土木工程专业就读（全日制本科）
2018年07月至2019年08月  待业
2019年09月至2022年06月	河北工业大学  建筑与土木工程专业就读（全日制硕士研究生）
2022年06月至2024年02月	中国建筑第六工程局有限公司工作
2024年03月至今    	待业</v>
      </c>
    </row>
    <row r="4966" spans="1:9">
      <c r="A4966" s="1" t="str">
        <f>"411327200212090053"</f>
        <v>411327200212090053</v>
      </c>
      <c r="B4966" s="1" t="str">
        <f t="shared" si="2449"/>
        <v>共青团员</v>
      </c>
      <c r="C4966" s="1" t="str">
        <f t="shared" ref="C4966:C4968" si="2451">"本科"</f>
        <v>本科</v>
      </c>
      <c r="D4966" s="1" t="str">
        <f>"20260615"</f>
        <v>20260615</v>
      </c>
      <c r="E4966" s="1" t="str">
        <f>"郑州财经学院"</f>
        <v>郑州财经学院</v>
      </c>
      <c r="F4966" s="1" t="str">
        <f>"工程造价"</f>
        <v>工程造价</v>
      </c>
      <c r="G4966" s="1" t="str">
        <f>"河南省南阳市内乡县瑞康家园1901"</f>
        <v>河南省南阳市内乡县瑞康家园1901</v>
      </c>
      <c r="H4966" s="1" t="str">
        <f t="shared" ref="H4966:H4971" si="2452">"无"</f>
        <v>无</v>
      </c>
      <c r="I4966" s="1" t="str">
        <f>"202209-202606郑州财经学院，土木工程学院工程造价专业就读，是全日制本科"</f>
        <v>202209-202606郑州财经学院，土木工程学院工程造价专业就读，是全日制本科</v>
      </c>
    </row>
    <row r="4967" spans="1:9">
      <c r="A4967" s="1" t="str">
        <f>"411327200105062540"</f>
        <v>411327200105062540</v>
      </c>
      <c r="B4967" s="1" t="str">
        <f t="shared" si="2449"/>
        <v>共青团员</v>
      </c>
      <c r="C4967" s="1" t="str">
        <f t="shared" si="2451"/>
        <v>本科</v>
      </c>
      <c r="D4967" s="1" t="str">
        <f>"20250701"</f>
        <v>20250701</v>
      </c>
      <c r="E4967" s="1" t="str">
        <f t="shared" si="2450"/>
        <v>郑州升达经贸管理学院</v>
      </c>
      <c r="F4967" s="1" t="str">
        <f>"汉语言文学"</f>
        <v>汉语言文学</v>
      </c>
      <c r="G4967" s="1" t="str">
        <f>"河南省南阳市内乡县城关镇二高斜对面"</f>
        <v>河南省南阳市内乡县城关镇二高斜对面</v>
      </c>
      <c r="H4967" s="1" t="str">
        <f t="shared" si="2452"/>
        <v>无</v>
      </c>
      <c r="I4967" s="1" t="str">
        <f>"202010-202307开封大学人文学院新闻采编与制作专业就读，全日制专科学历；202309-202507郑州升达经贸管理学院文法学院汉语言文学专业就读，全日制本科学历"</f>
        <v>202010-202307开封大学人文学院新闻采编与制作专业就读，全日制专科学历；202309-202507郑州升达经贸管理学院文法学院汉语言文学专业就读，全日制本科学历</v>
      </c>
    </row>
    <row r="4968" spans="1:9">
      <c r="A4968" s="1" t="str">
        <f>"411524200111238428"</f>
        <v>411524200111238428</v>
      </c>
      <c r="B4968" s="1" t="str">
        <f t="shared" si="2449"/>
        <v>共青团员</v>
      </c>
      <c r="C4968" s="1" t="str">
        <f t="shared" si="2451"/>
        <v>本科</v>
      </c>
      <c r="D4968" s="1" t="str">
        <f>"20230701"</f>
        <v>20230701</v>
      </c>
      <c r="E4968" s="1" t="str">
        <f t="shared" si="2450"/>
        <v>郑州升达经贸管理学院</v>
      </c>
      <c r="F4968" s="1" t="str">
        <f>"金融学"</f>
        <v>金融学</v>
      </c>
      <c r="G4968" s="1" t="str">
        <f>"河南省信阳市商城县赤城街道金刚台大道99号雍华园小区"</f>
        <v>河南省信阳市商城县赤城街道金刚台大道99号雍华园小区</v>
      </c>
      <c r="H4968" s="1" t="str">
        <f t="shared" si="2452"/>
        <v>无</v>
      </c>
      <c r="I4968" s="1" t="str">
        <f>"201909-202307郑州升达经贸管理学院就读  金融学专业
全日制学历"</f>
        <v>201909-202307郑州升达经贸管理学院就读  金融学专业
全日制学历</v>
      </c>
    </row>
    <row r="4969" spans="1:9">
      <c r="A4969" s="1" t="str">
        <f>"411324200012074236"</f>
        <v>411324200012074236</v>
      </c>
      <c r="B4969" s="1" t="str">
        <f t="shared" si="2449"/>
        <v>共青团员</v>
      </c>
      <c r="C4969" s="1" t="str">
        <f>"专科"</f>
        <v>专科</v>
      </c>
      <c r="D4969" s="1" t="str">
        <f>"20220630"</f>
        <v>20220630</v>
      </c>
      <c r="E4969" s="1" t="str">
        <f>"开封大学"</f>
        <v>开封大学</v>
      </c>
      <c r="F4969" s="1" t="str">
        <f>"会计"</f>
        <v>会计</v>
      </c>
      <c r="G4969" s="1" t="str">
        <f>"河南省南阳市镇平县健康路中心法制广场"</f>
        <v>河南省南阳市镇平县健康路中心法制广场</v>
      </c>
      <c r="H4969" s="1" t="str">
        <f t="shared" si="2452"/>
        <v>无</v>
      </c>
      <c r="I4969" s="1" t="str">
        <f>"201909-202206 开封大学财政经济学院会计专业 全日制专科
202207-202308 河南省南阳市镇平县待业
202309-至今 河南省南阳市镇平县医药公司财务科办事员"</f>
        <v>201909-202206 开封大学财政经济学院会计专业 全日制专科
202207-202308 河南省南阳市镇平县待业
202309-至今 河南省南阳市镇平县医药公司财务科办事员</v>
      </c>
    </row>
    <row r="4970" spans="1:9">
      <c r="A4970" s="1" t="str">
        <f>"411327200109014511"</f>
        <v>411327200109014511</v>
      </c>
      <c r="B4970" s="1" t="str">
        <f t="shared" si="2449"/>
        <v>共青团员</v>
      </c>
      <c r="C4970" s="1" t="str">
        <f t="shared" ref="C4970:C4975" si="2453">"本科"</f>
        <v>本科</v>
      </c>
      <c r="D4970" s="1" t="str">
        <f>"20250607"</f>
        <v>20250607</v>
      </c>
      <c r="E4970" s="1" t="str">
        <f>"郑州工商学院"</f>
        <v>郑州工商学院</v>
      </c>
      <c r="F4970" s="1" t="str">
        <f>"财务管理"</f>
        <v>财务管理</v>
      </c>
      <c r="G4970" s="1" t="str">
        <f>"河南省南阳市内乡县"</f>
        <v>河南省南阳市内乡县</v>
      </c>
      <c r="H4970" s="1" t="str">
        <f t="shared" si="2452"/>
        <v>无</v>
      </c>
      <c r="I4970" s="1" t="str">
        <f>"202009-202306 河南财政金融学院国际教育学院财务管理专业就读 是全日制学历
202309-202506 郑州工商学院财税学院财务管理专业就读 是全日制学历"</f>
        <v>202009-202306 河南财政金融学院国际教育学院财务管理专业就读 是全日制学历
202309-202506 郑州工商学院财税学院财务管理专业就读 是全日制学历</v>
      </c>
    </row>
    <row r="4971" spans="1:9">
      <c r="A4971" s="1" t="str">
        <f>"411327200206043517"</f>
        <v>411327200206043517</v>
      </c>
      <c r="B4971" s="1" t="str">
        <f t="shared" si="2449"/>
        <v>共青团员</v>
      </c>
      <c r="C4971" s="1" t="str">
        <f t="shared" si="2453"/>
        <v>本科</v>
      </c>
      <c r="D4971" s="1" t="str">
        <f>"20240701"</f>
        <v>20240701</v>
      </c>
      <c r="E4971" s="1" t="str">
        <f>"西藏民族大学"</f>
        <v>西藏民族大学</v>
      </c>
      <c r="F4971" s="1" t="str">
        <f>"人力资源管理"</f>
        <v>人力资源管理</v>
      </c>
      <c r="G4971" s="1" t="str">
        <f>"河南省南阳市内乡县板厂乡板厂村后庄6号"</f>
        <v>河南省南阳市内乡县板厂乡板厂村后庄6号</v>
      </c>
      <c r="H4971" s="1" t="str">
        <f t="shared" si="2452"/>
        <v>无</v>
      </c>
      <c r="I4971" s="1" t="str">
        <f>"202009-202407 西藏民族大学管理学院人力资源管理就读 全日制"</f>
        <v>202009-202407 西藏民族大学管理学院人力资源管理就读 全日制</v>
      </c>
    </row>
    <row r="4972" spans="1:9">
      <c r="A4972" s="1" t="str">
        <f>"411327199804204522"</f>
        <v>411327199804204522</v>
      </c>
      <c r="B4972" s="1" t="str">
        <f t="shared" ref="B4972:B4977" si="2454">"群众"</f>
        <v>群众</v>
      </c>
      <c r="C4972" s="1" t="str">
        <f t="shared" si="2453"/>
        <v>本科</v>
      </c>
      <c r="D4972" s="1" t="str">
        <f>"20210701"</f>
        <v>20210701</v>
      </c>
      <c r="E4972" s="1" t="str">
        <f>"郑州航空工业管理学院"</f>
        <v>郑州航空工业管理学院</v>
      </c>
      <c r="F4972" s="1" t="str">
        <f>"信息管理与信息系统"</f>
        <v>信息管理与信息系统</v>
      </c>
      <c r="G4972" s="1" t="str">
        <f>"河南省南阳市内乡县赵店乡张庄村谢营"</f>
        <v>河南省南阳市内乡县赵店乡张庄村谢营</v>
      </c>
      <c r="H4972" s="1" t="str">
        <f>"英语四级、普通话证书"</f>
        <v>英语四级、普通话证书</v>
      </c>
      <c r="I4972" s="1" t="str">
        <f>"201609-201907  在郑州工程技术学院计算机网络技术专业就读，是全日制学历
201909-202107 在郑州航空工业管理学院信息管理与信息系统专业就读，是全日制学历
202107至今  在内乡县人民检察院就业"</f>
        <v>201609-201907  在郑州工程技术学院计算机网络技术专业就读，是全日制学历
201909-202107 在郑州航空工业管理学院信息管理与信息系统专业就读，是全日制学历
202107至今  在内乡县人民检察院就业</v>
      </c>
    </row>
    <row r="4973" spans="1:9">
      <c r="A4973" s="1" t="str">
        <f>"411330199907120522"</f>
        <v>411330199907120522</v>
      </c>
      <c r="B4973" s="1" t="str">
        <f>"共青团员"</f>
        <v>共青团员</v>
      </c>
      <c r="C4973" s="1" t="str">
        <f t="shared" si="2453"/>
        <v>本科</v>
      </c>
      <c r="D4973" s="1" t="str">
        <f>"20230701"</f>
        <v>20230701</v>
      </c>
      <c r="E4973" s="1" t="str">
        <f>"洛阳师范学院"</f>
        <v>洛阳师范学院</v>
      </c>
      <c r="F4973" s="1" t="str">
        <f>"工商管理"</f>
        <v>工商管理</v>
      </c>
      <c r="G4973" s="1" t="str">
        <f>"河南省南阳市西峡县汽配城小区"</f>
        <v>河南省南阳市西峡县汽配城小区</v>
      </c>
      <c r="H4973" s="1" t="str">
        <f t="shared" ref="H4973:H4977" si="2455">"无"</f>
        <v>无</v>
      </c>
      <c r="I4973" s="1" t="str">
        <f>"201909-202306 洛阳师范学院 就读
202306-至今 待业"</f>
        <v>201909-202306 洛阳师范学院 就读
202306-至今 待业</v>
      </c>
    </row>
    <row r="4974" spans="1:9">
      <c r="A4974" s="1" t="str">
        <f>"371402199208207327"</f>
        <v>371402199208207327</v>
      </c>
      <c r="B4974" s="1" t="str">
        <f t="shared" ref="B4974:B4978" si="2456">"中共党员"</f>
        <v>中共党员</v>
      </c>
      <c r="C4974" s="1" t="str">
        <f t="shared" si="2453"/>
        <v>本科</v>
      </c>
      <c r="D4974" s="1" t="str">
        <f>"20160701"</f>
        <v>20160701</v>
      </c>
      <c r="E4974" s="1" t="str">
        <f>"哈尔滨学院"</f>
        <v>哈尔滨学院</v>
      </c>
      <c r="F4974" s="1" t="str">
        <f>"美术学"</f>
        <v>美术学</v>
      </c>
      <c r="G4974" s="1" t="str">
        <f>"河南省南阳市西峡县田关镇大岭村"</f>
        <v>河南省南阳市西峡县田关镇大岭村</v>
      </c>
      <c r="H4974" s="1" t="str">
        <f t="shared" si="2455"/>
        <v>无</v>
      </c>
      <c r="I4974" s="1" t="str">
        <f>"201209-201607  哈尔滨学院   美术学专业 全日制学历
201607-201807  北京合瑞艺术培训学校就业
201807-至今   河南省南阳市西峡县田关镇大岭村待业"</f>
        <v>201209-201607  哈尔滨学院   美术学专业 全日制学历
201607-201807  北京合瑞艺术培训学校就业
201807-至今   河南省南阳市西峡县田关镇大岭村待业</v>
      </c>
    </row>
    <row r="4975" spans="1:9">
      <c r="A4975" s="1" t="str">
        <f>"342921200008181721"</f>
        <v>342921200008181721</v>
      </c>
      <c r="B4975" s="1" t="str">
        <f t="shared" si="2456"/>
        <v>中共党员</v>
      </c>
      <c r="C4975" s="1" t="str">
        <f t="shared" si="2453"/>
        <v>本科</v>
      </c>
      <c r="D4975" s="1" t="str">
        <f>"202307"</f>
        <v>202307</v>
      </c>
      <c r="E4975" s="1" t="str">
        <f>"中国劳动关系学院"</f>
        <v>中国劳动关系学院</v>
      </c>
      <c r="F4975" s="1" t="str">
        <f>"人力资源管理"</f>
        <v>人力资源管理</v>
      </c>
      <c r="G4975" s="1" t="str">
        <f>"安徽省池州市东至县尧渡镇二中初中部小区"</f>
        <v>安徽省池州市东至县尧渡镇二中初中部小区</v>
      </c>
      <c r="H4975" s="1" t="str">
        <f t="shared" si="2455"/>
        <v>无</v>
      </c>
      <c r="I4975" s="1" t="str">
        <f>"2015.09-2018.06，东至二中，学生
2018.09-2019.06，东至三中，学生
2019.09-2023.06，中国劳动关系学院劳动关系与人力资源学院，人力资源管理专业，学生
2023.07-2023.08，智慧军工联盟，综合部部员
2023.08-2024.05，在家备考
2024.05-2025.05，东至县乡村振兴投资控股集团有限公司，综合部见习生
2025.06-至今，待业"</f>
        <v>2015.09-2018.06，东至二中，学生
2018.09-2019.06，东至三中，学生
2019.09-2023.06，中国劳动关系学院劳动关系与人力资源学院，人力资源管理专业，学生
2023.07-2023.08，智慧军工联盟，综合部部员
2023.08-2024.05，在家备考
2024.05-2025.05，东至县乡村振兴投资控股集团有限公司，综合部见习生
2025.06-至今，待业</v>
      </c>
    </row>
    <row r="4976" spans="1:9">
      <c r="A4976" s="1" t="str">
        <f>"34120219970406092X"</f>
        <v>34120219970406092X</v>
      </c>
      <c r="B4976" s="1" t="str">
        <f t="shared" si="2454"/>
        <v>群众</v>
      </c>
      <c r="C4976" s="1" t="str">
        <f>"专科"</f>
        <v>专科</v>
      </c>
      <c r="D4976" s="1" t="str">
        <f>"2019.08"</f>
        <v>2019.08</v>
      </c>
      <c r="E4976" s="1" t="str">
        <f>"济州汉拿大学"</f>
        <v>济州汉拿大学</v>
      </c>
      <c r="F4976" s="1" t="str">
        <f>"旅游管理"</f>
        <v>旅游管理</v>
      </c>
      <c r="G4976" s="1" t="str">
        <f>"阜阳市颍州区三清路恒大绿洲东区11栋2202"</f>
        <v>阜阳市颍州区三清路恒大绿洲东区11栋2202</v>
      </c>
      <c r="H4976" s="1" t="str">
        <f t="shared" si="2455"/>
        <v>无</v>
      </c>
      <c r="I4976" s="1" t="str">
        <f>"2017.09-2019.06　济州汉拿大学　旅游管理专业就读   全日制大专"</f>
        <v>2017.09-2019.06　济州汉拿大学　旅游管理专业就读   全日制大专</v>
      </c>
    </row>
    <row r="4977" spans="1:9">
      <c r="A4977" s="1" t="str">
        <f>"410522199806024048"</f>
        <v>410522199806024048</v>
      </c>
      <c r="B4977" s="1" t="str">
        <f t="shared" si="2454"/>
        <v>群众</v>
      </c>
      <c r="C4977" s="1" t="str">
        <f t="shared" ref="C4977:C4983" si="2457">"本科"</f>
        <v>本科</v>
      </c>
      <c r="D4977" s="1" t="str">
        <f>"2022-07-01"</f>
        <v>2022-07-01</v>
      </c>
      <c r="E4977" s="1" t="str">
        <f>"郑州财经学院"</f>
        <v>郑州财经学院</v>
      </c>
      <c r="F4977" s="1" t="str">
        <f>"酒店管理"</f>
        <v>酒店管理</v>
      </c>
      <c r="G4977" s="1" t="str">
        <f>"河南省安阳市安阳县崔家桥镇郭家庙村"</f>
        <v>河南省安阳市安阳县崔家桥镇郭家庙村</v>
      </c>
      <c r="H4977" s="1" t="str">
        <f t="shared" si="2455"/>
        <v>无</v>
      </c>
      <c r="I4977" s="1" t="str">
        <f>"201809-202207，郑州财经学院，管理学院酒店管理专业，全日制本科
202207至今，待业"</f>
        <v>201809-202207，郑州财经学院，管理学院酒店管理专业，全日制本科
202207至今，待业</v>
      </c>
    </row>
    <row r="4978" spans="1:9">
      <c r="A4978" s="1" t="str">
        <f>"411327199503262024"</f>
        <v>411327199503262024</v>
      </c>
      <c r="B4978" s="1" t="str">
        <f t="shared" si="2456"/>
        <v>中共党员</v>
      </c>
      <c r="C4978" s="1" t="str">
        <f t="shared" si="2457"/>
        <v>本科</v>
      </c>
      <c r="D4978" s="1" t="str">
        <f>"20180630"</f>
        <v>20180630</v>
      </c>
      <c r="E4978" s="1" t="str">
        <f>"河南牧业经济学院"</f>
        <v>河南牧业经济学院</v>
      </c>
      <c r="F4978" s="1" t="str">
        <f>"会计学（注册会计师方向）"</f>
        <v>会计学（注册会计师方向）</v>
      </c>
      <c r="G4978" s="1" t="str">
        <f>"河南省南阳市内乡县东风村"</f>
        <v>河南省南阳市内乡县东风村</v>
      </c>
      <c r="H4978" s="1" t="str">
        <f>"中级会计师"</f>
        <v>中级会计师</v>
      </c>
      <c r="I4978" s="1" t="str">
        <f>"201409-201806，河南牧业经济学院 就读  全日制
201807-至今 牧原食品股份有限公司 就职 财务部"</f>
        <v>201409-201806，河南牧业经济学院 就读  全日制
201807-至今 牧原食品股份有限公司 就职 财务部</v>
      </c>
    </row>
    <row r="4979" spans="1:9">
      <c r="A4979" s="1" t="str">
        <f>"411327200210203114"</f>
        <v>411327200210203114</v>
      </c>
      <c r="B4979" s="1" t="str">
        <f>"共青团员"</f>
        <v>共青团员</v>
      </c>
      <c r="C4979" s="1" t="str">
        <f t="shared" si="2457"/>
        <v>本科</v>
      </c>
      <c r="D4979" s="1" t="str">
        <f>"20240607"</f>
        <v>20240607</v>
      </c>
      <c r="E4979" s="1" t="str">
        <f>"河南师范大学新联学院"</f>
        <v>河南师范大学新联学院</v>
      </c>
      <c r="F4979" s="1" t="str">
        <f>"化学"</f>
        <v>化学</v>
      </c>
      <c r="G4979" s="1" t="str">
        <f>"河南省南阳市内乡县夏馆镇"</f>
        <v>河南省南阳市内乡县夏馆镇</v>
      </c>
      <c r="H4979" s="1" t="str">
        <f t="shared" ref="H4979:H4986" si="2458">"无"</f>
        <v>无</v>
      </c>
      <c r="I4979" s="1" t="str">
        <f>"202009-202406在河南师范大学新联学院理工学院化学系就读，本科全日制学历"</f>
        <v>202009-202406在河南师范大学新联学院理工学院化学系就读，本科全日制学历</v>
      </c>
    </row>
    <row r="4980" spans="1:9">
      <c r="A4980" s="1" t="str">
        <f>"411327199905094545"</f>
        <v>411327199905094545</v>
      </c>
      <c r="B4980" s="1" t="str">
        <f>"共青团员"</f>
        <v>共青团员</v>
      </c>
      <c r="C4980" s="1" t="str">
        <f t="shared" si="2457"/>
        <v>本科</v>
      </c>
      <c r="D4980" s="1" t="str">
        <f>"2023-07-16"</f>
        <v>2023-07-16</v>
      </c>
      <c r="E4980" s="1" t="str">
        <f>"郑州商学院"</f>
        <v>郑州商学院</v>
      </c>
      <c r="F4980" s="1" t="str">
        <f>"汉语言文学"</f>
        <v>汉语言文学</v>
      </c>
      <c r="G4980" s="1" t="str">
        <f>"河南省南阳市内乡县交通小区"</f>
        <v>河南省南阳市内乡县交通小区</v>
      </c>
      <c r="H4980" s="1" t="str">
        <f t="shared" si="2458"/>
        <v>无</v>
      </c>
      <c r="I4980" s="1" t="str">
        <f>"201809-202107 安阳幼儿师范高等专科学校
202109-202307 郑州商学院"</f>
        <v>201809-202107 安阳幼儿师范高等专科学校
202109-202307 郑州商学院</v>
      </c>
    </row>
    <row r="4981" spans="1:9">
      <c r="A4981" s="1" t="str">
        <f>"410327200211178650"</f>
        <v>410327200211178650</v>
      </c>
      <c r="B4981" s="1" t="str">
        <f t="shared" ref="B4981:B4987" si="2459">"群众"</f>
        <v>群众</v>
      </c>
      <c r="C4981" s="1" t="str">
        <f t="shared" si="2457"/>
        <v>本科</v>
      </c>
      <c r="D4981" s="1" t="str">
        <f>"2025年6月14日"</f>
        <v>2025年6月14日</v>
      </c>
      <c r="E4981" s="1" t="str">
        <f>"信阳农林学院"</f>
        <v>信阳农林学院</v>
      </c>
      <c r="F4981" s="1" t="str">
        <f>"城乡规划"</f>
        <v>城乡规划</v>
      </c>
      <c r="G4981" s="1" t="str">
        <f>"河南省洛阳市宜阳县张午镇"</f>
        <v>河南省洛阳市宜阳县张午镇</v>
      </c>
      <c r="H4981" s="1" t="str">
        <f t="shared" si="2458"/>
        <v>无</v>
      </c>
      <c r="I4981" s="1" t="str">
        <f>"2021年9月1日-2025年6月14日在信阳农林学院风景园林艺术学院城乡规划专业就读。2025年6月14日-至今在宜阳县张午镇待业"</f>
        <v>2021年9月1日-2025年6月14日在信阳农林学院风景园林艺术学院城乡规划专业就读。2025年6月14日-至今在宜阳县张午镇待业</v>
      </c>
    </row>
    <row r="4982" spans="1:9">
      <c r="A4982" s="1" t="str">
        <f>"411325200111023510"</f>
        <v>411325200111023510</v>
      </c>
      <c r="B4982" s="1" t="str">
        <f t="shared" si="2459"/>
        <v>群众</v>
      </c>
      <c r="C4982" s="1" t="str">
        <f t="shared" si="2457"/>
        <v>本科</v>
      </c>
      <c r="D4982" s="1" t="str">
        <f>"2024-07-07"</f>
        <v>2024-07-07</v>
      </c>
      <c r="E4982" s="1" t="str">
        <f>"河南财政金融学院"</f>
        <v>河南财政金融学院</v>
      </c>
      <c r="F4982" s="1" t="str">
        <f>"工程管理"</f>
        <v>工程管理</v>
      </c>
      <c r="G4982" s="1" t="str">
        <f>"河南省南阳市内乡县板场乡冯庄村"</f>
        <v>河南省南阳市内乡县板场乡冯庄村</v>
      </c>
      <c r="H4982" s="1" t="str">
        <f t="shared" si="2458"/>
        <v>无</v>
      </c>
      <c r="I4982" s="1" t="str">
        <f>"202009-202406 河南财政金融学院工程经济学院工程管理专业 就读
201909-202006 内乡县高级中学 就读
201609-201906 内乡县实验高级中学 就读
201309-201606 内乡县初级中学 就读
200709-201306 内乡县城关镇第四小学 就读"</f>
        <v>202009-202406 河南财政金融学院工程经济学院工程管理专业 就读
201909-202006 内乡县高级中学 就读
201609-201906 内乡县实验高级中学 就读
201309-201606 内乡县初级中学 就读
200709-201306 内乡县城关镇第四小学 就读</v>
      </c>
    </row>
    <row r="4983" spans="1:9">
      <c r="A4983" s="1" t="str">
        <f>"411327199911250647"</f>
        <v>411327199911250647</v>
      </c>
      <c r="B4983" s="1" t="str">
        <f>"中共党员"</f>
        <v>中共党员</v>
      </c>
      <c r="C4983" s="1" t="str">
        <f t="shared" si="2457"/>
        <v>本科</v>
      </c>
      <c r="D4983" s="1" t="str">
        <f>"20240701"</f>
        <v>20240701</v>
      </c>
      <c r="E4983" s="1" t="str">
        <f>"南阳理工学院"</f>
        <v>南阳理工学院</v>
      </c>
      <c r="F4983" s="1" t="str">
        <f>"小学教育"</f>
        <v>小学教育</v>
      </c>
      <c r="G4983" s="1" t="str">
        <f>"河南省南阳市内乡县马山口镇"</f>
        <v>河南省南阳市内乡县马山口镇</v>
      </c>
      <c r="H4983" s="1" t="str">
        <f t="shared" si="2458"/>
        <v>无</v>
      </c>
      <c r="I4983" s="1" t="str">
        <f>"201709-202006  漯河职业技术学院 语文教育专业就读  全日制大专
202007-202202  在家待业
202203-202407   南阳理工学院  小学教育专业就读 函授
202408-至今    在家待业"</f>
        <v>201709-202006  漯河职业技术学院 语文教育专业就读  全日制大专
202007-202202  在家待业
202203-202407   南阳理工学院  小学教育专业就读 函授
202408-至今    在家待业</v>
      </c>
    </row>
    <row r="4984" spans="1:9">
      <c r="A4984" s="1" t="str">
        <f>"411381200201140324"</f>
        <v>411381200201140324</v>
      </c>
      <c r="B4984" s="1" t="str">
        <f>"中共党员"</f>
        <v>中共党员</v>
      </c>
      <c r="C4984" s="1" t="str">
        <f>"专科"</f>
        <v>专科</v>
      </c>
      <c r="D4984" s="1" t="str">
        <f>"20240701"</f>
        <v>20240701</v>
      </c>
      <c r="E4984" s="1" t="str">
        <f>"河南科技职业大学"</f>
        <v>河南科技职业大学</v>
      </c>
      <c r="F4984" s="1" t="str">
        <f>"学前教育（师范）"</f>
        <v>学前教育（师范）</v>
      </c>
      <c r="G4984" s="1" t="str">
        <f>"河南省邓州市花洲街道致远小区"</f>
        <v>河南省邓州市花洲街道致远小区</v>
      </c>
      <c r="H4984" s="1" t="str">
        <f t="shared" si="2458"/>
        <v>无</v>
      </c>
      <c r="I4984" s="1" t="str">
        <f>"202109－202407河南科技职业大学学前教育专业就读，全日制学历
202409－至今邓州盛禾劳务派遣服务有限公司工作"</f>
        <v>202109－202407河南科技职业大学学前教育专业就读，全日制学历
202409－至今邓州盛禾劳务派遣服务有限公司工作</v>
      </c>
    </row>
    <row r="4985" spans="1:9">
      <c r="A4985" s="1" t="str">
        <f>"411323199611271424"</f>
        <v>411323199611271424</v>
      </c>
      <c r="B4985" s="1" t="str">
        <f t="shared" si="2459"/>
        <v>群众</v>
      </c>
      <c r="C4985" s="1" t="str">
        <f t="shared" ref="C4985:C4993" si="2460">"本科"</f>
        <v>本科</v>
      </c>
      <c r="D4985" s="1" t="str">
        <f>"2018-07-01"</f>
        <v>2018-07-01</v>
      </c>
      <c r="E4985" s="1" t="str">
        <f>"郑州轻工业大学"</f>
        <v>郑州轻工业大学</v>
      </c>
      <c r="F4985" s="1" t="str">
        <f>"国际经济与贸易"</f>
        <v>国际经济与贸易</v>
      </c>
      <c r="G4985" s="1" t="str">
        <f>"河南省南阳市淅川县西簧乡穆家沟村89号"</f>
        <v>河南省南阳市淅川县西簧乡穆家沟村89号</v>
      </c>
      <c r="H4985" s="1" t="str">
        <f t="shared" si="2458"/>
        <v>无</v>
      </c>
      <c r="I4985" s="1" t="str">
        <f>"201409-201807  郑州轻工业大学 就读；
201807-201905  郑州和·瑜伽店长助理；
201906-202104  广西裕达集团有限公司综合部主管；
202105-202204  南阳市淅川县西簧乡待业；
202205-至今       广西来宾兴宾农业开发投资集团有限公司招商专员。"</f>
        <v>201409-201807  郑州轻工业大学 就读；
201807-201905  郑州和·瑜伽店长助理；
201906-202104  广西裕达集团有限公司综合部主管；
202105-202204  南阳市淅川县西簧乡待业；
202205-至今       广西来宾兴宾农业开发投资集团有限公司招商专员。</v>
      </c>
    </row>
    <row r="4986" spans="1:9">
      <c r="A4986" s="1" t="str">
        <f>"411327199506040312"</f>
        <v>411327199506040312</v>
      </c>
      <c r="B4986" s="1" t="str">
        <f t="shared" si="2459"/>
        <v>群众</v>
      </c>
      <c r="C4986" s="1" t="str">
        <f t="shared" si="2460"/>
        <v>本科</v>
      </c>
      <c r="D4986" s="1" t="str">
        <f>"20230720"</f>
        <v>20230720</v>
      </c>
      <c r="E4986" s="1" t="str">
        <f>"国家开放大学"</f>
        <v>国家开放大学</v>
      </c>
      <c r="F4986" s="1" t="str">
        <f>"物流管理"</f>
        <v>物流管理</v>
      </c>
      <c r="G4986" s="1" t="str">
        <f>"河南省南阳市内乡县人民医院南门锦绣苑小区"</f>
        <v>河南省南阳市内乡县人民医院南门锦绣苑小区</v>
      </c>
      <c r="H4986" s="1" t="str">
        <f t="shared" si="2458"/>
        <v>无</v>
      </c>
      <c r="I4986" s="1" t="str">
        <f>"201309-201509，平顶山工业职业技术学院自动化与信息工程系电气自动化专业就读，全日制
201509-202009，中国人民解放军66069部队，军士
202009-202101，居家待业
202102-202303，南阳市内乡菊潭学校，教师、办公室文员
202303-至今，居家待业
附：201809-202307，国家开放大学物流管理专业就读，非全日制"</f>
        <v>201309-201509，平顶山工业职业技术学院自动化与信息工程系电气自动化专业就读，全日制
201509-202009，中国人民解放军66069部队，军士
202009-202101，居家待业
202102-202303，南阳市内乡菊潭学校，教师、办公室文员
202303-至今，居家待业
附：201809-202307，国家开放大学物流管理专业就读，非全日制</v>
      </c>
    </row>
    <row r="4987" spans="1:9">
      <c r="A4987" s="1" t="str">
        <f>"411324200105062445"</f>
        <v>411324200105062445</v>
      </c>
      <c r="B4987" s="1" t="str">
        <f t="shared" si="2459"/>
        <v>群众</v>
      </c>
      <c r="C4987" s="1" t="str">
        <f>"专科"</f>
        <v>专科</v>
      </c>
      <c r="D4987" s="1" t="str">
        <f>"20230601"</f>
        <v>20230601</v>
      </c>
      <c r="E4987" s="1" t="str">
        <f>"新乡学院"</f>
        <v>新乡学院</v>
      </c>
      <c r="F4987" s="1" t="str">
        <f>"助产"</f>
        <v>助产</v>
      </c>
      <c r="G4987" s="1" t="str">
        <f>"河南省南阳市内乡县城关镇范蠡大街水墨烟雨南巷"</f>
        <v>河南省南阳市内乡县城关镇范蠡大街水墨烟雨南巷</v>
      </c>
      <c r="H4987" s="1" t="str">
        <f>"护士执业资格证书"</f>
        <v>护士执业资格证书</v>
      </c>
      <c r="I4987" s="1" t="str">
        <f>"202009-202306新乡学院护理学院助产就读，是全日制学历
202306-202401待业
202401至今内乡县妇幼保健院护士"</f>
        <v>202009-202306新乡学院护理学院助产就读，是全日制学历
202306-202401待业
202401至今内乡县妇幼保健院护士</v>
      </c>
    </row>
    <row r="4988" spans="1:9">
      <c r="A4988" s="1" t="str">
        <f>"411327200103291120"</f>
        <v>411327200103291120</v>
      </c>
      <c r="B4988" s="1" t="str">
        <f t="shared" ref="B4988:B4991" si="2461">"共青团员"</f>
        <v>共青团员</v>
      </c>
      <c r="C4988" s="1" t="str">
        <f t="shared" si="2460"/>
        <v>本科</v>
      </c>
      <c r="D4988" s="1" t="str">
        <f>"20250616"</f>
        <v>20250616</v>
      </c>
      <c r="E4988" s="1" t="str">
        <f>"河南城建学院"</f>
        <v>河南城建学院</v>
      </c>
      <c r="F4988" s="1" t="str">
        <f>"工程造价"</f>
        <v>工程造价</v>
      </c>
      <c r="G4988" s="1" t="str">
        <f>"河南省南阳市内乡县赤眉镇"</f>
        <v>河南省南阳市内乡县赤眉镇</v>
      </c>
      <c r="H4988" s="1" t="str">
        <f t="shared" ref="H4988:H4997" si="2462">"无"</f>
        <v>无</v>
      </c>
      <c r="I4988" s="1" t="str">
        <f>"202009-202306在河南农业职业学院园艺园林学院工程造价专业就读。
202309-202506在河南城建学院管理学院工程造价专业就读。
全日制学历"</f>
        <v>202009-202306在河南农业职业学院园艺园林学院工程造价专业就读。
202309-202506在河南城建学院管理学院工程造价专业就读。
全日制学历</v>
      </c>
    </row>
    <row r="4989" spans="1:9">
      <c r="A4989" s="1" t="str">
        <f>"411327200201210048"</f>
        <v>411327200201210048</v>
      </c>
      <c r="B4989" s="1" t="str">
        <f t="shared" si="2461"/>
        <v>共青团员</v>
      </c>
      <c r="C4989" s="1" t="str">
        <f t="shared" si="2460"/>
        <v>本科</v>
      </c>
      <c r="D4989" s="1" t="str">
        <f>"20230713"</f>
        <v>20230713</v>
      </c>
      <c r="E4989" s="1" t="str">
        <f>"西南民族大学"</f>
        <v>西南民族大学</v>
      </c>
      <c r="F4989" s="1" t="str">
        <f>"制药工程"</f>
        <v>制药工程</v>
      </c>
      <c r="G4989" s="1" t="str">
        <f>"河南省内乡县城关镇十字街移动公司三楼"</f>
        <v>河南省内乡县城关镇十字街移动公司三楼</v>
      </c>
      <c r="H4989" s="1" t="str">
        <f t="shared" si="2462"/>
        <v>无</v>
      </c>
      <c r="I4989" s="1" t="str">
        <f>"201909-202307  西南民族大学药学院制药工程专业就读，全日制学历
202307至今，待业。"</f>
        <v>201909-202307  西南民族大学药学院制药工程专业就读，全日制学历
202307至今，待业。</v>
      </c>
    </row>
    <row r="4990" spans="1:9">
      <c r="A4990" s="1" t="str">
        <f>"412801200209272010"</f>
        <v>412801200209272010</v>
      </c>
      <c r="B4990" s="1" t="str">
        <f t="shared" si="2461"/>
        <v>共青团员</v>
      </c>
      <c r="C4990" s="1" t="str">
        <f t="shared" si="2460"/>
        <v>本科</v>
      </c>
      <c r="D4990" s="1" t="str">
        <f t="shared" ref="D4990:D4992" si="2463">"20250701"</f>
        <v>20250701</v>
      </c>
      <c r="E4990" s="1" t="str">
        <f>"商丘学院"</f>
        <v>商丘学院</v>
      </c>
      <c r="F4990" s="1" t="str">
        <f>"物联网工程"</f>
        <v>物联网工程</v>
      </c>
      <c r="G4990" s="1" t="str">
        <f>"河南省驻马店市驿城区雪松大道西高花园"</f>
        <v>河南省驻马店市驿城区雪松大道西高花园</v>
      </c>
      <c r="H4990" s="1" t="str">
        <f>"计算机程序设计员三级"</f>
        <v>计算机程序设计员三级</v>
      </c>
      <c r="I4990" s="1" t="str">
        <f>"202109-202306 河南牧业经济学院 信息工程学院（软件学院）计算机网络技术
202309-202506 商丘学院 计算机工程系 物联网工程"</f>
        <v>202109-202306 河南牧业经济学院 信息工程学院（软件学院）计算机网络技术
202309-202506 商丘学院 计算机工程系 物联网工程</v>
      </c>
    </row>
    <row r="4991" spans="1:9">
      <c r="A4991" s="1" t="str">
        <f>"411325200201240666"</f>
        <v>411325200201240666</v>
      </c>
      <c r="B4991" s="1" t="str">
        <f t="shared" si="2461"/>
        <v>共青团员</v>
      </c>
      <c r="C4991" s="1" t="str">
        <f t="shared" si="2460"/>
        <v>本科</v>
      </c>
      <c r="D4991" s="1" t="str">
        <f t="shared" si="2463"/>
        <v>20250701</v>
      </c>
      <c r="E4991" s="1" t="str">
        <f>"华北水利水电大学"</f>
        <v>华北水利水电大学</v>
      </c>
      <c r="F4991" s="1" t="str">
        <f>"水利水电工程"</f>
        <v>水利水电工程</v>
      </c>
      <c r="G4991" s="1" t="str">
        <f>"河南省内乡县马山口镇闫岗村江沟"</f>
        <v>河南省内乡县马山口镇闫岗村江沟</v>
      </c>
      <c r="H4991" s="1" t="str">
        <f t="shared" si="2462"/>
        <v>无</v>
      </c>
      <c r="I4991" s="1" t="str">
        <f>"202309-202507华北水利水电大学就读全日制
202009-202307黄河水利职业技术学院就读全日制
201709-202006内乡县第三高级中学就读
201409-201707马山第一初级中学就读
200809-201407江沟小学就读
"</f>
        <v>202309-202507华北水利水电大学就读全日制
202009-202307黄河水利职业技术学院就读全日制
201709-202006内乡县第三高级中学就读
201409-201707马山第一初级中学就读
200809-201407江沟小学就读
</v>
      </c>
    </row>
    <row r="4992" spans="1:9">
      <c r="A4992" s="1" t="str">
        <f>"411327200401291532"</f>
        <v>411327200401291532</v>
      </c>
      <c r="B4992" s="1" t="str">
        <f t="shared" ref="B4992:B4997" si="2464">"群众"</f>
        <v>群众</v>
      </c>
      <c r="C4992" s="1" t="str">
        <f t="shared" si="2460"/>
        <v>本科</v>
      </c>
      <c r="D4992" s="1" t="str">
        <f t="shared" si="2463"/>
        <v>20250701</v>
      </c>
      <c r="E4992" s="1" t="str">
        <f>"辽宁对外经贸学院"</f>
        <v>辽宁对外经贸学院</v>
      </c>
      <c r="F4992" s="1" t="str">
        <f>"信息管理与信息系统"</f>
        <v>信息管理与信息系统</v>
      </c>
      <c r="G4992" s="1" t="str">
        <f>"河南省内乡县湍东镇庞营村北队34号"</f>
        <v>河南省内乡县湍东镇庞营村北队34号</v>
      </c>
      <c r="H4992" s="1" t="str">
        <f t="shared" si="2462"/>
        <v>无</v>
      </c>
      <c r="I4992" s="1" t="str">
        <f>"202109-202507在辽宁对外经贸学院管理学院信息管理与信息系统专业就读全日制本科"</f>
        <v>202109-202507在辽宁对外经贸学院管理学院信息管理与信息系统专业就读全日制本科</v>
      </c>
    </row>
    <row r="4993" spans="1:9">
      <c r="A4993" s="1" t="str">
        <f>"411327199907143945"</f>
        <v>411327199907143945</v>
      </c>
      <c r="B4993" s="1" t="str">
        <f>"共青团员"</f>
        <v>共青团员</v>
      </c>
      <c r="C4993" s="1" t="str">
        <f t="shared" si="2460"/>
        <v>本科</v>
      </c>
      <c r="D4993" s="1" t="str">
        <f>"20210701"</f>
        <v>20210701</v>
      </c>
      <c r="E4993" s="1" t="str">
        <f>"南阳师范学院"</f>
        <v>南阳师范学院</v>
      </c>
      <c r="F4993" s="1" t="str">
        <f>"计算机科学与技术（云计算大数据方向）"</f>
        <v>计算机科学与技术（云计算大数据方向）</v>
      </c>
      <c r="G4993" s="1" t="str">
        <f>"河南省内乡县乍曲乡王井朱家8号"</f>
        <v>河南省内乡县乍曲乡王井朱家8号</v>
      </c>
      <c r="H4993" s="1" t="str">
        <f t="shared" si="2462"/>
        <v>无</v>
      </c>
      <c r="I4993" s="1" t="str">
        <f>"201709-202107南阳师范学院计算机与信息技术学院就读计算机科学与技术（云计算大数据方向）专业，全日制学历"</f>
        <v>201709-202107南阳师范学院计算机与信息技术学院就读计算机科学与技术（云计算大数据方向）专业，全日制学历</v>
      </c>
    </row>
    <row r="4994" spans="1:9">
      <c r="A4994" s="1" t="str">
        <f>"411327199311170045"</f>
        <v>411327199311170045</v>
      </c>
      <c r="B4994" s="1" t="str">
        <f t="shared" si="2464"/>
        <v>群众</v>
      </c>
      <c r="C4994" s="1" t="str">
        <f t="shared" ref="C4994:C4997" si="2465">"专科"</f>
        <v>专科</v>
      </c>
      <c r="D4994" s="1" t="str">
        <f>"20140701"</f>
        <v>20140701</v>
      </c>
      <c r="E4994" s="1" t="str">
        <f>"南阳医学高等专科学校"</f>
        <v>南阳医学高等专科学校</v>
      </c>
      <c r="F4994" s="1" t="str">
        <f>"护理"</f>
        <v>护理</v>
      </c>
      <c r="G4994" s="1" t="str">
        <f>"内乡县城关镇清新路110号"</f>
        <v>内乡县城关镇清新路110号</v>
      </c>
      <c r="H4994" s="1" t="str">
        <f t="shared" si="2462"/>
        <v>无</v>
      </c>
      <c r="I4994" s="1" t="str">
        <f>"2014.07-2015.07在内乡县人民医院实习
2015.08-2019.04在内乡县人民医院工作
2019.05至今在内乡县湍东镇人民政府工作"</f>
        <v>2014.07-2015.07在内乡县人民医院实习
2015.08-2019.04在内乡县人民医院工作
2019.05至今在内乡县湍东镇人民政府工作</v>
      </c>
    </row>
    <row r="4995" spans="1:9">
      <c r="A4995" s="1" t="str">
        <f>"411324200208220055"</f>
        <v>411324200208220055</v>
      </c>
      <c r="B4995" s="1" t="str">
        <f t="shared" si="2464"/>
        <v>群众</v>
      </c>
      <c r="C4995" s="1" t="str">
        <f t="shared" si="2465"/>
        <v>专科</v>
      </c>
      <c r="D4995" s="1" t="str">
        <f>"20250701"</f>
        <v>20250701</v>
      </c>
      <c r="E4995" s="1" t="str">
        <f>"漯河食品工程职业大学"</f>
        <v>漯河食品工程职业大学</v>
      </c>
      <c r="F4995" s="1" t="str">
        <f>"大数据与会计"</f>
        <v>大数据与会计</v>
      </c>
      <c r="G4995" s="1" t="str">
        <f>"南阳市镇平县"</f>
        <v>南阳市镇平县</v>
      </c>
      <c r="H4995" s="1" t="str">
        <f t="shared" si="2462"/>
        <v>无</v>
      </c>
      <c r="I4995" s="1" t="str">
        <f>"20220901-20250701在漯河食品工程职业大学就读
是普通全日制专科"</f>
        <v>20220901-20250701在漯河食品工程职业大学就读
是普通全日制专科</v>
      </c>
    </row>
    <row r="4996" spans="1:9">
      <c r="A4996" s="1" t="str">
        <f>"411323199905011134"</f>
        <v>411323199905011134</v>
      </c>
      <c r="B4996" s="1" t="str">
        <f t="shared" si="2464"/>
        <v>群众</v>
      </c>
      <c r="C4996" s="1" t="str">
        <f t="shared" si="2465"/>
        <v>专科</v>
      </c>
      <c r="D4996" s="1" t="str">
        <f>"20190701"</f>
        <v>20190701</v>
      </c>
      <c r="E4996" s="1" t="str">
        <f>"河南财政金融学院"</f>
        <v>河南财政金融学院</v>
      </c>
      <c r="F4996" s="1" t="str">
        <f>"计算机网络技术"</f>
        <v>计算机网络技术</v>
      </c>
      <c r="G4996" s="1" t="str">
        <f>"南阳市淅川县"</f>
        <v>南阳市淅川县</v>
      </c>
      <c r="H4996" s="1" t="str">
        <f t="shared" si="2462"/>
        <v>无</v>
      </c>
      <c r="I4996" s="1" t="str">
        <f>"201709-201907就读于河南财政金融学院软件学院计算机网络技术，全日制学历；2019年工作于邓县—至今"</f>
        <v>201709-201907就读于河南财政金融学院软件学院计算机网络技术，全日制学历；2019年工作于邓县—至今</v>
      </c>
    </row>
    <row r="4997" spans="1:9">
      <c r="A4997" s="1" t="str">
        <f>"411327200404240028"</f>
        <v>411327200404240028</v>
      </c>
      <c r="B4997" s="1" t="str">
        <f t="shared" si="2464"/>
        <v>群众</v>
      </c>
      <c r="C4997" s="1" t="str">
        <f t="shared" si="2465"/>
        <v>专科</v>
      </c>
      <c r="D4997" s="1" t="str">
        <f>"20250701"</f>
        <v>20250701</v>
      </c>
      <c r="E4997" s="1" t="str">
        <f>"郑州幼儿师范高等专科学校"</f>
        <v>郑州幼儿师范高等专科学校</v>
      </c>
      <c r="F4997" s="1" t="str">
        <f>"艺术设计"</f>
        <v>艺术设计</v>
      </c>
      <c r="G4997" s="1" t="str">
        <f>"河南省南阳市内乡县西关菜市场"</f>
        <v>河南省南阳市内乡县西关菜市场</v>
      </c>
      <c r="H4997" s="1" t="str">
        <f t="shared" si="2462"/>
        <v>无</v>
      </c>
      <c r="I4997" s="1" t="str">
        <f>"202209-202507郑州幼儿师范高等专科学校就读，全日制学历。"</f>
        <v>202209-202507郑州幼儿师范高等专科学校就读，全日制学历。</v>
      </c>
    </row>
    <row r="4998" spans="1:9">
      <c r="A4998" s="1" t="str">
        <f>"41030519990812056X"</f>
        <v>41030519990812056X</v>
      </c>
      <c r="B4998" s="1" t="str">
        <f>"中共党员"</f>
        <v>中共党员</v>
      </c>
      <c r="C4998" s="1" t="str">
        <f t="shared" ref="C4998:C5008" si="2466">"本科"</f>
        <v>本科</v>
      </c>
      <c r="D4998" s="1" t="str">
        <f>"2022-07-01"</f>
        <v>2022-07-01</v>
      </c>
      <c r="E4998" s="1" t="str">
        <f>"商丘学院"</f>
        <v>商丘学院</v>
      </c>
      <c r="F4998" s="1" t="str">
        <f>"会计学"</f>
        <v>会计学</v>
      </c>
      <c r="G4998" s="1" t="str">
        <f>"河南省南阳市卧龙区车站南路与躬耕路口东100米物价局家属院"</f>
        <v>河南省南阳市卧龙区车站南路与躬耕路口东100米物价局家属院</v>
      </c>
      <c r="H4998" s="1" t="str">
        <f>"初级管理会计师"</f>
        <v>初级管理会计师</v>
      </c>
      <c r="I4998" s="1" t="str">
        <f>"201709—202006  河南工业职业技术学院  就读
202009—202206  商丘学院  就读
202206—至今       待业"</f>
        <v>201709—202006  河南工业职业技术学院  就读
202009—202206  商丘学院  就读
202206—至今       待业</v>
      </c>
    </row>
    <row r="4999" spans="1:9">
      <c r="A4999" s="1" t="str">
        <f>"411327200302133512"</f>
        <v>411327200302133512</v>
      </c>
      <c r="B4999" s="1" t="str">
        <f t="shared" ref="B4999:B5002" si="2467">"群众"</f>
        <v>群众</v>
      </c>
      <c r="C4999" s="1" t="str">
        <f>"专科"</f>
        <v>专科</v>
      </c>
      <c r="D4999" s="1" t="str">
        <f>"2025年6月15日"</f>
        <v>2025年6月15日</v>
      </c>
      <c r="E4999" s="1" t="str">
        <f>"南阳农业职业学院"</f>
        <v>南阳农业职业学院</v>
      </c>
      <c r="F4999" s="1" t="str">
        <f>"动物医学"</f>
        <v>动物医学</v>
      </c>
      <c r="G4999" s="1" t="str">
        <f>"河南省南阳市内乡县茶庵村"</f>
        <v>河南省南阳市内乡县茶庵村</v>
      </c>
      <c r="H4999" s="1" t="str">
        <f>"动物疫病防治"</f>
        <v>动物疫病防治</v>
      </c>
      <c r="I4999" s="1" t="str">
        <f>"2022年9月--2025年6月在南阳农业职业学院就读。2022年9月至2025年6月在南阳农业职业学院动物医学系专业就读是全日制专科。"</f>
        <v>2022年9月--2025年6月在南阳农业职业学院就读。2022年9月至2025年6月在南阳农业职业学院动物医学系专业就读是全日制专科。</v>
      </c>
    </row>
    <row r="5000" spans="1:9">
      <c r="A5000" s="1" t="str">
        <f>"410482200003258218"</f>
        <v>410482200003258218</v>
      </c>
      <c r="B5000" s="1" t="str">
        <f t="shared" si="2467"/>
        <v>群众</v>
      </c>
      <c r="C5000" s="1" t="str">
        <f t="shared" si="2466"/>
        <v>本科</v>
      </c>
      <c r="D5000" s="1" t="str">
        <f>"20240701"</f>
        <v>20240701</v>
      </c>
      <c r="E5000" s="1" t="str">
        <f>"郑州工商学院"</f>
        <v>郑州工商学院</v>
      </c>
      <c r="F5000" s="1" t="str">
        <f>"工商管理"</f>
        <v>工商管理</v>
      </c>
      <c r="G5000" s="1" t="str">
        <f>"河南省平顶山市汝州市绿洲苑小区16号楼2单元402"</f>
        <v>河南省平顶山市汝州市绿洲苑小区16号楼2单元402</v>
      </c>
      <c r="H5000" s="1" t="str">
        <f t="shared" ref="H5000:H5004" si="2468">"无"</f>
        <v>无</v>
      </c>
      <c r="I5000" s="1" t="str">
        <f>"201909-202207 河南财政金融学院 韦伯国际学院系财务管理专业就读（全日制专科） 
202209-202407 郑州工商学院 商学院系工商管理专业就读（全日制本科）"</f>
        <v>201909-202207 河南财政金融学院 韦伯国际学院系财务管理专业就读（全日制专科） 
202209-202407 郑州工商学院 商学院系工商管理专业就读（全日制本科）</v>
      </c>
    </row>
    <row r="5001" spans="1:9">
      <c r="A5001" s="1" t="str">
        <f>"411303200001113728"</f>
        <v>411303200001113728</v>
      </c>
      <c r="B5001" s="1" t="str">
        <f>"共青团员"</f>
        <v>共青团员</v>
      </c>
      <c r="C5001" s="1" t="str">
        <f t="shared" si="2466"/>
        <v>本科</v>
      </c>
      <c r="D5001" s="1" t="str">
        <f>"20220610"</f>
        <v>20220610</v>
      </c>
      <c r="E5001" s="1" t="str">
        <f>"天津财经大学"</f>
        <v>天津财经大学</v>
      </c>
      <c r="F5001" s="1" t="str">
        <f>"劳动与社会保障"</f>
        <v>劳动与社会保障</v>
      </c>
      <c r="G5001" s="1" t="str">
        <f>"河南省南阳市卧龙区百里奚街道信臣路200号小林庄新村"</f>
        <v>河南省南阳市卧龙区百里奚街道信臣路200号小林庄新村</v>
      </c>
      <c r="H5001" s="1" t="str">
        <f t="shared" si="2468"/>
        <v>无</v>
      </c>
      <c r="I5001" s="1" t="str">
        <f>"201809-202206 天津财经大学财税与公共管理学院劳动与社会保障专业  就读 是全日制学历
2022年6月至今在家待业"</f>
        <v>201809-202206 天津财经大学财税与公共管理学院劳动与社会保障专业  就读 是全日制学历
2022年6月至今在家待业</v>
      </c>
    </row>
    <row r="5002" spans="1:9">
      <c r="A5002" s="1" t="str">
        <f>"410504199402031513"</f>
        <v>410504199402031513</v>
      </c>
      <c r="B5002" s="1" t="str">
        <f t="shared" si="2467"/>
        <v>群众</v>
      </c>
      <c r="C5002" s="1" t="str">
        <f t="shared" si="2466"/>
        <v>本科</v>
      </c>
      <c r="D5002" s="1" t="str">
        <f>"2023-07-01"</f>
        <v>2023-07-01</v>
      </c>
      <c r="E5002" s="1" t="str">
        <f>"河南科技大学"</f>
        <v>河南科技大学</v>
      </c>
      <c r="F5002" s="1" t="str">
        <f>"计算机科学与技术"</f>
        <v>计算机科学与技术</v>
      </c>
      <c r="G5002" s="1" t="str">
        <f>"河南省安阳市殷都区梅园庄东街12号"</f>
        <v>河南省安阳市殷都区梅园庄东街12号</v>
      </c>
      <c r="H5002" s="1" t="str">
        <f t="shared" si="2468"/>
        <v>无</v>
      </c>
      <c r="I5002" s="1" t="str">
        <f>"202103-202307 河南科技计算机科学与技术专业就读"</f>
        <v>202103-202307 河南科技计算机科学与技术专业就读</v>
      </c>
    </row>
    <row r="5003" spans="1:9">
      <c r="A5003" s="1" t="str">
        <f>"411503200008284926"</f>
        <v>411503200008284926</v>
      </c>
      <c r="B5003" s="1" t="str">
        <f>"中共预备党员"</f>
        <v>中共预备党员</v>
      </c>
      <c r="C5003" s="1" t="str">
        <f t="shared" si="2466"/>
        <v>本科</v>
      </c>
      <c r="D5003" s="1" t="str">
        <f>"20240701"</f>
        <v>20240701</v>
      </c>
      <c r="E5003" s="1" t="str">
        <f>"武汉商学院"</f>
        <v>武汉商学院</v>
      </c>
      <c r="F5003" s="1" t="str">
        <f>"人力资源管理"</f>
        <v>人力资源管理</v>
      </c>
      <c r="G5003" s="1" t="str">
        <f>"河南省信阳市平桥区御景湾"</f>
        <v>河南省信阳市平桥区御景湾</v>
      </c>
      <c r="H5003" s="1" t="str">
        <f t="shared" si="2468"/>
        <v>无</v>
      </c>
      <c r="I5003" s="1" t="str">
        <f>"2019.9-2022.7汉口学院，国际交流学院，工商管理专业，全日制专科
2022.9-2024.7武汉商学院，管理学院，人力资源管理专业，全日制本科
2024.7-至今，待业"</f>
        <v>2019.9-2022.7汉口学院，国际交流学院，工商管理专业，全日制专科
2022.9-2024.7武汉商学院，管理学院，人力资源管理专业，全日制本科
2024.7-至今，待业</v>
      </c>
    </row>
    <row r="5004" spans="1:9">
      <c r="A5004" s="1" t="str">
        <f>"411302200012055424"</f>
        <v>411302200012055424</v>
      </c>
      <c r="B5004" s="1" t="str">
        <f>"共青团员"</f>
        <v>共青团员</v>
      </c>
      <c r="C5004" s="1" t="str">
        <f t="shared" si="2466"/>
        <v>本科</v>
      </c>
      <c r="D5004" s="1" t="str">
        <f>"20220607"</f>
        <v>20220607</v>
      </c>
      <c r="E5004" s="1" t="str">
        <f>"河南科技学院"</f>
        <v>河南科技学院</v>
      </c>
      <c r="F5004" s="1" t="str">
        <f>"社会体育指导与管理"</f>
        <v>社会体育指导与管理</v>
      </c>
      <c r="G5004" s="1" t="str">
        <f>"河南省南阳市内乡县湍东镇梨苑山庄"</f>
        <v>河南省南阳市内乡县湍东镇梨苑山庄</v>
      </c>
      <c r="H5004" s="1" t="str">
        <f t="shared" si="2468"/>
        <v>无</v>
      </c>
      <c r="I5004" s="1" t="str">
        <f>"201809--202207在河南科技学院就读于社会体育指导与管理专业，为全日制学历，202208--202507在内乡复兴学校就业"</f>
        <v>201809--202207在河南科技学院就读于社会体育指导与管理专业，为全日制学历，202208--202507在内乡复兴学校就业</v>
      </c>
    </row>
    <row r="5005" spans="1:9">
      <c r="A5005" s="1" t="str">
        <f>"130224199110150520"</f>
        <v>130224199110150520</v>
      </c>
      <c r="B5005" s="1" t="str">
        <f t="shared" ref="B5005:B5011" si="2469">"群众"</f>
        <v>群众</v>
      </c>
      <c r="C5005" s="1" t="str">
        <f t="shared" si="2466"/>
        <v>本科</v>
      </c>
      <c r="D5005" s="1" t="str">
        <f>"20150630"</f>
        <v>20150630</v>
      </c>
      <c r="E5005" s="1" t="str">
        <f>"衡水学院"</f>
        <v>衡水学院</v>
      </c>
      <c r="F5005" s="1" t="str">
        <f>"人力资源管理"</f>
        <v>人力资源管理</v>
      </c>
      <c r="G5005" s="1" t="str">
        <f>"河南省南阳市内乡县大桥乡大桥街"</f>
        <v>河南省南阳市内乡县大桥乡大桥街</v>
      </c>
      <c r="H5005" s="1" t="str">
        <f>"企业人力资源师三级证书，初级经济师证书"</f>
        <v>企业人力资源师三级证书，初级经济师证书</v>
      </c>
      <c r="I5005" s="1" t="str">
        <f>"201109-201506在衡水学院经济管理系人力资源管理专业就读，全日制学历；
201508-202207在经济日报社中国经济网工作，担任项目经理职务；
202208-202308在河南省南阳市待业；
202309-202405在南阳开源投资发展集团有限公司工作，担任文秘职务；
202406-202507在河南省南阳市待业。"</f>
        <v>201109-201506在衡水学院经济管理系人力资源管理专业就读，全日制学历；
201508-202207在经济日报社中国经济网工作，担任项目经理职务；
202208-202308在河南省南阳市待业；
202309-202405在南阳开源投资发展集团有限公司工作，担任文秘职务；
202406-202507在河南省南阳市待业。</v>
      </c>
    </row>
    <row r="5006" spans="1:9">
      <c r="A5006" s="1" t="str">
        <f>"411330200202275546"</f>
        <v>411330200202275546</v>
      </c>
      <c r="B5006" s="1" t="str">
        <f t="shared" si="2469"/>
        <v>群众</v>
      </c>
      <c r="C5006" s="1" t="str">
        <f t="shared" si="2466"/>
        <v>本科</v>
      </c>
      <c r="D5006" s="1" t="str">
        <f>"20240620"</f>
        <v>20240620</v>
      </c>
      <c r="E5006" s="1" t="str">
        <f>"郑州科技学院"</f>
        <v>郑州科技学院</v>
      </c>
      <c r="F5006" s="1" t="str">
        <f>"音乐学"</f>
        <v>音乐学</v>
      </c>
      <c r="G5006" s="1" t="str">
        <f>"河南省南阳市"</f>
        <v>河南省南阳市</v>
      </c>
      <c r="H5006" s="1" t="str">
        <f t="shared" ref="H5006:H5015" si="2470">"无"</f>
        <v>无</v>
      </c>
      <c r="I5006" s="1" t="str">
        <f>"202009-202406郑州科技学院音乐舞蹈学院音乐学专业就读，是全日制学历"</f>
        <v>202009-202406郑州科技学院音乐舞蹈学院音乐学专业就读，是全日制学历</v>
      </c>
    </row>
    <row r="5007" spans="1:9">
      <c r="A5007" s="1" t="str">
        <f>"41152720021212041X"</f>
        <v>41152720021212041X</v>
      </c>
      <c r="B5007" s="1" t="str">
        <f>"共青团员"</f>
        <v>共青团员</v>
      </c>
      <c r="C5007" s="1" t="str">
        <f t="shared" si="2466"/>
        <v>本科</v>
      </c>
      <c r="D5007" s="1" t="str">
        <f>"20250701"</f>
        <v>20250701</v>
      </c>
      <c r="E5007" s="1" t="str">
        <f>"信阳师范大学"</f>
        <v>信阳师范大学</v>
      </c>
      <c r="F5007" s="1" t="str">
        <f>"电子信息工程"</f>
        <v>电子信息工程</v>
      </c>
      <c r="G5007" s="1" t="str">
        <f>"河南省信阳市淮滨县滨湖街道"</f>
        <v>河南省信阳市淮滨县滨湖街道</v>
      </c>
      <c r="H5007" s="1" t="str">
        <f t="shared" si="2470"/>
        <v>无</v>
      </c>
      <c r="I5007" s="1" t="str">
        <f>"202109-202507 信阳师范大学 物理电子工程学院 电子信息工程专业 ，就读，是全日制学历。"</f>
        <v>202109-202507 信阳师范大学 物理电子工程学院 电子信息工程专业 ，就读，是全日制学历。</v>
      </c>
    </row>
    <row r="5008" spans="1:9">
      <c r="A5008" s="1" t="str">
        <f>"411325200012262073"</f>
        <v>411325200012262073</v>
      </c>
      <c r="B5008" s="1" t="str">
        <f t="shared" si="2469"/>
        <v>群众</v>
      </c>
      <c r="C5008" s="1" t="str">
        <f t="shared" si="2466"/>
        <v>本科</v>
      </c>
      <c r="D5008" s="1" t="str">
        <f>"20240617"</f>
        <v>20240617</v>
      </c>
      <c r="E5008" s="1" t="str">
        <f>"郑州工商学院"</f>
        <v>郑州工商学院</v>
      </c>
      <c r="F5008" s="1" t="str">
        <f>"会计学"</f>
        <v>会计学</v>
      </c>
      <c r="G5008" s="1" t="str">
        <f>"师岗镇东平村苗东594号"</f>
        <v>师岗镇东平村苗东594号</v>
      </c>
      <c r="H5008" s="1" t="str">
        <f>"初级会计证"</f>
        <v>初级会计证</v>
      </c>
      <c r="I5008" s="1" t="str">
        <f>"  202009-2020406 郑州工商学院就读，是全日制学历。"</f>
        <v>  202009-2020406 郑州工商学院就读，是全日制学历。</v>
      </c>
    </row>
    <row r="5009" spans="1:9">
      <c r="A5009" s="1" t="str">
        <f>"411381200306027627"</f>
        <v>411381200306027627</v>
      </c>
      <c r="B5009" s="1" t="str">
        <f t="shared" si="2469"/>
        <v>群众</v>
      </c>
      <c r="C5009" s="1" t="str">
        <f>"专科"</f>
        <v>专科</v>
      </c>
      <c r="D5009" s="1" t="str">
        <f>"20250607，既年六月七日"</f>
        <v>20250607，既年六月七日</v>
      </c>
      <c r="E5009" s="1" t="str">
        <f>"安阳幼儿师范高等专科学校"</f>
        <v>安阳幼儿师范高等专科学校</v>
      </c>
      <c r="F5009" s="1" t="str">
        <f>"学前教育"</f>
        <v>学前教育</v>
      </c>
      <c r="G5009" s="1" t="str">
        <f>"河南省邓州市"</f>
        <v>河南省邓州市</v>
      </c>
      <c r="H5009" s="1" t="str">
        <f>"普通话证书"</f>
        <v>普通话证书</v>
      </c>
      <c r="I5009" s="1" t="str">
        <f>"202209-202506安阳幼儿师范高等专科学校就读"</f>
        <v>202209-202506安阳幼儿师范高等专科学校就读</v>
      </c>
    </row>
    <row r="5010" spans="1:9">
      <c r="A5010" s="1" t="str">
        <f>"411327199812100061"</f>
        <v>411327199812100061</v>
      </c>
      <c r="B5010" s="1" t="str">
        <f t="shared" si="2469"/>
        <v>群众</v>
      </c>
      <c r="C5010" s="1" t="str">
        <f t="shared" ref="C5010:C5016" si="2471">"本科"</f>
        <v>本科</v>
      </c>
      <c r="D5010" s="1" t="str">
        <f>"20220630"</f>
        <v>20220630</v>
      </c>
      <c r="E5010" s="1" t="str">
        <f>"南京航空航天大学"</f>
        <v>南京航空航天大学</v>
      </c>
      <c r="F5010" s="1" t="str">
        <f>"动画"</f>
        <v>动画</v>
      </c>
      <c r="G5010" s="1" t="str">
        <f>"河南省内乡县城关镇"</f>
        <v>河南省内乡县城关镇</v>
      </c>
      <c r="H5010" s="1" t="str">
        <f>"工业和信息化领域急需紧缺人才培养工程证书、工业和信息化人才评价证书"</f>
        <v>工业和信息化领域急需紧缺人才培养工程证书、工业和信息化人才评价证书</v>
      </c>
      <c r="I5010" s="1" t="str">
        <f>"201709-202206 南京航空航天大学动画专业就读 否全日制
202109-202402 江苏励通国际展览有限公司 三维设计
202403至今 河南省内乡县待业"</f>
        <v>201709-202206 南京航空航天大学动画专业就读 否全日制
202109-202402 江苏励通国际展览有限公司 三维设计
202403至今 河南省内乡县待业</v>
      </c>
    </row>
    <row r="5011" spans="1:9">
      <c r="A5011" s="1" t="str">
        <f>"411628199909100044"</f>
        <v>411628199909100044</v>
      </c>
      <c r="B5011" s="1" t="str">
        <f t="shared" si="2469"/>
        <v>群众</v>
      </c>
      <c r="C5011" s="1" t="str">
        <f t="shared" si="2471"/>
        <v>本科</v>
      </c>
      <c r="D5011" s="1" t="str">
        <f>"20210701"</f>
        <v>20210701</v>
      </c>
      <c r="E5011" s="1" t="str">
        <f>"商丘学院"</f>
        <v>商丘学院</v>
      </c>
      <c r="F5011" s="1" t="str">
        <f>"环境设计"</f>
        <v>环境设计</v>
      </c>
      <c r="G5011" s="1" t="str">
        <f>"河南省南阳市内乡县城关镇梨苑山庄唐城小区"</f>
        <v>河南省南阳市内乡县城关镇梨苑山庄唐城小区</v>
      </c>
      <c r="H5011" s="1" t="str">
        <f t="shared" si="2470"/>
        <v>无</v>
      </c>
      <c r="I5011" s="1" t="str">
        <f>"201909-202107商丘学院应用科技学院艺术教育系环境设计专业就读。"</f>
        <v>201909-202107商丘学院应用科技学院艺术教育系环境设计专业就读。</v>
      </c>
    </row>
    <row r="5012" spans="1:9">
      <c r="A5012" s="1" t="str">
        <f>"410422199910230073"</f>
        <v>410422199910230073</v>
      </c>
      <c r="B5012" s="1" t="str">
        <f>"中共党员"</f>
        <v>中共党员</v>
      </c>
      <c r="C5012" s="1" t="str">
        <f t="shared" si="2471"/>
        <v>本科</v>
      </c>
      <c r="D5012" s="1" t="str">
        <f>"20230701"</f>
        <v>20230701</v>
      </c>
      <c r="E5012" s="1" t="str">
        <f>"黄河交通学院"</f>
        <v>黄河交通学院</v>
      </c>
      <c r="F5012" s="1" t="str">
        <f>"土木工程"</f>
        <v>土木工程</v>
      </c>
      <c r="G5012" s="1" t="str">
        <f>"河南省平顶山市叶县龙祥小区"</f>
        <v>河南省平顶山市叶县龙祥小区</v>
      </c>
      <c r="H5012" s="1" t="str">
        <f t="shared" si="2470"/>
        <v>无</v>
      </c>
      <c r="I5012" s="1" t="str">
        <f>"201809-202107 黄河水利职业技术学院 测绘工程学院 工程测量技术 全日制学历
202109-202307 黄河交通学院 交通工程学院 土木工程 全日制学历
202307-至今 待业 "</f>
        <v>201809-202107 黄河水利职业技术学院 测绘工程学院 工程测量技术 全日制学历
202109-202307 黄河交通学院 交通工程学院 土木工程 全日制学历
202307-至今 待业 </v>
      </c>
    </row>
    <row r="5013" spans="1:9">
      <c r="A5013" s="1" t="str">
        <f>"411327200004181516"</f>
        <v>411327200004181516</v>
      </c>
      <c r="B5013" s="1" t="str">
        <f t="shared" ref="B5013:B5017" si="2472">"共青团员"</f>
        <v>共青团员</v>
      </c>
      <c r="C5013" s="1" t="str">
        <f t="shared" si="2471"/>
        <v>本科</v>
      </c>
      <c r="D5013" s="1" t="str">
        <f>"20230701"</f>
        <v>20230701</v>
      </c>
      <c r="E5013" s="1" t="str">
        <f>"郑州工商学院"</f>
        <v>郑州工商学院</v>
      </c>
      <c r="F5013" s="1" t="str">
        <f>"工商管理"</f>
        <v>工商管理</v>
      </c>
      <c r="G5013" s="1" t="str">
        <f>"河南省南阳市内乡县湍东镇红堰河村红东32号"</f>
        <v>河南省南阳市内乡县湍东镇红堰河村红东32号</v>
      </c>
      <c r="H5013" s="1" t="str">
        <f t="shared" si="2470"/>
        <v>无</v>
      </c>
      <c r="I5013" s="1" t="str">
        <f>"201809-202106 郑州财经学院 商学院 市场营销 全日制专科
202109-202306 郑州工商学院 商学院 工商管理 全日制本科"</f>
        <v>201809-202106 郑州财经学院 商学院 市场营销 全日制专科
202109-202306 郑州工商学院 商学院 工商管理 全日制本科</v>
      </c>
    </row>
    <row r="5014" spans="1:9">
      <c r="A5014" s="1" t="str">
        <f>"411327200211291128"</f>
        <v>411327200211291128</v>
      </c>
      <c r="B5014" s="1" t="str">
        <f t="shared" ref="B5014:B5018" si="2473">"群众"</f>
        <v>群众</v>
      </c>
      <c r="C5014" s="1" t="str">
        <f t="shared" si="2471"/>
        <v>本科</v>
      </c>
      <c r="D5014" s="1" t="str">
        <f>"2025-07-01"</f>
        <v>2025-07-01</v>
      </c>
      <c r="E5014" s="1" t="str">
        <f>"郑州师范学院"</f>
        <v>郑州师范学院</v>
      </c>
      <c r="F5014" s="1" t="str">
        <f>"数学与应用数学"</f>
        <v>数学与应用数学</v>
      </c>
      <c r="G5014" s="1" t="str">
        <f>"河南省南阳市内乡县"</f>
        <v>河南省南阳市内乡县</v>
      </c>
      <c r="H5014" s="1" t="str">
        <f t="shared" si="2470"/>
        <v>无</v>
      </c>
      <c r="I5014" s="1" t="str">
        <f>"202109-202507郑州师范学院数学与应用数学 全日制  就读"</f>
        <v>202109-202507郑州师范学院数学与应用数学 全日制  就读</v>
      </c>
    </row>
    <row r="5015" spans="1:9">
      <c r="A5015" s="1" t="str">
        <f>"411328199704062113"</f>
        <v>411328199704062113</v>
      </c>
      <c r="B5015" s="1" t="str">
        <f t="shared" si="2473"/>
        <v>群众</v>
      </c>
      <c r="C5015" s="1" t="str">
        <f t="shared" si="2471"/>
        <v>本科</v>
      </c>
      <c r="D5015" s="1" t="str">
        <f>"20190620"</f>
        <v>20190620</v>
      </c>
      <c r="E5015" s="1" t="str">
        <f>"华中农业大学"</f>
        <v>华中农业大学</v>
      </c>
      <c r="F5015" s="1" t="str">
        <f>"应用化学"</f>
        <v>应用化学</v>
      </c>
      <c r="G5015" s="1" t="str">
        <f>"河南省郑州市金水区南阳路79号"</f>
        <v>河南省郑州市金水区南阳路79号</v>
      </c>
      <c r="H5015" s="1" t="str">
        <f t="shared" si="2470"/>
        <v>无</v>
      </c>
      <c r="I5015" s="1" t="str">
        <f>"201509-201906 在华中农业大学就读应用化学专业，全日制。
201908-202206 在湖南大学就读化学专业，全日制。
202207-202303 在广东菲鹏生物有限公司工作。
202304-现在 在郑州市金水区待业。
"</f>
        <v>201509-201906 在华中农业大学就读应用化学专业，全日制。
201908-202206 在湖南大学就读化学专业，全日制。
202207-202303 在广东菲鹏生物有限公司工作。
202304-现在 在郑州市金水区待业。
</v>
      </c>
    </row>
    <row r="5016" spans="1:9">
      <c r="A5016" s="1" t="str">
        <f>"410725200101103913"</f>
        <v>410725200101103913</v>
      </c>
      <c r="B5016" s="1" t="str">
        <f t="shared" si="2472"/>
        <v>共青团员</v>
      </c>
      <c r="C5016" s="1" t="str">
        <f t="shared" si="2471"/>
        <v>本科</v>
      </c>
      <c r="D5016" s="1" t="str">
        <f>"20240615"</f>
        <v>20240615</v>
      </c>
      <c r="E5016" s="1" t="str">
        <f>"黄淮学院"</f>
        <v>黄淮学院</v>
      </c>
      <c r="F5016" s="1" t="str">
        <f>"物联网工程"</f>
        <v>物联网工程</v>
      </c>
      <c r="G5016" s="1" t="str">
        <f>"河南省新乡市原阳县福宁集乡"</f>
        <v>河南省新乡市原阳县福宁集乡</v>
      </c>
      <c r="H5016" s="1" t="str">
        <f>"英语四级证书 普通话二甲"</f>
        <v>英语四级证书 普通话二甲</v>
      </c>
      <c r="I5016" s="1" t="str">
        <f>"202009-202406 黄淮学院就读 智能制造学院 物联网工程 全日制本科"</f>
        <v>202009-202406 黄淮学院就读 智能制造学院 物联网工程 全日制本科</v>
      </c>
    </row>
    <row r="5017" spans="1:9">
      <c r="A5017" s="1" t="str">
        <f>"411303199907024232"</f>
        <v>411303199907024232</v>
      </c>
      <c r="B5017" s="1" t="str">
        <f t="shared" si="2472"/>
        <v>共青团员</v>
      </c>
      <c r="C5017" s="1" t="str">
        <f>"专科"</f>
        <v>专科</v>
      </c>
      <c r="D5017" s="1" t="str">
        <f>"2020.07"</f>
        <v>2020.07</v>
      </c>
      <c r="E5017" s="1" t="str">
        <f>"河南工业职业技术学院"</f>
        <v>河南工业职业技术学院</v>
      </c>
      <c r="F5017" s="1" t="str">
        <f>"数字媒体应用技术"</f>
        <v>数字媒体应用技术</v>
      </c>
      <c r="G5017" s="1" t="str">
        <f>"河南省南阳市卧龙区百里奚与光武路交叉口煤炭公司家属院"</f>
        <v>河南省南阳市卧龙区百里奚与光武路交叉口煤炭公司家属院</v>
      </c>
      <c r="H5017" s="1" t="str">
        <f t="shared" ref="H5017:H5038" si="2474">"无"</f>
        <v>无</v>
      </c>
      <c r="I5017" s="1" t="str">
        <f>"2017.09-2020.07  河南工业职业技术学院数字媒体应用技术专业就读 
                           （全日制）
2020.07-至今        南阳市职教园区建设发展中心工作"</f>
        <v>2017.09-2020.07  河南工业职业技术学院数字媒体应用技术专业就读 
                           （全日制）
2020.07-至今        南阳市职教园区建设发展中心工作</v>
      </c>
    </row>
    <row r="5018" spans="1:9">
      <c r="A5018" s="1" t="str">
        <f>"411327200304221129"</f>
        <v>411327200304221129</v>
      </c>
      <c r="B5018" s="1" t="str">
        <f t="shared" si="2473"/>
        <v>群众</v>
      </c>
      <c r="C5018" s="1" t="str">
        <f>"专科"</f>
        <v>专科</v>
      </c>
      <c r="D5018" s="1" t="str">
        <f>"2024-07-01"</f>
        <v>2024-07-01</v>
      </c>
      <c r="E5018" s="1" t="str">
        <f>"河南女子职业学院"</f>
        <v>河南女子职业学院</v>
      </c>
      <c r="F5018" s="1" t="str">
        <f>"大数据与会计"</f>
        <v>大数据与会计</v>
      </c>
      <c r="G5018" s="1" t="str">
        <f>"河南省南阳市内乡县赤眉镇街南北组10号"</f>
        <v>河南省南阳市内乡县赤眉镇街南北组10号</v>
      </c>
      <c r="H5018" s="1" t="str">
        <f>"风险管理师"</f>
        <v>风险管理师</v>
      </c>
      <c r="I5018" s="1" t="str">
        <f>"2021.10.17-2024.7.1河南女子职业学院就读
2024.7.1-2025.7.29河南永合建筑有限公司"</f>
        <v>2021.10.17-2024.7.1河南女子职业学院就读
2024.7.1-2025.7.29河南永合建筑有限公司</v>
      </c>
    </row>
    <row r="5019" spans="1:9">
      <c r="A5019" s="1" t="str">
        <f>"411327200102014260"</f>
        <v>411327200102014260</v>
      </c>
      <c r="B5019" s="1" t="str">
        <f t="shared" ref="B5019:B5025" si="2475">"共青团员"</f>
        <v>共青团员</v>
      </c>
      <c r="C5019" s="1" t="str">
        <f t="shared" ref="C5019:C5025" si="2476">"本科"</f>
        <v>本科</v>
      </c>
      <c r="D5019" s="1" t="str">
        <f>"20230701"</f>
        <v>20230701</v>
      </c>
      <c r="E5019" s="1" t="str">
        <f>"河南财政金融学院"</f>
        <v>河南财政金融学院</v>
      </c>
      <c r="F5019" s="1" t="str">
        <f>"税收学"</f>
        <v>税收学</v>
      </c>
      <c r="G5019" s="1" t="str">
        <f>"河南省南阳市内乡县"</f>
        <v>河南省南阳市内乡县</v>
      </c>
      <c r="H5019" s="1" t="str">
        <f>"初级会计"</f>
        <v>初级会计</v>
      </c>
      <c r="I5019" s="1" t="str">
        <f>"201909-202306 河南财政金融学院财政税务学院税收学就读，全日制学历"</f>
        <v>201909-202306 河南财政金融学院财政税务学院税收学就读，全日制学历</v>
      </c>
    </row>
    <row r="5020" spans="1:9">
      <c r="A5020" s="1" t="str">
        <f>"411302200108236131"</f>
        <v>411302200108236131</v>
      </c>
      <c r="B5020" s="1" t="str">
        <f t="shared" si="2475"/>
        <v>共青团员</v>
      </c>
      <c r="C5020" s="1" t="str">
        <f t="shared" si="2476"/>
        <v>本科</v>
      </c>
      <c r="D5020" s="1" t="str">
        <f>"20240607"</f>
        <v>20240607</v>
      </c>
      <c r="E5020" s="1" t="str">
        <f>"武汉生物工程学院"</f>
        <v>武汉生物工程学院</v>
      </c>
      <c r="F5020" s="1" t="str">
        <f>"计算机科学与技术"</f>
        <v>计算机科学与技术</v>
      </c>
      <c r="G5020" s="1" t="str">
        <f>"河南省南阳市卧龙区张衡街道两相西路蓝调街区"</f>
        <v>河南省南阳市卧龙区张衡街道两相西路蓝调街区</v>
      </c>
      <c r="H5020" s="1" t="str">
        <f t="shared" si="2474"/>
        <v>无</v>
      </c>
      <c r="I5020" s="1" t="str">
        <f>"202009-202406 武汉生物工程学院 就读 全日制；
202406至今 待业"</f>
        <v>202009-202406 武汉生物工程学院 就读 全日制；
202406至今 待业</v>
      </c>
    </row>
    <row r="5021" spans="1:9">
      <c r="A5021" s="1" t="str">
        <f>"41132520020912394X"</f>
        <v>41132520020912394X</v>
      </c>
      <c r="B5021" s="1" t="str">
        <f t="shared" si="2475"/>
        <v>共青团员</v>
      </c>
      <c r="C5021" s="1" t="str">
        <f t="shared" si="2476"/>
        <v>本科</v>
      </c>
      <c r="D5021" s="1" t="str">
        <f>"20250630"</f>
        <v>20250630</v>
      </c>
      <c r="E5021" s="1" t="str">
        <f>"闽南师范大学"</f>
        <v>闽南师范大学</v>
      </c>
      <c r="F5021" s="1" t="str">
        <f>"汉语言文学"</f>
        <v>汉语言文学</v>
      </c>
      <c r="G5021" s="1" t="str">
        <f>"河南省南阳市内乡县梨苑山庄服务中心三号楼一单元601"</f>
        <v>河南省南阳市内乡县梨苑山庄服务中心三号楼一单元601</v>
      </c>
      <c r="H5021" s="1" t="str">
        <f t="shared" si="2474"/>
        <v>无</v>
      </c>
      <c r="I5021" s="1" t="str">
        <f>"202109-202506 闽南师范大学文学院汉语言文学专业就读，是全日制学历。"</f>
        <v>202109-202506 闽南师范大学文学院汉语言文学专业就读，是全日制学历。</v>
      </c>
    </row>
    <row r="5022" spans="1:9">
      <c r="A5022" s="1" t="str">
        <f>"411327200201221118"</f>
        <v>411327200201221118</v>
      </c>
      <c r="B5022" s="1" t="str">
        <f t="shared" si="2475"/>
        <v>共青团员</v>
      </c>
      <c r="C5022" s="1" t="str">
        <f t="shared" si="2476"/>
        <v>本科</v>
      </c>
      <c r="D5022" s="1" t="str">
        <f>"20240607"</f>
        <v>20240607</v>
      </c>
      <c r="E5022" s="1" t="str">
        <f>"河南牧业经济学院"</f>
        <v>河南牧业经济学院</v>
      </c>
      <c r="F5022" s="1" t="str">
        <f>"农林经济管理"</f>
        <v>农林经济管理</v>
      </c>
      <c r="G5022" s="1" t="str">
        <f>"河南省南阳市内乡县赤眉镇赤眉村刘岗25号附1号"</f>
        <v>河南省南阳市内乡县赤眉镇赤眉村刘岗25号附1号</v>
      </c>
      <c r="H5022" s="1" t="str">
        <f t="shared" si="2474"/>
        <v>无</v>
      </c>
      <c r="I5022" s="1" t="str">
        <f>"20200901-20240607 河南牧业经济学院 农林经济管理 就读。全日制学历"</f>
        <v>20200901-20240607 河南牧业经济学院 农林经济管理 就读。全日制学历</v>
      </c>
    </row>
    <row r="5023" spans="1:9">
      <c r="A5023" s="1" t="str">
        <f>"411327200012203121"</f>
        <v>411327200012203121</v>
      </c>
      <c r="B5023" s="1" t="str">
        <f t="shared" si="2475"/>
        <v>共青团员</v>
      </c>
      <c r="C5023" s="1" t="str">
        <f t="shared" si="2476"/>
        <v>本科</v>
      </c>
      <c r="D5023" s="1" t="str">
        <f>"20220701"</f>
        <v>20220701</v>
      </c>
      <c r="E5023" s="1" t="str">
        <f>"河南科技学院"</f>
        <v>河南科技学院</v>
      </c>
      <c r="F5023" s="1" t="str">
        <f>"园林"</f>
        <v>园林</v>
      </c>
      <c r="G5023" s="1" t="str">
        <f>"河南省南阳市内乡县湍东镇"</f>
        <v>河南省南阳市内乡县湍东镇</v>
      </c>
      <c r="H5023" s="1" t="str">
        <f t="shared" si="2474"/>
        <v>无</v>
      </c>
      <c r="I5023" s="1" t="str">
        <f>"201809--202207在河南科技学院园艺园林学院园林专业就读，是全日制学历。"</f>
        <v>201809--202207在河南科技学院园艺园林学院园林专业就读，是全日制学历。</v>
      </c>
    </row>
    <row r="5024" spans="1:9">
      <c r="A5024" s="1" t="str">
        <f>"411327200209081121"</f>
        <v>411327200209081121</v>
      </c>
      <c r="B5024" s="1" t="str">
        <f t="shared" si="2475"/>
        <v>共青团员</v>
      </c>
      <c r="C5024" s="1" t="str">
        <f t="shared" si="2476"/>
        <v>本科</v>
      </c>
      <c r="D5024" s="1" t="str">
        <f>"20250606"</f>
        <v>20250606</v>
      </c>
      <c r="E5024" s="1" t="str">
        <f>"信阳学院"</f>
        <v>信阳学院</v>
      </c>
      <c r="F5024" s="1" t="str">
        <f>"汉语言文学"</f>
        <v>汉语言文学</v>
      </c>
      <c r="G5024" s="1" t="str">
        <f>"河南省南阳市内乡县赤眉镇陈湾村陈南76号"</f>
        <v>河南省南阳市内乡县赤眉镇陈湾村陈南76号</v>
      </c>
      <c r="H5024" s="1" t="str">
        <f t="shared" si="2474"/>
        <v>无</v>
      </c>
      <c r="I5024" s="1" t="str">
        <f>"202109-202506 信阳学院汉语言文学专业就读（全日制学历）"</f>
        <v>202109-202506 信阳学院汉语言文学专业就读（全日制学历）</v>
      </c>
    </row>
    <row r="5025" spans="1:9">
      <c r="A5025" s="1" t="str">
        <f>"411327199904300036"</f>
        <v>411327199904300036</v>
      </c>
      <c r="B5025" s="1" t="str">
        <f t="shared" si="2475"/>
        <v>共青团员</v>
      </c>
      <c r="C5025" s="1" t="str">
        <f t="shared" si="2476"/>
        <v>本科</v>
      </c>
      <c r="D5025" s="1" t="str">
        <f>"20210701"</f>
        <v>20210701</v>
      </c>
      <c r="E5025" s="1" t="str">
        <f>"黄河交通学院"</f>
        <v>黄河交通学院</v>
      </c>
      <c r="F5025" s="1" t="str">
        <f>"机械设计制造及其自动化"</f>
        <v>机械设计制造及其自动化</v>
      </c>
      <c r="G5025" s="1" t="str">
        <f>"河南省内乡县城关镇县衙社区"</f>
        <v>河南省内乡县城关镇县衙社区</v>
      </c>
      <c r="H5025" s="1" t="str">
        <f t="shared" si="2474"/>
        <v>无</v>
      </c>
      <c r="I5025" s="1" t="str">
        <f>"201709-202106 黄河交通学院机电工程学院机械设计制造及其自动化专业就读
202107至今 在内乡县待业"</f>
        <v>201709-202106 黄河交通学院机电工程学院机械设计制造及其自动化专业就读
202107至今 在内乡县待业</v>
      </c>
    </row>
    <row r="5026" spans="1:9">
      <c r="A5026" s="1" t="str">
        <f>"411381200012034549"</f>
        <v>411381200012034549</v>
      </c>
      <c r="B5026" s="1" t="str">
        <f t="shared" ref="B5026:B5030" si="2477">"群众"</f>
        <v>群众</v>
      </c>
      <c r="C5026" s="1" t="str">
        <f>"专科"</f>
        <v>专科</v>
      </c>
      <c r="D5026" s="1" t="str">
        <f>"20220701"</f>
        <v>20220701</v>
      </c>
      <c r="E5026" s="1" t="str">
        <f>"河南信息统计职业学院"</f>
        <v>河南信息统计职业学院</v>
      </c>
      <c r="F5026" s="1" t="str">
        <f>"会计"</f>
        <v>会计</v>
      </c>
      <c r="G5026" s="1" t="str">
        <f>"河南省南阳市邓州市张村镇440号"</f>
        <v>河南省南阳市邓州市张村镇440号</v>
      </c>
      <c r="H5026" s="1" t="str">
        <f t="shared" si="2474"/>
        <v>无</v>
      </c>
      <c r="I5026" s="1" t="str">
        <f>"20190901-20220701于河南信息统计职业学院会计专业就读，为全日制学历，20220901-20240801南阳金鹏月季有限公司就业，20240801-20250727待业"</f>
        <v>20190901-20220701于河南信息统计职业学院会计专业就读，为全日制学历，20220901-20240801南阳金鹏月季有限公司就业，20240801-20250727待业</v>
      </c>
    </row>
    <row r="5027" spans="1:9">
      <c r="A5027" s="1" t="str">
        <f>"411321200208210042"</f>
        <v>411321200208210042</v>
      </c>
      <c r="B5027" s="1" t="str">
        <f>"中共党员"</f>
        <v>中共党员</v>
      </c>
      <c r="C5027" s="1" t="str">
        <f t="shared" ref="C5027:C5031" si="2478">"本科"</f>
        <v>本科</v>
      </c>
      <c r="D5027" s="1" t="str">
        <f>"20250611"</f>
        <v>20250611</v>
      </c>
      <c r="E5027" s="1" t="str">
        <f>"安阳学院"</f>
        <v>安阳学院</v>
      </c>
      <c r="F5027" s="1" t="str">
        <f>"汉语言文学"</f>
        <v>汉语言文学</v>
      </c>
      <c r="G5027" s="1" t="str">
        <f>"河南省南阳市桐柏县西关社区党群服务中心对面"</f>
        <v>河南省南阳市桐柏县西关社区党群服务中心对面</v>
      </c>
      <c r="H5027" s="1" t="str">
        <f t="shared" si="2474"/>
        <v>无</v>
      </c>
      <c r="I5027" s="1" t="str">
        <f>"2021年9月-2025年6月 安阳学院文法学院汉语言文学专业就读，全日制。"</f>
        <v>2021年9月-2025年6月 安阳学院文法学院汉语言文学专业就读，全日制。</v>
      </c>
    </row>
    <row r="5028" spans="1:9">
      <c r="A5028" s="1" t="str">
        <f>"411324200104010926"</f>
        <v>411324200104010926</v>
      </c>
      <c r="B5028" s="1" t="str">
        <f>"共青团员"</f>
        <v>共青团员</v>
      </c>
      <c r="C5028" s="1" t="str">
        <f t="shared" si="2478"/>
        <v>本科</v>
      </c>
      <c r="D5028" s="1" t="str">
        <f>"20250630"</f>
        <v>20250630</v>
      </c>
      <c r="E5028" s="1" t="str">
        <f>"商丘学院"</f>
        <v>商丘学院</v>
      </c>
      <c r="F5028" s="1" t="str">
        <f>"汉语言文学（师范）"</f>
        <v>汉语言文学（师范）</v>
      </c>
      <c r="G5028" s="1" t="str">
        <f>"河南省南阳市镇平县柳泉铺乡柳泉铺村柳泉铺街第十七组505号"</f>
        <v>河南省南阳市镇平县柳泉铺乡柳泉铺村柳泉铺街第十七组505号</v>
      </c>
      <c r="H5028" s="1" t="str">
        <f t="shared" si="2474"/>
        <v>无</v>
      </c>
      <c r="I5028" s="1" t="str">
        <f>"20200901-20230608许昌职业技术学院人文学院语文教育专业 就读 全日制学历
20230901-20250630商丘学院人文学院汉语言文学专业 就读 全日制学历
20250630待业至今"</f>
        <v>20200901-20230608许昌职业技术学院人文学院语文教育专业 就读 全日制学历
20230901-20250630商丘学院人文学院汉语言文学专业 就读 全日制学历
20250630待业至今</v>
      </c>
    </row>
    <row r="5029" spans="1:9">
      <c r="A5029" s="1" t="str">
        <f>"411303200211060046"</f>
        <v>411303200211060046</v>
      </c>
      <c r="B5029" s="1" t="str">
        <f t="shared" si="2477"/>
        <v>群众</v>
      </c>
      <c r="C5029" s="1" t="str">
        <f t="shared" si="2478"/>
        <v>本科</v>
      </c>
      <c r="D5029" s="1" t="str">
        <f>"20250701"</f>
        <v>20250701</v>
      </c>
      <c r="E5029" s="1" t="str">
        <f>"河南科技职业大学"</f>
        <v>河南科技职业大学</v>
      </c>
      <c r="F5029" s="1" t="str">
        <f>"环境艺术设计"</f>
        <v>环境艺术设计</v>
      </c>
      <c r="G5029" s="1" t="str">
        <f>"河南省南阳市卧龙区和庄村小王庄组1号"</f>
        <v>河南省南阳市卧龙区和庄村小王庄组1号</v>
      </c>
      <c r="H5029" s="1" t="str">
        <f t="shared" si="2474"/>
        <v>无</v>
      </c>
      <c r="I5029" s="1" t="str">
        <f>"2024年9月至2025年7月在河南科技职业大学美术与艺术设计学院环境艺术设计专业就读，是全日制学历。"</f>
        <v>2024年9月至2025年7月在河南科技职业大学美术与艺术设计学院环境艺术设计专业就读，是全日制学历。</v>
      </c>
    </row>
    <row r="5030" spans="1:9">
      <c r="A5030" s="1" t="str">
        <f>"411327199911060325"</f>
        <v>411327199911060325</v>
      </c>
      <c r="B5030" s="1" t="str">
        <f t="shared" si="2477"/>
        <v>群众</v>
      </c>
      <c r="C5030" s="1" t="str">
        <f t="shared" si="2478"/>
        <v>本科</v>
      </c>
      <c r="D5030" s="1" t="str">
        <f>"20220710"</f>
        <v>20220710</v>
      </c>
      <c r="E5030" s="1" t="str">
        <f>"江西科技学院"</f>
        <v>江西科技学院</v>
      </c>
      <c r="F5030" s="1" t="str">
        <f>"计算机科学与技术"</f>
        <v>计算机科学与技术</v>
      </c>
      <c r="G5030" s="1" t="str">
        <f>"河南省南阳市内乡县大桥乡"</f>
        <v>河南省南阳市内乡县大桥乡</v>
      </c>
      <c r="H5030" s="1" t="str">
        <f t="shared" si="2474"/>
        <v>无</v>
      </c>
      <c r="I5030" s="1" t="str">
        <f>"201709-202007 全日制江西师范高等专科学校 数学学院数学教育专业就读
202009-202207 全日制江西科技学院 信息工程学院计算机科学与技术专业
202210至今 南阳源泉工程建设有限公司"</f>
        <v>201709-202007 全日制江西师范高等专科学校 数学学院数学教育专业就读
202009-202207 全日制江西科技学院 信息工程学院计算机科学与技术专业
202210至今 南阳源泉工程建设有限公司</v>
      </c>
    </row>
    <row r="5031" spans="1:9">
      <c r="A5031" s="1" t="str">
        <f>"411327200309304927"</f>
        <v>411327200309304927</v>
      </c>
      <c r="B5031" s="1" t="str">
        <f>"共青团员"</f>
        <v>共青团员</v>
      </c>
      <c r="C5031" s="1" t="str">
        <f t="shared" si="2478"/>
        <v>本科</v>
      </c>
      <c r="D5031" s="1" t="str">
        <f>"20250607"</f>
        <v>20250607</v>
      </c>
      <c r="E5031" s="1" t="str">
        <f>"信阳学院"</f>
        <v>信阳学院</v>
      </c>
      <c r="F5031" s="1" t="str">
        <f>"汉语言文学"</f>
        <v>汉语言文学</v>
      </c>
      <c r="G5031" s="1" t="str">
        <f>"南阳市内乡县城关镇东关洗浴中心附近"</f>
        <v>南阳市内乡县城关镇东关洗浴中心附近</v>
      </c>
      <c r="H5031" s="1" t="str">
        <f t="shared" si="2474"/>
        <v>无</v>
      </c>
      <c r="I5031" s="1" t="str">
        <f>"202109-202506 信阳学院就读。在汉语言文学专业就读，全日制。"</f>
        <v>202109-202506 信阳学院就读。在汉语言文学专业就读，全日制。</v>
      </c>
    </row>
    <row r="5032" spans="1:9">
      <c r="A5032" s="1" t="str">
        <f>"411327200001160314"</f>
        <v>411327200001160314</v>
      </c>
      <c r="B5032" s="1" t="str">
        <f t="shared" ref="B5032:B5036" si="2479">"群众"</f>
        <v>群众</v>
      </c>
      <c r="C5032" s="1" t="str">
        <f t="shared" ref="C5032:C5034" si="2480">"专科"</f>
        <v>专科</v>
      </c>
      <c r="D5032" s="1" t="str">
        <f>"2021.7.1"</f>
        <v>2021.7.1</v>
      </c>
      <c r="E5032" s="1" t="str">
        <f>"郑州电力职业技术学院"</f>
        <v>郑州电力职业技术学院</v>
      </c>
      <c r="F5032" s="1" t="str">
        <f>"电子商务"</f>
        <v>电子商务</v>
      </c>
      <c r="G5032" s="1" t="str">
        <f>"河南省内乡县大桥乡堰庄村张竹园"</f>
        <v>河南省内乡县大桥乡堰庄村张竹园</v>
      </c>
      <c r="H5032" s="1" t="str">
        <f t="shared" si="2474"/>
        <v>无</v>
      </c>
      <c r="I5032" s="1" t="str">
        <f>"2018.9.1-2021.7.1就读于郑州电力职业技术学院电子商务专业"</f>
        <v>2018.9.1-2021.7.1就读于郑州电力职业技术学院电子商务专业</v>
      </c>
    </row>
    <row r="5033" spans="1:9">
      <c r="A5033" s="1" t="str">
        <f>"41132719910121111X"</f>
        <v>41132719910121111X</v>
      </c>
      <c r="B5033" s="1" t="str">
        <f t="shared" si="2479"/>
        <v>群众</v>
      </c>
      <c r="C5033" s="1" t="str">
        <f t="shared" si="2480"/>
        <v>专科</v>
      </c>
      <c r="D5033" s="1" t="str">
        <f>"20190630"</f>
        <v>20190630</v>
      </c>
      <c r="E5033" s="1" t="str">
        <f>"天津海运职业学院"</f>
        <v>天津海运职业学院</v>
      </c>
      <c r="F5033" s="1" t="str">
        <f>"轮机工程技术"</f>
        <v>轮机工程技术</v>
      </c>
      <c r="G5033" s="1" t="str">
        <f>"内乡县菊韵花苑小区2号楼"</f>
        <v>内乡县菊韵花苑小区2号楼</v>
      </c>
      <c r="H5033" s="1" t="str">
        <f t="shared" si="2474"/>
        <v>无</v>
      </c>
      <c r="I5033" s="1" t="str">
        <f>"201609-201906   天津海运职业学院
201906-202106    天津惠通海员管理服务有限公司船员出海
202106-202205     南阳防爆微特电机有限公司仓管
202205-202312      待业
202312-至今          濮阳市清丰县大流乡人民政府民政所事业人员"</f>
        <v>201609-201906   天津海运职业学院
201906-202106    天津惠通海员管理服务有限公司船员出海
202106-202205     南阳防爆微特电机有限公司仓管
202205-202312      待业
202312-至今          濮阳市清丰县大流乡人民政府民政所事业人员</v>
      </c>
    </row>
    <row r="5034" spans="1:9">
      <c r="A5034" s="1" t="str">
        <f>"411324199602270514"</f>
        <v>411324199602270514</v>
      </c>
      <c r="B5034" s="1" t="str">
        <f t="shared" si="2479"/>
        <v>群众</v>
      </c>
      <c r="C5034" s="1" t="str">
        <f t="shared" si="2480"/>
        <v>专科</v>
      </c>
      <c r="D5034" s="1" t="str">
        <f>"2017-07-01"</f>
        <v>2017-07-01</v>
      </c>
      <c r="E5034" s="1" t="str">
        <f>"南阳理工学院"</f>
        <v>南阳理工学院</v>
      </c>
      <c r="F5034" s="1" t="str">
        <f>"会计"</f>
        <v>会计</v>
      </c>
      <c r="G5034" s="1" t="str">
        <f>"镇平县交警大队西隔墙"</f>
        <v>镇平县交警大队西隔墙</v>
      </c>
      <c r="H5034" s="1" t="str">
        <f t="shared" si="2474"/>
        <v>无</v>
      </c>
      <c r="I5034" s="1" t="str">
        <f>"2014.9-2017.7  在南阳理工学院 会计专业就读 
2017.10-2020.12 在镇平县石佛寺派出所  辅警
2020.3-2022.7 在南阳师范学院财务管理专业就读  成人高等教育
2021.1-2021.2  在家待业
2021.3-2024.3 在镇平县人民法院  书记员
2024.3-2024.8 在家待业
2024.9-至今 在广州市万聘人力资源有限公司"</f>
        <v>2014.9-2017.7  在南阳理工学院 会计专业就读 
2017.10-2020.12 在镇平县石佛寺派出所  辅警
2020.3-2022.7 在南阳师范学院财务管理专业就读  成人高等教育
2021.1-2021.2  在家待业
2021.3-2024.3 在镇平县人民法院  书记员
2024.3-2024.8 在家待业
2024.9-至今 在广州市万聘人力资源有限公司</v>
      </c>
    </row>
    <row r="5035" spans="1:9">
      <c r="A5035" s="1" t="str">
        <f>"411327199411192014"</f>
        <v>411327199411192014</v>
      </c>
      <c r="B5035" s="1" t="str">
        <f t="shared" si="2479"/>
        <v>群众</v>
      </c>
      <c r="C5035" s="1" t="str">
        <f t="shared" ref="C5035:C5037" si="2481">"本科"</f>
        <v>本科</v>
      </c>
      <c r="D5035" s="1" t="str">
        <f>"20190607"</f>
        <v>20190607</v>
      </c>
      <c r="E5035" s="1" t="str">
        <f>"商丘工学院"</f>
        <v>商丘工学院</v>
      </c>
      <c r="F5035" s="1" t="str">
        <f>"机械设计制造及其自动化"</f>
        <v>机械设计制造及其自动化</v>
      </c>
      <c r="G5035" s="1" t="str">
        <f>"河南省内乡县临湍路状元府5-302"</f>
        <v>河南省内乡县临湍路状元府5-302</v>
      </c>
      <c r="H5035" s="1" t="str">
        <f t="shared" si="2474"/>
        <v>无</v>
      </c>
      <c r="I5035" s="1" t="str">
        <f>"201509-201906 商丘工学院就读 全日制
201908-202301 宁波奥克斯电气股份有限公司 区域经理
202302-202401 阳光电源股份有限公司 区域经理
202402-至今      厦门建发股份有限公司 区域经理"</f>
        <v>201509-201906 商丘工学院就读 全日制
201908-202301 宁波奥克斯电气股份有限公司 区域经理
202302-202401 阳光电源股份有限公司 区域经理
202402-至今      厦门建发股份有限公司 区域经理</v>
      </c>
    </row>
    <row r="5036" spans="1:9">
      <c r="A5036" s="1" t="str">
        <f>"411327199805020354"</f>
        <v>411327199805020354</v>
      </c>
      <c r="B5036" s="1" t="str">
        <f t="shared" si="2479"/>
        <v>群众</v>
      </c>
      <c r="C5036" s="1" t="str">
        <f t="shared" si="2481"/>
        <v>本科</v>
      </c>
      <c r="D5036" s="1" t="str">
        <f>"20240720"</f>
        <v>20240720</v>
      </c>
      <c r="E5036" s="1" t="str">
        <f>"国家开放大学"</f>
        <v>国家开放大学</v>
      </c>
      <c r="F5036" s="1" t="str">
        <f>"计算机科学与技术"</f>
        <v>计算机科学与技术</v>
      </c>
      <c r="G5036" s="1" t="str">
        <f>"内乡县湍东镇教育路南罗岗村"</f>
        <v>内乡县湍东镇教育路南罗岗村</v>
      </c>
      <c r="H5036" s="1" t="str">
        <f t="shared" si="2474"/>
        <v>无</v>
      </c>
      <c r="I5036" s="1" t="str">
        <f>"201509-201807 南阳理工学院 电子与电气工程学院  应用电子技术专业
普通全日制 就读；201807-201909 无锡深南电路有限公司 工作；201910-202204 在家待业；202205-至今 在内乡县政协 工作，期间202203-202407 国家开放大学 计算机科学与技术 非全日制开放教育学习。"</f>
        <v>201509-201807 南阳理工学院 电子与电气工程学院  应用电子技术专业
普通全日制 就读；201807-201909 无锡深南电路有限公司 工作；201910-202204 在家待业；202205-至今 在内乡县政协 工作，期间202203-202407 国家开放大学 计算机科学与技术 非全日制开放教育学习。</v>
      </c>
    </row>
    <row r="5037" spans="1:9">
      <c r="A5037" s="1" t="str">
        <f>"411327200003203728"</f>
        <v>411327200003203728</v>
      </c>
      <c r="B5037" s="1" t="str">
        <f>"中共党员"</f>
        <v>中共党员</v>
      </c>
      <c r="C5037" s="1" t="str">
        <f t="shared" si="2481"/>
        <v>本科</v>
      </c>
      <c r="D5037" s="1" t="str">
        <f>"20230701"</f>
        <v>20230701</v>
      </c>
      <c r="E5037" s="1" t="str">
        <f>"郑州财经学院"</f>
        <v>郑州财经学院</v>
      </c>
      <c r="F5037" s="1" t="str">
        <f>"市场营销"</f>
        <v>市场营销</v>
      </c>
      <c r="G5037" s="1" t="str">
        <f>"河南省南阳市内乡县渚阳大街"</f>
        <v>河南省南阳市内乡县渚阳大街</v>
      </c>
      <c r="H5037" s="1" t="str">
        <f t="shared" si="2474"/>
        <v>无</v>
      </c>
      <c r="I5037" s="1" t="str">
        <f>"201909-202307 河南省郑州市郑州财经学院商学院市场营销专业
202307-202503 在家待业
202503-至今 河南省镇平县高丘镇人民政府"</f>
        <v>201909-202307 河南省郑州市郑州财经学院商学院市场营销专业
202307-202503 在家待业
202503-至今 河南省镇平县高丘镇人民政府</v>
      </c>
    </row>
    <row r="5038" spans="1:9">
      <c r="A5038" s="1" t="str">
        <f>"411325200510070699"</f>
        <v>411325200510070699</v>
      </c>
      <c r="B5038" s="1" t="str">
        <f t="shared" ref="B5038:B5040" si="2482">"群众"</f>
        <v>群众</v>
      </c>
      <c r="C5038" s="1" t="str">
        <f t="shared" ref="C5038:C5041" si="2483">"专科"</f>
        <v>专科</v>
      </c>
      <c r="D5038" s="1" t="str">
        <f>"20260607"</f>
        <v>20260607</v>
      </c>
      <c r="E5038" s="1" t="str">
        <f>"南阳工艺美术职业学校"</f>
        <v>南阳工艺美术职业学校</v>
      </c>
      <c r="F5038" s="1" t="str">
        <f>"玉器设计与工艺"</f>
        <v>玉器设计与工艺</v>
      </c>
      <c r="G5038" s="1" t="str">
        <f>"河南省南阳市内乡县马山口镇"</f>
        <v>河南省南阳市内乡县马山口镇</v>
      </c>
      <c r="H5038" s="1" t="str">
        <f t="shared" si="2474"/>
        <v>无</v>
      </c>
      <c r="I5038" s="1" t="str">
        <f>"2023年9月1日-2026年6月7日，南阳工艺美术职业学校就读，就读专业玉器设计与工艺，全日制学历"</f>
        <v>2023年9月1日-2026年6月7日，南阳工艺美术职业学校就读，就读专业玉器设计与工艺，全日制学历</v>
      </c>
    </row>
    <row r="5039" spans="1:9">
      <c r="A5039" s="1" t="str">
        <f>"411327199002102575"</f>
        <v>411327199002102575</v>
      </c>
      <c r="B5039" s="1" t="str">
        <f t="shared" si="2482"/>
        <v>群众</v>
      </c>
      <c r="C5039" s="1" t="str">
        <f t="shared" ref="C5039:C5045" si="2484">"本科"</f>
        <v>本科</v>
      </c>
      <c r="D5039" s="1" t="str">
        <f>"20150701"</f>
        <v>20150701</v>
      </c>
      <c r="E5039" s="1" t="str">
        <f>"郑州工业应用技术学院"</f>
        <v>郑州工业应用技术学院</v>
      </c>
      <c r="F5039" s="1" t="str">
        <f>"土木工程"</f>
        <v>土木工程</v>
      </c>
      <c r="G5039" s="1" t="str">
        <f>"河南省南阳市内乡县"</f>
        <v>河南省南阳市内乡县</v>
      </c>
      <c r="H5039" s="1" t="str">
        <f>"二级建造师职业资格证书"</f>
        <v>二级建造师职业资格证书</v>
      </c>
      <c r="I5039" s="1" t="str">
        <f>"201109-201507郑州工业应用技术学院就读。建筑工程学院土木工程专业就读，是全日制学历。
201507-201510待业。
201510-202003在上海银龙建筑装饰绿化有限公司工作。
202004-今在内乡百川建筑有限公司工作。
"</f>
        <v>201109-201507郑州工业应用技术学院就读。建筑工程学院土木工程专业就读，是全日制学历。
201507-201510待业。
201510-202003在上海银龙建筑装饰绿化有限公司工作。
202004-今在内乡百川建筑有限公司工作。
</v>
      </c>
    </row>
    <row r="5040" spans="1:9">
      <c r="A5040" s="1" t="str">
        <f>"411381199805044530"</f>
        <v>411381199805044530</v>
      </c>
      <c r="B5040" s="1" t="str">
        <f t="shared" si="2482"/>
        <v>群众</v>
      </c>
      <c r="C5040" s="1" t="str">
        <f t="shared" si="2483"/>
        <v>专科</v>
      </c>
      <c r="D5040" s="1" t="str">
        <f>"20190701"</f>
        <v>20190701</v>
      </c>
      <c r="E5040" s="1" t="str">
        <f>"郑州财税金融职业学院"</f>
        <v>郑州财税金融职业学院</v>
      </c>
      <c r="F5040" s="1" t="str">
        <f>"计算机移动应用开发专业"</f>
        <v>计算机移动应用开发专业</v>
      </c>
      <c r="G5040" s="1" t="str">
        <f>"河南省南阳市邓州市湍北金尊府"</f>
        <v>河南省南阳市邓州市湍北金尊府</v>
      </c>
      <c r="H5040" s="1" t="str">
        <f>"计算机技术与软件专业技术资格"</f>
        <v>计算机技术与软件专业技术资格</v>
      </c>
      <c r="I5040" s="1" t="str">
        <f>"20160901—20190701 郑州财税金融职业学院计算机系移动应用开发专业就读
20190901—20240901 中国人民解放军32282部队 服役
20240901—至今 河南省南阳市邓州市待业"</f>
        <v>20160901—20190701 郑州财税金融职业学院计算机系移动应用开发专业就读
20190901—20240901 中国人民解放军32282部队 服役
20240901—至今 河南省南阳市邓州市待业</v>
      </c>
    </row>
    <row r="5041" spans="1:9">
      <c r="A5041" s="1" t="str">
        <f>"411330199708011120"</f>
        <v>411330199708011120</v>
      </c>
      <c r="B5041" s="1" t="str">
        <f t="shared" ref="B5041:B5045" si="2485">"共青团员"</f>
        <v>共青团员</v>
      </c>
      <c r="C5041" s="1" t="str">
        <f t="shared" si="2483"/>
        <v>专科</v>
      </c>
      <c r="D5041" s="1" t="str">
        <f>"20190701"</f>
        <v>20190701</v>
      </c>
      <c r="E5041" s="1" t="str">
        <f>"河南农业职业学院"</f>
        <v>河南农业职业学院</v>
      </c>
      <c r="F5041" s="1" t="str">
        <f>"植物保护与建检疫技术"</f>
        <v>植物保护与建检疫技术</v>
      </c>
      <c r="G5041" s="1" t="str">
        <f>"南阳市西峡县城关镇"</f>
        <v>南阳市西峡县城关镇</v>
      </c>
      <c r="H5041" s="1" t="str">
        <f t="shared" ref="H5041:H5044" si="2486">"无"</f>
        <v>无</v>
      </c>
      <c r="I5041" s="1" t="str">
        <f>"201609-201907河南农业职业学院，农业系植物保护与检疫技术
202004-202305西峡县企业养老保险管理局
202306-202404在家待业
202405-至今西峡县企业养老分中心"</f>
        <v>201609-201907河南农业职业学院，农业系植物保护与检疫技术
202004-202305西峡县企业养老保险管理局
202306-202404在家待业
202405-至今西峡县企业养老分中心</v>
      </c>
    </row>
    <row r="5042" spans="1:9">
      <c r="A5042" s="1" t="str">
        <f>"410581200109110034"</f>
        <v>410581200109110034</v>
      </c>
      <c r="B5042" s="1" t="str">
        <f t="shared" si="2485"/>
        <v>共青团员</v>
      </c>
      <c r="C5042" s="1" t="str">
        <f t="shared" si="2484"/>
        <v>本科</v>
      </c>
      <c r="D5042" s="1" t="str">
        <f>"20230630"</f>
        <v>20230630</v>
      </c>
      <c r="E5042" s="1" t="str">
        <f>"周口师范学院"</f>
        <v>周口师范学院</v>
      </c>
      <c r="F5042" s="1" t="str">
        <f>"国际经济与贸易"</f>
        <v>国际经济与贸易</v>
      </c>
      <c r="G5042" s="1" t="str">
        <f>"河南省安阳市林州东关西街东三巷"</f>
        <v>河南省安阳市林州东关西街东三巷</v>
      </c>
      <c r="H5042" s="1" t="str">
        <f t="shared" si="2486"/>
        <v>无</v>
      </c>
      <c r="I5042" s="1" t="str">
        <f>"201909-202306周口师范学院经济与管理学院就读全日制本科
202306-至今待业"</f>
        <v>201909-202306周口师范学院经济与管理学院就读全日制本科
202306-至今待业</v>
      </c>
    </row>
    <row r="5043" spans="1:9">
      <c r="A5043" s="1" t="str">
        <f>"411326199711180529"</f>
        <v>411326199711180529</v>
      </c>
      <c r="B5043" s="1" t="str">
        <f t="shared" ref="B5043:B5046" si="2487">"群众"</f>
        <v>群众</v>
      </c>
      <c r="C5043" s="1" t="str">
        <f t="shared" si="2484"/>
        <v>本科</v>
      </c>
      <c r="D5043" s="1" t="str">
        <f>"20190601"</f>
        <v>20190601</v>
      </c>
      <c r="E5043" s="1" t="str">
        <f>"郑州升达经贸管理学院"</f>
        <v>郑州升达经贸管理学院</v>
      </c>
      <c r="F5043" s="1" t="str">
        <f>"土木工程"</f>
        <v>土木工程</v>
      </c>
      <c r="G5043" s="1" t="str">
        <f>"河南省南阳市淅川县上集镇简营村"</f>
        <v>河南省南阳市淅川县上集镇简营村</v>
      </c>
      <c r="H5043" s="1" t="str">
        <f>"二级建造师"</f>
        <v>二级建造师</v>
      </c>
      <c r="I5043" s="1" t="str">
        <f>"201509-201906 郑州升达经贸管理学院 建筑工程学院 土木工程专业就读，全日制
201909-202206 西安科技大学 建筑与土木工程学院建筑与土木工程专业就读，全日制"</f>
        <v>201509-201906 郑州升达经贸管理学院 建筑工程学院 土木工程专业就读，全日制
201909-202206 西安科技大学 建筑与土木工程学院建筑与土木工程专业就读，全日制</v>
      </c>
    </row>
    <row r="5044" spans="1:9">
      <c r="A5044" s="1" t="str">
        <f>"410423199411091036"</f>
        <v>410423199411091036</v>
      </c>
      <c r="B5044" s="1" t="str">
        <f t="shared" si="2487"/>
        <v>群众</v>
      </c>
      <c r="C5044" s="1" t="str">
        <f t="shared" si="2484"/>
        <v>本科</v>
      </c>
      <c r="D5044" s="1" t="str">
        <f>"20180713"</f>
        <v>20180713</v>
      </c>
      <c r="E5044" s="1" t="str">
        <f>"华北水利水电大学"</f>
        <v>华北水利水电大学</v>
      </c>
      <c r="F5044" s="1" t="str">
        <f>"计算机科学与技术"</f>
        <v>计算机科学与技术</v>
      </c>
      <c r="G5044" s="1" t="str">
        <f>"河南省郑州市中原西路阳光花苑"</f>
        <v>河南省郑州市中原西路阳光花苑</v>
      </c>
      <c r="H5044" s="1" t="str">
        <f t="shared" si="2486"/>
        <v>无</v>
      </c>
      <c r="I5044" s="1" t="str">
        <f>"201409-201807华北水利水电大学就读 全日制学历
201807-202107河南苏宁易购销售有限公司
202108-202504河南今日头条有限公司"</f>
        <v>201409-201807华北水利水电大学就读 全日制学历
201807-202107河南苏宁易购销售有限公司
202108-202504河南今日头条有限公司</v>
      </c>
    </row>
    <row r="5045" spans="1:9">
      <c r="A5045" s="1" t="str">
        <f>"410185200201099863"</f>
        <v>410185200201099863</v>
      </c>
      <c r="B5045" s="1" t="str">
        <f t="shared" si="2485"/>
        <v>共青团员</v>
      </c>
      <c r="C5045" s="1" t="str">
        <f t="shared" si="2484"/>
        <v>本科</v>
      </c>
      <c r="D5045" s="1" t="str">
        <f>"2025-07-01"</f>
        <v>2025-07-01</v>
      </c>
      <c r="E5045" s="1" t="str">
        <f>"郑州经贸学院"</f>
        <v>郑州经贸学院</v>
      </c>
      <c r="F5045" s="1" t="str">
        <f>"会计学"</f>
        <v>会计学</v>
      </c>
      <c r="G5045" s="1" t="str">
        <f>"河南省登封市嵩岳府小区"</f>
        <v>河南省登封市嵩岳府小区</v>
      </c>
      <c r="H5045" s="1" t="str">
        <f>"初级会计资格证书"</f>
        <v>初级会计资格证书</v>
      </c>
      <c r="I5045" s="1" t="str">
        <f>"202009-202307 河南检察职业学院 会计学就读，全日制
202309-202507 郑州经贸学院 会计学就读，全日制"</f>
        <v>202009-202307 河南检察职业学院 会计学就读，全日制
202309-202507 郑州经贸学院 会计学就读，全日制</v>
      </c>
    </row>
    <row r="5046" spans="1:9">
      <c r="A5046" s="1" t="str">
        <f>"411327199501100013"</f>
        <v>411327199501100013</v>
      </c>
      <c r="B5046" s="1" t="str">
        <f t="shared" si="2487"/>
        <v>群众</v>
      </c>
      <c r="C5046" s="1" t="str">
        <f t="shared" ref="C5046:C5050" si="2488">"专科"</f>
        <v>专科</v>
      </c>
      <c r="D5046" s="1" t="str">
        <f>"20150701"</f>
        <v>20150701</v>
      </c>
      <c r="E5046" s="1" t="str">
        <f>"河南艺术职业学院"</f>
        <v>河南艺术职业学院</v>
      </c>
      <c r="F5046" s="1" t="str">
        <f>"摄像摄像技术"</f>
        <v>摄像摄像技术</v>
      </c>
      <c r="G5046" s="1" t="str">
        <f>"内乡县"</f>
        <v>内乡县</v>
      </c>
      <c r="H5046" s="1" t="str">
        <f t="shared" ref="H5046:H5063" si="2489">"无"</f>
        <v>无</v>
      </c>
      <c r="I5046" s="1" t="str">
        <f>"201209-201507河南艺术职业学院就读摄影摄像技术专业就读，是全日制
201507至今，内乡泰隆建材有限公司就业"</f>
        <v>201209-201507河南艺术职业学院就读摄影摄像技术专业就读，是全日制
201507至今，内乡泰隆建材有限公司就业</v>
      </c>
    </row>
    <row r="5047" spans="1:9">
      <c r="A5047" s="1" t="str">
        <f>"412727200008196515"</f>
        <v>412727200008196515</v>
      </c>
      <c r="B5047" s="1" t="str">
        <f t="shared" ref="B5047:B5051" si="2490">"共青团员"</f>
        <v>共青团员</v>
      </c>
      <c r="C5047" s="1" t="str">
        <f t="shared" si="2488"/>
        <v>专科</v>
      </c>
      <c r="D5047" s="1" t="str">
        <f>"20220701"</f>
        <v>20220701</v>
      </c>
      <c r="E5047" s="1" t="str">
        <f>"濮阳职业技术学院"</f>
        <v>濮阳职业技术学院</v>
      </c>
      <c r="F5047" s="1" t="str">
        <f>"环境艺术设计"</f>
        <v>环境艺术设计</v>
      </c>
      <c r="G5047" s="1" t="str">
        <f>"河南省周口市淮阳县王店乡李营子村西组12号"</f>
        <v>河南省周口市淮阳县王店乡李营子村西组12号</v>
      </c>
      <c r="H5047" s="1" t="str">
        <f t="shared" si="2489"/>
        <v>无</v>
      </c>
      <c r="I5047" s="1" t="str">
        <f>"2019年9月—2022年7月  濮阳职业技术学院  艺术系  环境艺术设计专业  全日制
2022年7月—2022年11月  周口市宏达装饰公司  设计师
2022年11月—至今  河南省周口市淮阳区公安局  辅警"</f>
        <v>2019年9月—2022年7月  濮阳职业技术学院  艺术系  环境艺术设计专业  全日制
2022年7月—2022年11月  周口市宏达装饰公司  设计师
2022年11月—至今  河南省周口市淮阳区公安局  辅警</v>
      </c>
    </row>
    <row r="5048" spans="1:9">
      <c r="A5048" s="1" t="str">
        <f>"411330199904161521"</f>
        <v>411330199904161521</v>
      </c>
      <c r="B5048" s="1" t="str">
        <f t="shared" si="2490"/>
        <v>共青团员</v>
      </c>
      <c r="C5048" s="1" t="str">
        <f>"本科"</f>
        <v>本科</v>
      </c>
      <c r="D5048" s="1" t="str">
        <f>"20220701"</f>
        <v>20220701</v>
      </c>
      <c r="E5048" s="1" t="str">
        <f>"河南财政金融学院"</f>
        <v>河南财政金融学院</v>
      </c>
      <c r="F5048" s="1" t="str">
        <f>"社会工作"</f>
        <v>社会工作</v>
      </c>
      <c r="G5048" s="1" t="str">
        <f>"河南省南阳市西峡县紫金街道桃园路幸福里小区"</f>
        <v>河南省南阳市西峡县紫金街道桃园路幸福里小区</v>
      </c>
      <c r="H5048" s="1" t="str">
        <f t="shared" si="2489"/>
        <v>无</v>
      </c>
      <c r="I5048" s="1" t="str">
        <f>"201809-202207 河南财政金融学院 法学院社会工作专业就读 全日制
202207-202506 待业
202507-至今 西峡县委社会工作部公益岗"</f>
        <v>201809-202207 河南财政金融学院 法学院社会工作专业就读 全日制
202207-202506 待业
202507-至今 西峡县委社会工作部公益岗</v>
      </c>
    </row>
    <row r="5049" spans="1:9">
      <c r="A5049" s="1" t="str">
        <f>"411381199911237918"</f>
        <v>411381199911237918</v>
      </c>
      <c r="B5049" s="1" t="str">
        <f t="shared" ref="B5049:B5054" si="2491">"群众"</f>
        <v>群众</v>
      </c>
      <c r="C5049" s="1" t="str">
        <f t="shared" si="2488"/>
        <v>专科</v>
      </c>
      <c r="D5049" s="1" t="str">
        <f>"20200630"</f>
        <v>20200630</v>
      </c>
      <c r="E5049" s="1" t="str">
        <f>"商丘职业技术学院"</f>
        <v>商丘职业技术学院</v>
      </c>
      <c r="F5049" s="1" t="str">
        <f>"软件技术"</f>
        <v>软件技术</v>
      </c>
      <c r="G5049" s="1" t="str">
        <f>"河南省邓州市花洲街道办事处竹园"</f>
        <v>河南省邓州市花洲街道办事处竹园</v>
      </c>
      <c r="H5049" s="1" t="str">
        <f t="shared" si="2489"/>
        <v>无</v>
      </c>
      <c r="I5049" s="1" t="str">
        <f>"201809-202006 商丘职业技术学院 就读 全日制学历
202006至今待业
"</f>
        <v>201809-202006 商丘职业技术学院 就读 全日制学历
202006至今待业
</v>
      </c>
    </row>
    <row r="5050" spans="1:9">
      <c r="A5050" s="1" t="str">
        <f>"411381200305011244"</f>
        <v>411381200305011244</v>
      </c>
      <c r="B5050" s="1" t="str">
        <f t="shared" si="2491"/>
        <v>群众</v>
      </c>
      <c r="C5050" s="1" t="str">
        <f t="shared" si="2488"/>
        <v>专科</v>
      </c>
      <c r="D5050" s="1" t="str">
        <f>"2025-07-01"</f>
        <v>2025-07-01</v>
      </c>
      <c r="E5050" s="1" t="str">
        <f>"周口文理职业学院"</f>
        <v>周口文理职业学院</v>
      </c>
      <c r="F5050" s="1" t="str">
        <f>"学前教育"</f>
        <v>学前教育</v>
      </c>
      <c r="G5050" s="1" t="str">
        <f>"河南省邓州市龙堰乡大周营村小周营29号"</f>
        <v>河南省邓州市龙堰乡大周营村小周营29号</v>
      </c>
      <c r="H5050" s="1" t="str">
        <f t="shared" si="2489"/>
        <v>无</v>
      </c>
      <c r="I5050" s="1" t="str">
        <f>"202209-202506周口文理职业学院就读"</f>
        <v>202209-202506周口文理职业学院就读</v>
      </c>
    </row>
    <row r="5051" spans="1:9">
      <c r="A5051" s="1" t="str">
        <f>"411327199711092912"</f>
        <v>411327199711092912</v>
      </c>
      <c r="B5051" s="1" t="str">
        <f t="shared" si="2490"/>
        <v>共青团员</v>
      </c>
      <c r="C5051" s="1" t="str">
        <f>"硕士研究生"</f>
        <v>硕士研究生</v>
      </c>
      <c r="D5051" s="1" t="str">
        <f>"20220630"</f>
        <v>20220630</v>
      </c>
      <c r="E5051" s="1" t="str">
        <f>"郑州轻工业大学"</f>
        <v>郑州轻工业大学</v>
      </c>
      <c r="F5051" s="1" t="str">
        <f>"食品工程"</f>
        <v>食品工程</v>
      </c>
      <c r="G5051" s="1" t="str">
        <f>"内乡县瓦亭镇药山村昌家12号"</f>
        <v>内乡县瓦亭镇药山村昌家12号</v>
      </c>
      <c r="H5051" s="1" t="str">
        <f t="shared" si="2489"/>
        <v>无</v>
      </c>
      <c r="I5051" s="1" t="str">
        <f>"201509-201906 河南牧业经济学院食品与生物工程学院食品科学与工程专业 全日制学历
201909-202206 郑州轻工业大学食品与生物工程学院食品工程专业 全日制学历
202207-202308 牧原食品股份有限公司环保后勤部环保工程师
202309-至今 中国建设银行股份有限公司内乡支行客户经理"</f>
        <v>201509-201906 河南牧业经济学院食品与生物工程学院食品科学与工程专业 全日制学历
201909-202206 郑州轻工业大学食品与生物工程学院食品工程专业 全日制学历
202207-202308 牧原食品股份有限公司环保后勤部环保工程师
202309-至今 中国建设银行股份有限公司内乡支行客户经理</v>
      </c>
    </row>
    <row r="5052" spans="1:9">
      <c r="A5052" s="1" t="str">
        <f>"411327199004280041"</f>
        <v>411327199004280041</v>
      </c>
      <c r="B5052" s="1" t="str">
        <f>"中共党员"</f>
        <v>中共党员</v>
      </c>
      <c r="C5052" s="1" t="str">
        <f t="shared" ref="C5052:C5060" si="2492">"本科"</f>
        <v>本科</v>
      </c>
      <c r="D5052" s="1" t="str">
        <f>"20130701"</f>
        <v>20130701</v>
      </c>
      <c r="E5052" s="1" t="str">
        <f>"郑州大学西亚斯国际学院"</f>
        <v>郑州大学西亚斯国际学院</v>
      </c>
      <c r="F5052" s="1" t="str">
        <f>"国际经济与贸易"</f>
        <v>国际经济与贸易</v>
      </c>
      <c r="G5052" s="1" t="str">
        <f>"河南省内乡县城关镇湍河西路白云小区"</f>
        <v>河南省内乡县城关镇湍河西路白云小区</v>
      </c>
      <c r="H5052" s="1" t="str">
        <f t="shared" si="2489"/>
        <v>无</v>
      </c>
      <c r="I5052" s="1" t="str">
        <f>"200909-201307 郑州大学西亚斯国际学院国际经济与贸易专业 就读，全日制学历
201308-201404 待业
201405-201806 牧原股份有限公司工作
201807-至今 内乡县农村公路管理所工作"</f>
        <v>200909-201307 郑州大学西亚斯国际学院国际经济与贸易专业 就读，全日制学历
201308-201404 待业
201405-201806 牧原股份有限公司工作
201807-至今 内乡县农村公路管理所工作</v>
      </c>
    </row>
    <row r="5053" spans="1:9">
      <c r="A5053" s="1" t="str">
        <f>"411327199901062036"</f>
        <v>411327199901062036</v>
      </c>
      <c r="B5053" s="1" t="str">
        <f t="shared" si="2491"/>
        <v>群众</v>
      </c>
      <c r="C5053" s="1" t="str">
        <f>"硕士研究生"</f>
        <v>硕士研究生</v>
      </c>
      <c r="D5053" s="1" t="str">
        <f>"20240619"</f>
        <v>20240619</v>
      </c>
      <c r="E5053" s="1" t="str">
        <f>"中国地质大学武汉"</f>
        <v>中国地质大学武汉</v>
      </c>
      <c r="F5053" s="1" t="str">
        <f>"地质工程"</f>
        <v>地质工程</v>
      </c>
      <c r="G5053" s="1" t="str">
        <f>"河南省南阳市内乡县"</f>
        <v>河南省南阳市内乡县</v>
      </c>
      <c r="H5053" s="1" t="str">
        <f t="shared" si="2489"/>
        <v>无</v>
      </c>
      <c r="I5053" s="1" t="str">
        <f>"201709-202107 河南工程学院 就读 资源与环境学院 勘查技术与工程 全日制
202109-202406 中国地质大学武汉 地球物理与空间信息学院 地质工程 全日制
202406-202507 陕西地矿物化探队有限公司"</f>
        <v>201709-202107 河南工程学院 就读 资源与环境学院 勘查技术与工程 全日制
202109-202406 中国地质大学武汉 地球物理与空间信息学院 地质工程 全日制
202406-202507 陕西地矿物化探队有限公司</v>
      </c>
    </row>
    <row r="5054" spans="1:9">
      <c r="A5054" s="1" t="str">
        <f>"411302199001261331"</f>
        <v>411302199001261331</v>
      </c>
      <c r="B5054" s="1" t="str">
        <f t="shared" si="2491"/>
        <v>群众</v>
      </c>
      <c r="C5054" s="1" t="str">
        <f t="shared" si="2492"/>
        <v>本科</v>
      </c>
      <c r="D5054" s="1" t="str">
        <f>"20130623"</f>
        <v>20130623</v>
      </c>
      <c r="E5054" s="1" t="str">
        <f>"河南理工大学万方科技学院"</f>
        <v>河南理工大学万方科技学院</v>
      </c>
      <c r="F5054" s="1" t="str">
        <f>"材料科学与 工程"</f>
        <v>材料科学与 工程</v>
      </c>
      <c r="G5054" s="1" t="str">
        <f>"南阳市宛城区"</f>
        <v>南阳市宛城区</v>
      </c>
      <c r="H5054" s="1" t="str">
        <f t="shared" si="2489"/>
        <v>无</v>
      </c>
      <c r="I5054" s="1" t="str">
        <f>"200909-201306就读于河南理工大学万方科技学院全日制本科，2013年9月-2018年10月，工作于河南省通信工程局，2018年12月至今工作于元气森林公司。"</f>
        <v>200909-201306就读于河南理工大学万方科技学院全日制本科，2013年9月-2018年10月，工作于河南省通信工程局，2018年12月至今工作于元气森林公司。</v>
      </c>
    </row>
    <row r="5055" spans="1:9">
      <c r="A5055" s="1" t="str">
        <f>"41132720020215253X"</f>
        <v>41132720020215253X</v>
      </c>
      <c r="B5055" s="1" t="str">
        <f t="shared" ref="B5055:B5059" si="2493">"共青团员"</f>
        <v>共青团员</v>
      </c>
      <c r="C5055" s="1" t="str">
        <f t="shared" si="2492"/>
        <v>本科</v>
      </c>
      <c r="D5055" s="1" t="str">
        <f>"20250613"</f>
        <v>20250613</v>
      </c>
      <c r="E5055" s="1" t="str">
        <f>"河南工程学院"</f>
        <v>河南工程学院</v>
      </c>
      <c r="F5055" s="1" t="str">
        <f>"人工智能"</f>
        <v>人工智能</v>
      </c>
      <c r="G5055" s="1" t="str">
        <f>"河南省南阳市内乡县王店镇王湾村"</f>
        <v>河南省南阳市内乡县王店镇王湾村</v>
      </c>
      <c r="H5055" s="1" t="str">
        <f t="shared" si="2489"/>
        <v>无</v>
      </c>
      <c r="I5055" s="1" t="str">
        <f>"202109-202506河南工程学院电气信息工程学院人工智能专业就读，是全日制学历"</f>
        <v>202109-202506河南工程学院电气信息工程学院人工智能专业就读，是全日制学历</v>
      </c>
    </row>
    <row r="5056" spans="1:9">
      <c r="A5056" s="1" t="str">
        <f>"41132719970812002X"</f>
        <v>41132719970812002X</v>
      </c>
      <c r="B5056" s="1" t="str">
        <f>"群众"</f>
        <v>群众</v>
      </c>
      <c r="C5056" s="1" t="str">
        <f t="shared" si="2492"/>
        <v>本科</v>
      </c>
      <c r="D5056" s="1" t="str">
        <f>"20230630"</f>
        <v>20230630</v>
      </c>
      <c r="E5056" s="1" t="str">
        <f>"大连东软信息学院"</f>
        <v>大连东软信息学院</v>
      </c>
      <c r="F5056" s="1" t="str">
        <f>"数字媒体艺术"</f>
        <v>数字媒体艺术</v>
      </c>
      <c r="G5056" s="1" t="str">
        <f>"河南省南阳市内乡县"</f>
        <v>河南省南阳市内乡县</v>
      </c>
      <c r="H5056" s="1" t="str">
        <f t="shared" si="2489"/>
        <v>无</v>
      </c>
      <c r="I5056" s="1" t="str">
        <f>"201509-201906 大连东软信息学院  数字媒体艺术 就读
学历类别：高等教育自学考试"</f>
        <v>201509-201906 大连东软信息学院  数字媒体艺术 就读
学历类别：高等教育自学考试</v>
      </c>
    </row>
    <row r="5057" spans="1:9">
      <c r="A5057" s="1" t="str">
        <f>"411327199903203314"</f>
        <v>411327199903203314</v>
      </c>
      <c r="B5057" s="1" t="str">
        <f t="shared" si="2493"/>
        <v>共青团员</v>
      </c>
      <c r="C5057" s="1" t="str">
        <f t="shared" si="2492"/>
        <v>本科</v>
      </c>
      <c r="D5057" s="1" t="str">
        <f>"20200701"</f>
        <v>20200701</v>
      </c>
      <c r="E5057" s="1" t="str">
        <f>"河南科技大学"</f>
        <v>河南科技大学</v>
      </c>
      <c r="F5057" s="1" t="str">
        <f>"食品科学与工程"</f>
        <v>食品科学与工程</v>
      </c>
      <c r="G5057" s="1" t="str">
        <f>"河南省南阳市内乡县公园西里小区"</f>
        <v>河南省南阳市内乡县公园西里小区</v>
      </c>
      <c r="H5057" s="1" t="str">
        <f t="shared" si="2489"/>
        <v>无</v>
      </c>
      <c r="I5057" s="1" t="str">
        <f>"201609-202007 河南科技大学就读
202008-202110 在家待业
202111-至今 岞&amp;#174640;镇人民政府"</f>
        <v>201609-202007 河南科技大学就读
202008-202110 在家待业
202111-至今 岞&amp;#174640;镇人民政府</v>
      </c>
    </row>
    <row r="5058" spans="1:9">
      <c r="A5058" s="1" t="str">
        <f>"411327199606173729"</f>
        <v>411327199606173729</v>
      </c>
      <c r="B5058" s="1" t="str">
        <f>"群众"</f>
        <v>群众</v>
      </c>
      <c r="C5058" s="1" t="str">
        <f t="shared" si="2492"/>
        <v>本科</v>
      </c>
      <c r="D5058" s="1" t="str">
        <f>"2021.06"</f>
        <v>2021.06</v>
      </c>
      <c r="E5058" s="1" t="str">
        <f>"河南师范大学"</f>
        <v>河南师范大学</v>
      </c>
      <c r="F5058" s="1" t="str">
        <f>"酒店管理"</f>
        <v>酒店管理</v>
      </c>
      <c r="G5058" s="1" t="str">
        <f>"河南省南阳市内乡县桃溪镇吴沟村小吴沟组3号"</f>
        <v>河南省南阳市内乡县桃溪镇吴沟村小吴沟组3号</v>
      </c>
      <c r="H5058" s="1" t="str">
        <f t="shared" si="2489"/>
        <v>无</v>
      </c>
      <c r="I5058" s="1" t="str">
        <f>"201709-202106 河南师范大学旅游学院酒店管理专业就读，是全日制学历；202106-202109郑州高途公司任助教老师；202109-202507内乡县一所初中任语文教师"</f>
        <v>201709-202106 河南师范大学旅游学院酒店管理专业就读，是全日制学历；202106-202109郑州高途公司任助教老师；202109-202507内乡县一所初中任语文教师</v>
      </c>
    </row>
    <row r="5059" spans="1:9">
      <c r="A5059" s="1" t="str">
        <f>"411526200301020713"</f>
        <v>411526200301020713</v>
      </c>
      <c r="B5059" s="1" t="str">
        <f t="shared" si="2493"/>
        <v>共青团员</v>
      </c>
      <c r="C5059" s="1" t="str">
        <f t="shared" si="2492"/>
        <v>本科</v>
      </c>
      <c r="D5059" s="1" t="str">
        <f>"20240625"</f>
        <v>20240625</v>
      </c>
      <c r="E5059" s="1" t="str">
        <f>"河南工业大学"</f>
        <v>河南工业大学</v>
      </c>
      <c r="F5059" s="1" t="str">
        <f>"电子信息工程"</f>
        <v>电子信息工程</v>
      </c>
      <c r="G5059" s="1" t="str">
        <f>"河南省信阳市潢川县定城街道新园四巷18号"</f>
        <v>河南省信阳市潢川县定城街道新园四巷18号</v>
      </c>
      <c r="H5059" s="1" t="str">
        <f t="shared" si="2489"/>
        <v>无</v>
      </c>
      <c r="I5059" s="1" t="str">
        <f>"201909-202406 河南工业大学信息科学与工程学院电子信息工程专业 就读 全日制；
202406至今未落实工作单位。"</f>
        <v>201909-202406 河南工业大学信息科学与工程学院电子信息工程专业 就读 全日制；
202406至今未落实工作单位。</v>
      </c>
    </row>
    <row r="5060" spans="1:9">
      <c r="A5060" s="1" t="str">
        <f>"411330199705173132"</f>
        <v>411330199705173132</v>
      </c>
      <c r="B5060" s="1" t="str">
        <f>"中共党员"</f>
        <v>中共党员</v>
      </c>
      <c r="C5060" s="1" t="str">
        <f t="shared" si="2492"/>
        <v>本科</v>
      </c>
      <c r="D5060" s="1" t="str">
        <f>"20200713"</f>
        <v>20200713</v>
      </c>
      <c r="E5060" s="1" t="str">
        <f>"西安理工大学高科学院"</f>
        <v>西安理工大学高科学院</v>
      </c>
      <c r="F5060" s="1" t="str">
        <f>"机械设计制造及其自动化"</f>
        <v>机械设计制造及其自动化</v>
      </c>
      <c r="G5060" s="1" t="str">
        <f>"西峡县"</f>
        <v>西峡县</v>
      </c>
      <c r="H5060" s="1" t="str">
        <f t="shared" si="2489"/>
        <v>无</v>
      </c>
      <c r="I5060" s="1" t="str">
        <f>"201609-202007 西安理工大学高科学院就读 202007-至今待业"</f>
        <v>201609-202007 西安理工大学高科学院就读 202007-至今待业</v>
      </c>
    </row>
    <row r="5061" spans="1:9">
      <c r="A5061" s="1" t="str">
        <f>"411323200103216336"</f>
        <v>411323200103216336</v>
      </c>
      <c r="B5061" s="1" t="str">
        <f>"共青团员"</f>
        <v>共青团员</v>
      </c>
      <c r="C5061" s="1" t="str">
        <f>"专科"</f>
        <v>专科</v>
      </c>
      <c r="D5061" s="1" t="str">
        <f>"20220607"</f>
        <v>20220607</v>
      </c>
      <c r="E5061" s="1" t="str">
        <f>"天津海运职业学院"</f>
        <v>天津海运职业学院</v>
      </c>
      <c r="F5061" s="1" t="str">
        <f>"航海技术"</f>
        <v>航海技术</v>
      </c>
      <c r="G5061" s="1" t="str">
        <f>"河南省南阳市淅川县厚坡镇"</f>
        <v>河南省南阳市淅川县厚坡镇</v>
      </c>
      <c r="H5061" s="1" t="str">
        <f t="shared" si="2489"/>
        <v>无</v>
      </c>
      <c r="I5061" s="1" t="str">
        <f>"201909-202206天津海运职业学院就读航海技术专业是全日制学历"</f>
        <v>201909-202206天津海运职业学院就读航海技术专业是全日制学历</v>
      </c>
    </row>
    <row r="5062" spans="1:9">
      <c r="A5062" s="1" t="str">
        <f>"41090119960705552X"</f>
        <v>41090119960705552X</v>
      </c>
      <c r="B5062" s="1" t="str">
        <f>"中共党员"</f>
        <v>中共党员</v>
      </c>
      <c r="C5062" s="1" t="str">
        <f>"硕士研究生"</f>
        <v>硕士研究生</v>
      </c>
      <c r="D5062" s="1" t="str">
        <f>"20200825"</f>
        <v>20200825</v>
      </c>
      <c r="E5062" s="1" t="str">
        <f>"新西兰林肯大学"</f>
        <v>新西兰林肯大学</v>
      </c>
      <c r="F5062" s="1" t="str">
        <f>"全球管理与市场营销"</f>
        <v>全球管理与市场营销</v>
      </c>
      <c r="G5062" s="1" t="str">
        <f>"河南省南阳市内乡县卫生酒家"</f>
        <v>河南省南阳市内乡县卫生酒家</v>
      </c>
      <c r="H5062" s="1" t="str">
        <f t="shared" si="2489"/>
        <v>无</v>
      </c>
      <c r="I5062" s="1" t="str">
        <f>"2014.09--2017.07 西安翻译学院商务英语专业学习
2017.07--2018.02 待业
2018.02--2019.02 新西兰坎特伯雷学院市场营销与销售专业学习
2019.02--2020.08 新西兰林肯大学全球管理与市场营销专业学习
2020.08--2022.03 牧原肉食品有限公司区域运营负责人
2022.03--2023.07 待业
2023.07-- 2025.07   河南省邓州市民政局干部"</f>
        <v>2014.09--2017.07 西安翻译学院商务英语专业学习
2017.07--2018.02 待业
2018.02--2019.02 新西兰坎特伯雷学院市场营销与销售专业学习
2019.02--2020.08 新西兰林肯大学全球管理与市场营销专业学习
2020.08--2022.03 牧原肉食品有限公司区域运营负责人
2022.03--2023.07 待业
2023.07-- 2025.07   河南省邓州市民政局干部</v>
      </c>
    </row>
    <row r="5063" spans="1:9">
      <c r="A5063" s="1" t="str">
        <f>"411326200303135820"</f>
        <v>411326200303135820</v>
      </c>
      <c r="B5063" s="1" t="str">
        <f t="shared" ref="B5063:B5067" si="2494">"群众"</f>
        <v>群众</v>
      </c>
      <c r="C5063" s="1" t="str">
        <f t="shared" ref="C5063:C5066" si="2495">"本科"</f>
        <v>本科</v>
      </c>
      <c r="D5063" s="1" t="str">
        <f>"2025年6月30"</f>
        <v>2025年6月30</v>
      </c>
      <c r="E5063" s="1" t="str">
        <f>"绥化学院"</f>
        <v>绥化学院</v>
      </c>
      <c r="F5063" s="1" t="str">
        <f>"环境设计"</f>
        <v>环境设计</v>
      </c>
      <c r="G5063" s="1" t="str">
        <f>"河南省南阳市南召县乔端镇"</f>
        <v>河南省南阳市南召县乔端镇</v>
      </c>
      <c r="H5063" s="1" t="str">
        <f t="shared" si="2489"/>
        <v>无</v>
      </c>
      <c r="I5063" s="1" t="str">
        <f>"2021年09月至2025年06月在绥化学院艺术设计学院环境设计专业就读，是全日制学历"</f>
        <v>2021年09月至2025年06月在绥化学院艺术设计学院环境设计专业就读，是全日制学历</v>
      </c>
    </row>
    <row r="5064" spans="1:9">
      <c r="A5064" s="1" t="str">
        <f>"420621199803104836"</f>
        <v>420621199803104836</v>
      </c>
      <c r="B5064" s="1" t="str">
        <f t="shared" si="2494"/>
        <v>群众</v>
      </c>
      <c r="C5064" s="1" t="str">
        <f t="shared" si="2495"/>
        <v>本科</v>
      </c>
      <c r="D5064" s="1" t="str">
        <f>"2020-06-28"</f>
        <v>2020-06-28</v>
      </c>
      <c r="E5064" s="1" t="str">
        <f>"宁夏理工学院"</f>
        <v>宁夏理工学院</v>
      </c>
      <c r="F5064" s="1" t="str">
        <f>"计算机科学与技术"</f>
        <v>计算机科学与技术</v>
      </c>
      <c r="G5064" s="1" t="str">
        <f>"南阳市北京路铁道嘉园一号楼二单元1401"</f>
        <v>南阳市北京路铁道嘉园一号楼二单元1401</v>
      </c>
      <c r="H5064" s="1" t="str">
        <f>"计算机java二级"</f>
        <v>计算机java二级</v>
      </c>
      <c r="I5064" s="1" t="str">
        <f>"201609-202006 宁夏理工学院 计算机科学与工程学院 计算机科学与技术专业 全日制。
202006-至今 待业"</f>
        <v>201609-202006 宁夏理工学院 计算机科学与工程学院 计算机科学与技术专业 全日制。
202006-至今 待业</v>
      </c>
    </row>
    <row r="5065" spans="1:9">
      <c r="A5065" s="1" t="str">
        <f>"411524199905044742"</f>
        <v>411524199905044742</v>
      </c>
      <c r="B5065" s="1" t="str">
        <f t="shared" si="2494"/>
        <v>群众</v>
      </c>
      <c r="C5065" s="1" t="str">
        <f t="shared" si="2495"/>
        <v>本科</v>
      </c>
      <c r="D5065" s="1" t="str">
        <f>"20220607"</f>
        <v>20220607</v>
      </c>
      <c r="E5065" s="1" t="str">
        <f>"郑州商学院"</f>
        <v>郑州商学院</v>
      </c>
      <c r="F5065" s="1" t="str">
        <f>"工商管理专业"</f>
        <v>工商管理专业</v>
      </c>
      <c r="G5065" s="1" t="str">
        <f>"河南省信阳市商城县"</f>
        <v>河南省信阳市商城县</v>
      </c>
      <c r="H5065" s="1" t="str">
        <f t="shared" ref="H5065:H5069" si="2496">"无"</f>
        <v>无</v>
      </c>
      <c r="I5065" s="1" t="str">
        <f>"201709-202006开封大学就读投资理财专科
202009-202206郑州商学院就读工商管理本科
202207-202210在河南省信阳市待业
202211至今商城县总工会社会工作者"</f>
        <v>201709-202006开封大学就读投资理财专科
202009-202206郑州商学院就读工商管理本科
202207-202210在河南省信阳市待业
202211至今商城县总工会社会工作者</v>
      </c>
    </row>
    <row r="5066" spans="1:9">
      <c r="A5066" s="1" t="str">
        <f>"411327199811101169"</f>
        <v>411327199811101169</v>
      </c>
      <c r="B5066" s="1" t="str">
        <f t="shared" si="2494"/>
        <v>群众</v>
      </c>
      <c r="C5066" s="1" t="str">
        <f t="shared" si="2495"/>
        <v>本科</v>
      </c>
      <c r="D5066" s="1" t="str">
        <f>"202107"</f>
        <v>202107</v>
      </c>
      <c r="E5066" s="1" t="str">
        <f>"郑州大学西亚斯国际学院"</f>
        <v>郑州大学西亚斯国际学院</v>
      </c>
      <c r="F5066" s="1" t="str">
        <f>"财务管理"</f>
        <v>财务管理</v>
      </c>
      <c r="G5066" s="1" t="str">
        <f>"河南省南阳市内乡县赤眉镇街南"</f>
        <v>河南省南阳市内乡县赤眉镇街南</v>
      </c>
      <c r="H5066" s="1" t="str">
        <f>"初级会计从业资格证"</f>
        <v>初级会计从业资格证</v>
      </c>
      <c r="I5066" s="1" t="str">
        <f>"2017-2021在郑州大学西亚斯国际学院上本科；
2021-2023在新希望集团负责前线财务工作；
2023-2024在牧原集团任职核算管理岗。"</f>
        <v>2017-2021在郑州大学西亚斯国际学院上本科；
2021-2023在新希望集团负责前线财务工作；
2023-2024在牧原集团任职核算管理岗。</v>
      </c>
    </row>
    <row r="5067" spans="1:9">
      <c r="A5067" s="1" t="str">
        <f>"411327200210070075"</f>
        <v>411327200210070075</v>
      </c>
      <c r="B5067" s="1" t="str">
        <f t="shared" si="2494"/>
        <v>群众</v>
      </c>
      <c r="C5067" s="1" t="str">
        <f>"专科"</f>
        <v>专科</v>
      </c>
      <c r="D5067" s="1" t="str">
        <f>"20240701"</f>
        <v>20240701</v>
      </c>
      <c r="E5067" s="1" t="str">
        <f>"安阳职业技术学院"</f>
        <v>安阳职业技术学院</v>
      </c>
      <c r="F5067" s="1" t="str">
        <f>"计算机网络技术（网络建设与运维）"</f>
        <v>计算机网络技术（网络建设与运维）</v>
      </c>
      <c r="G5067" s="1" t="str">
        <f>"河南省南阳市内乡县和谐小区"</f>
        <v>河南省南阳市内乡县和谐小区</v>
      </c>
      <c r="H5067" s="1" t="str">
        <f t="shared" si="2496"/>
        <v>无</v>
      </c>
      <c r="I5067" s="1" t="str">
        <f>"20210901--20240701安阳职业技术学院信息工程系计算机网络技术（网络建设与运维）就读   全日制
20240701开始待业"</f>
        <v>20210901--20240701安阳职业技术学院信息工程系计算机网络技术（网络建设与运维）就读   全日制
20240701开始待业</v>
      </c>
    </row>
    <row r="5068" spans="1:9">
      <c r="A5068" s="1" t="str">
        <f>"410823200208260014"</f>
        <v>410823200208260014</v>
      </c>
      <c r="B5068" s="1" t="str">
        <f>"共青团员"</f>
        <v>共青团员</v>
      </c>
      <c r="C5068" s="1" t="str">
        <f t="shared" ref="C5068:C5080" si="2497">"本科"</f>
        <v>本科</v>
      </c>
      <c r="D5068" s="1" t="str">
        <f>"20240618"</f>
        <v>20240618</v>
      </c>
      <c r="E5068" s="1" t="str">
        <f>"河南农业大学"</f>
        <v>河南农业大学</v>
      </c>
      <c r="F5068" s="1" t="str">
        <f>"工商管理"</f>
        <v>工商管理</v>
      </c>
      <c r="G5068" s="1" t="str">
        <f>"河南省焦作市武陟县龙源国际小区"</f>
        <v>河南省焦作市武陟县龙源国际小区</v>
      </c>
      <c r="H5068" s="1" t="str">
        <f t="shared" si="2496"/>
        <v>无</v>
      </c>
      <c r="I5068" s="1" t="str">
        <f>"202009-202406 河南农业大学经济与管理学院工商管理专业就读，全日制本科学历
202406-至今 待业"</f>
        <v>202009-202406 河南农业大学经济与管理学院工商管理专业就读，全日制本科学历
202406-至今 待业</v>
      </c>
    </row>
    <row r="5069" spans="1:9">
      <c r="A5069" s="1" t="str">
        <f>"411327199710240039"</f>
        <v>411327199710240039</v>
      </c>
      <c r="B5069" s="1" t="str">
        <f>"共青团员"</f>
        <v>共青团员</v>
      </c>
      <c r="C5069" s="1" t="str">
        <f>"专科"</f>
        <v>专科</v>
      </c>
      <c r="D5069" s="1" t="str">
        <f>"20180701"</f>
        <v>20180701</v>
      </c>
      <c r="E5069" s="1" t="str">
        <f>"河南工程学院"</f>
        <v>河南工程学院</v>
      </c>
      <c r="F5069" s="1" t="str">
        <f>"现代纺织技术"</f>
        <v>现代纺织技术</v>
      </c>
      <c r="G5069" s="1" t="str">
        <f>"河南省南阳市内乡县城关镇南园村南园北路1号"</f>
        <v>河南省南阳市内乡县城关镇南园村南园北路1号</v>
      </c>
      <c r="H5069" s="1" t="str">
        <f t="shared" si="2496"/>
        <v>无</v>
      </c>
      <c r="I5069" s="1" t="str">
        <f>"20150901-20180701 河南工程学院  就读  全日制学历"</f>
        <v>20150901-20180701 河南工程学院  就读  全日制学历</v>
      </c>
    </row>
    <row r="5070" spans="1:9">
      <c r="A5070" s="1" t="str">
        <f>"41132720020320352X"</f>
        <v>41132720020320352X</v>
      </c>
      <c r="B5070" s="1" t="str">
        <f>"中共党员"</f>
        <v>中共党员</v>
      </c>
      <c r="C5070" s="1" t="str">
        <f t="shared" si="2497"/>
        <v>本科</v>
      </c>
      <c r="D5070" s="1" t="str">
        <f>"20250607"</f>
        <v>20250607</v>
      </c>
      <c r="E5070" s="1" t="str">
        <f>"安阳学院"</f>
        <v>安阳学院</v>
      </c>
      <c r="F5070" s="1" t="str">
        <f>"汉语言文学"</f>
        <v>汉语言文学</v>
      </c>
      <c r="G5070" s="1" t="str">
        <f>"河南省南阳市内乡县板厂乡板厂村王庄组"</f>
        <v>河南省南阳市内乡县板厂乡板厂村王庄组</v>
      </c>
      <c r="H5070" s="1" t="str">
        <f>"讲解员"</f>
        <v>讲解员</v>
      </c>
      <c r="I5070" s="1" t="str">
        <f>"202009-202306 商丘职业技术学院师范学院语文教育专业就读
202309-202506 安阳学院文法学院汉语言文学就读"</f>
        <v>202009-202306 商丘职业技术学院师范学院语文教育专业就读
202309-202506 安阳学院文法学院汉语言文学就读</v>
      </c>
    </row>
    <row r="5071" spans="1:9">
      <c r="A5071" s="1" t="str">
        <f>"411327200208164216"</f>
        <v>411327200208164216</v>
      </c>
      <c r="B5071" s="1" t="str">
        <f t="shared" ref="B5071:B5073" si="2498">"群众"</f>
        <v>群众</v>
      </c>
      <c r="C5071" s="1" t="str">
        <f t="shared" si="2497"/>
        <v>本科</v>
      </c>
      <c r="D5071" s="1" t="str">
        <f>"20240630"</f>
        <v>20240630</v>
      </c>
      <c r="E5071" s="1" t="str">
        <f>"郑州大学"</f>
        <v>郑州大学</v>
      </c>
      <c r="F5071" s="1" t="str">
        <f>"公共事业管理（体育管理）"</f>
        <v>公共事业管理（体育管理）</v>
      </c>
      <c r="G5071" s="1" t="str">
        <f>"河南省南阳市内乡县余关乡麦山村"</f>
        <v>河南省南阳市内乡县余关乡麦山村</v>
      </c>
      <c r="H5071" s="1" t="str">
        <f t="shared" ref="H5071:H5075" si="2499">"无"</f>
        <v>无</v>
      </c>
      <c r="I5071" s="1" t="str">
        <f>"202009-202406 郑州大学体育学院体育新闻与管理系 公共事业管理（体育管理）就读，全日制
202406-至今 待业"</f>
        <v>202009-202406 郑州大学体育学院体育新闻与管理系 公共事业管理（体育管理）就读，全日制
202406-至今 待业</v>
      </c>
    </row>
    <row r="5072" spans="1:9">
      <c r="A5072" s="1" t="str">
        <f>"411327199505173148"</f>
        <v>411327199505173148</v>
      </c>
      <c r="B5072" s="1" t="str">
        <f t="shared" si="2498"/>
        <v>群众</v>
      </c>
      <c r="C5072" s="1" t="str">
        <f t="shared" si="2497"/>
        <v>本科</v>
      </c>
      <c r="D5072" s="1" t="str">
        <f>"20180601"</f>
        <v>20180601</v>
      </c>
      <c r="E5072" s="1" t="str">
        <f>"郑州师范学院"</f>
        <v>郑州师范学院</v>
      </c>
      <c r="F5072" s="1" t="str">
        <f>"广播电视学"</f>
        <v>广播电视学</v>
      </c>
      <c r="G5072" s="1" t="str">
        <f>"河南省南阳市内乡县夏馆镇"</f>
        <v>河南省南阳市内乡县夏馆镇</v>
      </c>
      <c r="H5072" s="1" t="str">
        <f>"高级营养师证"</f>
        <v>高级营养师证</v>
      </c>
      <c r="I5072" s="1" t="str">
        <f>"201409-201806 就读于郑州师范学院，全日制。
201806--202007  工作于一代宗师，任职于文案编辑。
202008-202212    工作于以备科技有限公司，任职文案策划及新媒体运营。
202306-202506   工作于内乡郦都学校，任职初中部政治老师"</f>
        <v>201409-201806 就读于郑州师范学院，全日制。
201806--202007  工作于一代宗师，任职于文案编辑。
202008-202212    工作于以备科技有限公司，任职文案策划及新媒体运营。
202306-202506   工作于内乡郦都学校，任职初中部政治老师</v>
      </c>
    </row>
    <row r="5073" spans="1:9">
      <c r="A5073" s="1" t="str">
        <f>"411281200105045022"</f>
        <v>411281200105045022</v>
      </c>
      <c r="B5073" s="1" t="str">
        <f t="shared" si="2498"/>
        <v>群众</v>
      </c>
      <c r="C5073" s="1" t="str">
        <f t="shared" si="2497"/>
        <v>本科</v>
      </c>
      <c r="D5073" s="1" t="str">
        <f>"2023-06-20"</f>
        <v>2023-06-20</v>
      </c>
      <c r="E5073" s="1" t="str">
        <f>"哈尔滨理工大学"</f>
        <v>哈尔滨理工大学</v>
      </c>
      <c r="F5073" s="1" t="str">
        <f>"计算机科学与技术"</f>
        <v>计算机科学与技术</v>
      </c>
      <c r="G5073" s="1" t="str">
        <f>"河南省三门峡义马市东区街道常苑社区西二区47号楼"</f>
        <v>河南省三门峡义马市东区街道常苑社区西二区47号楼</v>
      </c>
      <c r="H5073" s="1" t="str">
        <f t="shared" si="2499"/>
        <v>无</v>
      </c>
      <c r="I5073" s="1" t="str">
        <f>"2019年09月-2023年06月 哈尔滨理工大学 计算机科学与技术学院计算机科学与技术专业 全日制学历
2023年06月-至今 河南省三门峡义马市 待业"</f>
        <v>2019年09月-2023年06月 哈尔滨理工大学 计算机科学与技术学院计算机科学与技术专业 全日制学历
2023年06月-至今 河南省三门峡义马市 待业</v>
      </c>
    </row>
    <row r="5074" spans="1:9">
      <c r="A5074" s="1" t="str">
        <f>"411327199812260620"</f>
        <v>411327199812260620</v>
      </c>
      <c r="B5074" s="1" t="str">
        <f t="shared" ref="B5074:B5078" si="2500">"共青团员"</f>
        <v>共青团员</v>
      </c>
      <c r="C5074" s="1" t="str">
        <f t="shared" si="2497"/>
        <v>本科</v>
      </c>
      <c r="D5074" s="1" t="str">
        <f>"2021.07"</f>
        <v>2021.07</v>
      </c>
      <c r="E5074" s="1" t="str">
        <f>"郑州财经学院"</f>
        <v>郑州财经学院</v>
      </c>
      <c r="F5074" s="1" t="str">
        <f>"国际经济与贸易"</f>
        <v>国际经济与贸易</v>
      </c>
      <c r="G5074" s="1" t="str">
        <f>"河南省南阳市内乡县马山口镇打磨岗村西头26号"</f>
        <v>河南省南阳市内乡县马山口镇打磨岗村西头26号</v>
      </c>
      <c r="H5074" s="1" t="str">
        <f t="shared" si="2499"/>
        <v>无</v>
      </c>
      <c r="I5074" s="1" t="str">
        <f>"201709-202107郑州财经学院 商学院 国际经济与贸易专业
202104-202207 邓州市城区八初中实习 教师
202208-202307 邓州市范仲淹公学 高中教师
2023.8-2025.8 待业"</f>
        <v>201709-202107郑州财经学院 商学院 国际经济与贸易专业
202104-202207 邓州市城区八初中实习 教师
202208-202307 邓州市范仲淹公学 高中教师
2023.8-2025.8 待业</v>
      </c>
    </row>
    <row r="5075" spans="1:9">
      <c r="A5075" s="1" t="str">
        <f>"410221199801061816"</f>
        <v>410221199801061816</v>
      </c>
      <c r="B5075" s="1" t="str">
        <f t="shared" si="2500"/>
        <v>共青团员</v>
      </c>
      <c r="C5075" s="1" t="str">
        <f t="shared" si="2497"/>
        <v>本科</v>
      </c>
      <c r="D5075" s="1" t="str">
        <f>"20210701"</f>
        <v>20210701</v>
      </c>
      <c r="E5075" s="1" t="str">
        <f>"郑州航空工业管理学院"</f>
        <v>郑州航空工业管理学院</v>
      </c>
      <c r="F5075" s="1" t="str">
        <f>"贸易经济"</f>
        <v>贸易经济</v>
      </c>
      <c r="G5075" s="1" t="str">
        <f>"河南省开封市杞县邢口镇姜楼村"</f>
        <v>河南省开封市杞县邢口镇姜楼村</v>
      </c>
      <c r="H5075" s="1" t="str">
        <f t="shared" si="2499"/>
        <v>无</v>
      </c>
      <c r="I5075" s="1" t="str">
        <f>"201607-202107郑州航空工业管理学院经济学院贸易经济专业就读，全日制学历。202107-至今待业。"</f>
        <v>201607-202107郑州航空工业管理学院经济学院贸易经济专业就读，全日制学历。202107-至今待业。</v>
      </c>
    </row>
    <row r="5076" spans="1:9">
      <c r="A5076" s="1" t="str">
        <f>"411327199007042102"</f>
        <v>411327199007042102</v>
      </c>
      <c r="B5076" s="1" t="str">
        <f t="shared" ref="B5076:B5081" si="2501">"群众"</f>
        <v>群众</v>
      </c>
      <c r="C5076" s="1" t="str">
        <f t="shared" si="2497"/>
        <v>本科</v>
      </c>
      <c r="D5076" s="1" t="str">
        <f t="shared" ref="D5076:D5081" si="2502">"20220701"</f>
        <v>20220701</v>
      </c>
      <c r="E5076" s="1" t="str">
        <f>"南阳师范学院"</f>
        <v>南阳师范学院</v>
      </c>
      <c r="F5076" s="1" t="str">
        <f>"教育学"</f>
        <v>教育学</v>
      </c>
      <c r="G5076" s="1" t="str">
        <f>"河南省南阳市内乡县左岸皇朝"</f>
        <v>河南省南阳市内乡县左岸皇朝</v>
      </c>
      <c r="H5076" s="1" t="str">
        <f>"中小学三级教师"</f>
        <v>中小学三级教师</v>
      </c>
      <c r="I5076" s="1" t="str">
        <f>"2008年-2010年 郑州电子信息职业技术学院   电子商务  全日制
2020年-2022年  南阳师范学院                         教育学    函 授
2017年-至今    内乡县菊潭学校小学部任教"</f>
        <v>2008年-2010年 郑州电子信息职业技术学院   电子商务  全日制
2020年-2022年  南阳师范学院                         教育学    函 授
2017年-至今    内乡县菊潭学校小学部任教</v>
      </c>
    </row>
    <row r="5077" spans="1:9">
      <c r="A5077" s="1" t="str">
        <f>"411327200003024965"</f>
        <v>411327200003024965</v>
      </c>
      <c r="B5077" s="1" t="str">
        <f>"中共党员"</f>
        <v>中共党员</v>
      </c>
      <c r="C5077" s="1" t="str">
        <f t="shared" si="2497"/>
        <v>本科</v>
      </c>
      <c r="D5077" s="1" t="str">
        <f>"20220610"</f>
        <v>20220610</v>
      </c>
      <c r="E5077" s="1" t="str">
        <f>"防灾科技学院"</f>
        <v>防灾科技学院</v>
      </c>
      <c r="F5077" s="1" t="str">
        <f>"物联网工程"</f>
        <v>物联网工程</v>
      </c>
      <c r="G5077" s="1" t="str">
        <f>"河南省内乡县灌涨镇刘营村刘营北2号"</f>
        <v>河南省内乡县灌涨镇刘营村刘营北2号</v>
      </c>
      <c r="H5077" s="1" t="str">
        <f t="shared" ref="H5077:H5084" si="2503">"无"</f>
        <v>无</v>
      </c>
      <c r="I5077" s="1" t="str">
        <f>"201809-202206  防灾科技学院 物联网工程专业学习，全日制学历
202207-202312  北京流金岁月传媒科技股份有限公司工作，岗位测试工程师
202401-202507  待业"</f>
        <v>201809-202206  防灾科技学院 物联网工程专业学习，全日制学历
202207-202312  北京流金岁月传媒科技股份有限公司工作，岗位测试工程师
202401-202507  待业</v>
      </c>
    </row>
    <row r="5078" spans="1:9">
      <c r="A5078" s="1" t="str">
        <f>"411327200206154516"</f>
        <v>411327200206154516</v>
      </c>
      <c r="B5078" s="1" t="str">
        <f t="shared" si="2500"/>
        <v>共青团员</v>
      </c>
      <c r="C5078" s="1" t="str">
        <f t="shared" si="2497"/>
        <v>本科</v>
      </c>
      <c r="D5078" s="1" t="str">
        <f>"20240615"</f>
        <v>20240615</v>
      </c>
      <c r="E5078" s="1" t="str">
        <f>"宁夏理工学院"</f>
        <v>宁夏理工学院</v>
      </c>
      <c r="F5078" s="1" t="str">
        <f>"计算机科学与技术"</f>
        <v>计算机科学与技术</v>
      </c>
      <c r="G5078" s="1" t="str">
        <f>"河南省南阳市内乡县赵店乡长岭村山家呀组"</f>
        <v>河南省南阳市内乡县赵店乡长岭村山家呀组</v>
      </c>
      <c r="H5078" s="1" t="str">
        <f t="shared" si="2503"/>
        <v>无</v>
      </c>
      <c r="I5078" s="1" t="str">
        <f>"202009-202406在宁夏理工学院 计算机科学与工程学院 计算机科学与技术专业就读 全日制学历"</f>
        <v>202009-202406在宁夏理工学院 计算机科学与工程学院 计算机科学与技术专业就读 全日制学历</v>
      </c>
    </row>
    <row r="5079" spans="1:9">
      <c r="A5079" s="1" t="str">
        <f>"411330200006214826"</f>
        <v>411330200006214826</v>
      </c>
      <c r="B5079" s="1" t="str">
        <f>"中共党员"</f>
        <v>中共党员</v>
      </c>
      <c r="C5079" s="1" t="str">
        <f t="shared" si="2497"/>
        <v>本科</v>
      </c>
      <c r="D5079" s="1" t="str">
        <f t="shared" si="2502"/>
        <v>20220701</v>
      </c>
      <c r="E5079" s="1" t="str">
        <f>"黄河科技学院"</f>
        <v>黄河科技学院</v>
      </c>
      <c r="F5079" s="1" t="str">
        <f>"医学影像技术"</f>
        <v>医学影像技术</v>
      </c>
      <c r="G5079" s="1" t="str">
        <f>"西峡县五里桥镇静逸庄园"</f>
        <v>西峡县五里桥镇静逸庄园</v>
      </c>
      <c r="H5079" s="1" t="str">
        <f t="shared" si="2503"/>
        <v>无</v>
      </c>
      <c r="I5079" s="1" t="str">
        <f>"201809-202207 黄河科技学院就读 全日制本科
202207至今待业"</f>
        <v>201809-202207 黄河科技学院就读 全日制本科
202207至今待业</v>
      </c>
    </row>
    <row r="5080" spans="1:9">
      <c r="A5080" s="1" t="str">
        <f>"411327200005140054"</f>
        <v>411327200005140054</v>
      </c>
      <c r="B5080" s="1" t="str">
        <f t="shared" si="2501"/>
        <v>群众</v>
      </c>
      <c r="C5080" s="1" t="str">
        <f t="shared" si="2497"/>
        <v>本科</v>
      </c>
      <c r="D5080" s="1" t="str">
        <f>"2023-07-01"</f>
        <v>2023-07-01</v>
      </c>
      <c r="E5080" s="1" t="str">
        <f>"河南工程学院"</f>
        <v>河南工程学院</v>
      </c>
      <c r="F5080" s="1" t="str">
        <f>"材料成型及控制工程"</f>
        <v>材料成型及控制工程</v>
      </c>
      <c r="G5080" s="1" t="str">
        <f>"南阳市内乡县实验初中对面"</f>
        <v>南阳市内乡县实验初中对面</v>
      </c>
      <c r="H5080" s="1" t="str">
        <f t="shared" si="2503"/>
        <v>无</v>
      </c>
      <c r="I5080" s="1" t="str">
        <f>"201909-292306 河南工程学院学校 机械工程学院 材料成型及控制工程专业就读，是全日制本科学历"</f>
        <v>201909-292306 河南工程学院学校 机械工程学院 材料成型及控制工程专业就读，是全日制本科学历</v>
      </c>
    </row>
    <row r="5081" spans="1:9">
      <c r="A5081" s="1" t="str">
        <f>"411325199810092050"</f>
        <v>411325199810092050</v>
      </c>
      <c r="B5081" s="1" t="str">
        <f t="shared" si="2501"/>
        <v>群众</v>
      </c>
      <c r="C5081" s="1" t="str">
        <f>"专科"</f>
        <v>专科</v>
      </c>
      <c r="D5081" s="1" t="str">
        <f t="shared" si="2502"/>
        <v>20220701</v>
      </c>
      <c r="E5081" s="1" t="str">
        <f>"河南工业职业技术学院"</f>
        <v>河南工业职业技术学院</v>
      </c>
      <c r="F5081" s="1" t="str">
        <f>"计算机应用技术"</f>
        <v>计算机应用技术</v>
      </c>
      <c r="G5081" s="1" t="str">
        <f>"河南省南阳市内乡县湍东镇金水港小区"</f>
        <v>河南省南阳市内乡县湍东镇金水港小区</v>
      </c>
      <c r="H5081" s="1" t="str">
        <f t="shared" si="2503"/>
        <v>无</v>
      </c>
      <c r="I5081" s="1" t="str">
        <f>"202003-202207在河南工业职业技术学院就读（非全日制大专）
201804-202301就职于内乡县公安局辅警职位
202302-202409就职于内乡县壹境装饰公司
202409-202506就职于内乡县中以高效农业"</f>
        <v>202003-202207在河南工业职业技术学院就读（非全日制大专）
201804-202301就职于内乡县公安局辅警职位
202302-202409就职于内乡县壹境装饰公司
202409-202506就职于内乡县中以高效农业</v>
      </c>
    </row>
    <row r="5082" spans="1:9">
      <c r="A5082" s="1" t="str">
        <f>"411523199902240418"</f>
        <v>411523199902240418</v>
      </c>
      <c r="B5082" s="1" t="str">
        <f t="shared" ref="B5082:B5084" si="2504">"共青团员"</f>
        <v>共青团员</v>
      </c>
      <c r="C5082" s="1" t="str">
        <f t="shared" ref="C5082:C5089" si="2505">"本科"</f>
        <v>本科</v>
      </c>
      <c r="D5082" s="1" t="str">
        <f>"20210701"</f>
        <v>20210701</v>
      </c>
      <c r="E5082" s="1" t="str">
        <f>"河南科技学院新科学院"</f>
        <v>河南科技学院新科学院</v>
      </c>
      <c r="F5082" s="1" t="str">
        <f>"电气工程及其自动化"</f>
        <v>电气工程及其自动化</v>
      </c>
      <c r="G5082" s="1" t="str">
        <f>"河南省新县正大怡景花园"</f>
        <v>河南省新县正大怡景花园</v>
      </c>
      <c r="H5082" s="1" t="str">
        <f t="shared" si="2503"/>
        <v>无</v>
      </c>
      <c r="I5082" s="1" t="str">
        <f>"201709-202107河南科技学院新科学院 电气工程及其自动化专业就读 全日制。
202107-202401待业
202401-至今在新县公安局工作 辅警"</f>
        <v>201709-202107河南科技学院新科学院 电气工程及其自动化专业就读 全日制。
202107-202401待业
202401-至今在新县公安局工作 辅警</v>
      </c>
    </row>
    <row r="5083" spans="1:9">
      <c r="A5083" s="1" t="str">
        <f>"411330200011074020"</f>
        <v>411330200011074020</v>
      </c>
      <c r="B5083" s="1" t="str">
        <f t="shared" si="2504"/>
        <v>共青团员</v>
      </c>
      <c r="C5083" s="1" t="str">
        <f t="shared" si="2505"/>
        <v>本科</v>
      </c>
      <c r="D5083" s="1" t="str">
        <f>"2024-07-01"</f>
        <v>2024-07-01</v>
      </c>
      <c r="E5083" s="1" t="str">
        <f>"平顶山学院"</f>
        <v>平顶山学院</v>
      </c>
      <c r="F5083" s="1" t="str">
        <f>"行政管理"</f>
        <v>行政管理</v>
      </c>
      <c r="G5083" s="1" t="str">
        <f>"河南省南阳市西峡县桑坪镇西万沟村陈家庄陈东106号"</f>
        <v>河南省南阳市西峡县桑坪镇西万沟村陈家庄陈东106号</v>
      </c>
      <c r="H5083" s="1" t="str">
        <f t="shared" si="2503"/>
        <v>无</v>
      </c>
      <c r="I5083" s="1" t="str">
        <f>"202009-202407平顶山学院就读  行政管理专业  全日制学历"</f>
        <v>202009-202407平顶山学院就读  行政管理专业  全日制学历</v>
      </c>
    </row>
    <row r="5084" spans="1:9">
      <c r="A5084" s="1" t="str">
        <f>"411321200212260499"</f>
        <v>411321200212260499</v>
      </c>
      <c r="B5084" s="1" t="str">
        <f t="shared" si="2504"/>
        <v>共青团员</v>
      </c>
      <c r="C5084" s="1" t="str">
        <f t="shared" si="2505"/>
        <v>本科</v>
      </c>
      <c r="D5084" s="1" t="str">
        <f>"20240607"</f>
        <v>20240607</v>
      </c>
      <c r="E5084" s="1" t="str">
        <f>"河南牧业经济学院"</f>
        <v>河南牧业经济学院</v>
      </c>
      <c r="F5084" s="1" t="str">
        <f>"统计学"</f>
        <v>统计学</v>
      </c>
      <c r="G5084" s="1" t="str">
        <f>"河南省南阳市南召县文化路西九号"</f>
        <v>河南省南阳市南召县文化路西九号</v>
      </c>
      <c r="H5084" s="1" t="str">
        <f t="shared" si="2503"/>
        <v>无</v>
      </c>
      <c r="I5084" s="1" t="str">
        <f>"202009-202406 河南牧业经济学院 统计学专业全日制本科就读
202406-至今 南召县待业"</f>
        <v>202009-202406 河南牧业经济学院 统计学专业全日制本科就读
202406-至今 南召县待业</v>
      </c>
    </row>
    <row r="5085" spans="1:9">
      <c r="A5085" s="1" t="str">
        <f>"411327200406021523"</f>
        <v>411327200406021523</v>
      </c>
      <c r="B5085" s="1" t="str">
        <f t="shared" ref="B5085:B5088" si="2506">"群众"</f>
        <v>群众</v>
      </c>
      <c r="C5085" s="1" t="str">
        <f t="shared" si="2505"/>
        <v>本科</v>
      </c>
      <c r="D5085" s="1" t="str">
        <f>"20260607"</f>
        <v>20260607</v>
      </c>
      <c r="E5085" s="1" t="str">
        <f>"河南农业大学"</f>
        <v>河南农业大学</v>
      </c>
      <c r="F5085" s="1" t="str">
        <f>"城乡规划（美丽乡村方向）"</f>
        <v>城乡规划（美丽乡村方向）</v>
      </c>
      <c r="G5085" s="1" t="str">
        <f>"河南省南阳市内乡县湍东镇渚阳大街"</f>
        <v>河南省南阳市内乡县湍东镇渚阳大街</v>
      </c>
      <c r="H5085" s="1" t="str">
        <f>"普通话水平测试等级二级甲等"</f>
        <v>普通话水平测试等级二级甲等</v>
      </c>
      <c r="I5085" s="1" t="str">
        <f>"202209-202606 河南农业大学许昌校区城乡规划（美丽乡村方向）就读，是全日制学历。"</f>
        <v>202209-202606 河南农业大学许昌校区城乡规划（美丽乡村方向）就读，是全日制学历。</v>
      </c>
    </row>
    <row r="5086" spans="1:9">
      <c r="A5086" s="1" t="str">
        <f>"41132720040106425X"</f>
        <v>41132720040106425X</v>
      </c>
      <c r="B5086" s="1" t="str">
        <f t="shared" si="2506"/>
        <v>群众</v>
      </c>
      <c r="C5086" s="1" t="str">
        <f t="shared" si="2505"/>
        <v>本科</v>
      </c>
      <c r="D5086" s="1" t="str">
        <f>"20260607"</f>
        <v>20260607</v>
      </c>
      <c r="E5086" s="1" t="str">
        <f>"平顶山学院"</f>
        <v>平顶山学院</v>
      </c>
      <c r="F5086" s="1" t="str">
        <f>"环境生态工程专业"</f>
        <v>环境生态工程专业</v>
      </c>
      <c r="G5086" s="1" t="str">
        <f>"河南省南阳市内乡县余关镇"</f>
        <v>河南省南阳市内乡县余关镇</v>
      </c>
      <c r="H5086" s="1" t="str">
        <f t="shared" ref="H5086:H5097" si="2507">"无"</f>
        <v>无</v>
      </c>
      <c r="I5086" s="1" t="str">
        <f>"202209-202606 平顶山学院化学与环境工程专业就读，全日制学历。"</f>
        <v>202209-202606 平顶山学院化学与环境工程专业就读，全日制学历。</v>
      </c>
    </row>
    <row r="5087" spans="1:9">
      <c r="A5087" s="1" t="str">
        <f>"411327200001084964"</f>
        <v>411327200001084964</v>
      </c>
      <c r="B5087" s="1" t="str">
        <f t="shared" si="2506"/>
        <v>群众</v>
      </c>
      <c r="C5087" s="1" t="str">
        <f t="shared" si="2505"/>
        <v>本科</v>
      </c>
      <c r="D5087" s="1" t="str">
        <f>"20190701"</f>
        <v>20190701</v>
      </c>
      <c r="E5087" s="1" t="str">
        <f>"南阳理工学院"</f>
        <v>南阳理工学院</v>
      </c>
      <c r="F5087" s="1" t="str">
        <f>"工商管理"</f>
        <v>工商管理</v>
      </c>
      <c r="G5087" s="1" t="str">
        <f>"河南省南阳市内乡县灌张镇贾营西38号"</f>
        <v>河南省南阳市内乡县灌张镇贾营西38号</v>
      </c>
      <c r="H5087" s="1" t="str">
        <f t="shared" si="2507"/>
        <v>无</v>
      </c>
      <c r="I5087" s="1" t="str">
        <f>"201909-202307 南阳理工学院 就读工商管理全日制本科
202307-至今 待业"</f>
        <v>201909-202307 南阳理工学院 就读工商管理全日制本科
202307-至今 待业</v>
      </c>
    </row>
    <row r="5088" spans="1:9">
      <c r="A5088" s="1" t="str">
        <f>"411327200401112522"</f>
        <v>411327200401112522</v>
      </c>
      <c r="B5088" s="1" t="str">
        <f t="shared" si="2506"/>
        <v>群众</v>
      </c>
      <c r="C5088" s="1" t="str">
        <f t="shared" si="2505"/>
        <v>本科</v>
      </c>
      <c r="D5088" s="1" t="str">
        <f>"20250607"</f>
        <v>20250607</v>
      </c>
      <c r="E5088" s="1" t="str">
        <f>"信阳学院"</f>
        <v>信阳学院</v>
      </c>
      <c r="F5088" s="1" t="str">
        <f>"美术学"</f>
        <v>美术学</v>
      </c>
      <c r="G5088" s="1" t="str">
        <f>"河南省南阳市内乡县菊城花园小区"</f>
        <v>河南省南阳市内乡县菊城花园小区</v>
      </c>
      <c r="H5088" s="1" t="str">
        <f t="shared" si="2507"/>
        <v>无</v>
      </c>
      <c r="I5088" s="1" t="str">
        <f>"202109-202506 信阳学院美术与设计学院美术学专业就读 是全日制学历"</f>
        <v>202109-202506 信阳学院美术与设计学院美术学专业就读 是全日制学历</v>
      </c>
    </row>
    <row r="5089" spans="1:9">
      <c r="A5089" s="1" t="str">
        <f>"412727199903067781"</f>
        <v>412727199903067781</v>
      </c>
      <c r="B5089" s="1" t="str">
        <f>"中共党员"</f>
        <v>中共党员</v>
      </c>
      <c r="C5089" s="1" t="str">
        <f t="shared" si="2505"/>
        <v>本科</v>
      </c>
      <c r="D5089" s="1" t="str">
        <f>"20240701"</f>
        <v>20240701</v>
      </c>
      <c r="E5089" s="1" t="str">
        <f>"河南工程学院"</f>
        <v>河南工程学院</v>
      </c>
      <c r="F5089" s="1" t="str">
        <f>"市场营销"</f>
        <v>市场营销</v>
      </c>
      <c r="G5089" s="1" t="str">
        <f>"河南省周口市川汇区小桥街道择邻名苑"</f>
        <v>河南省周口市川汇区小桥街道择邻名苑</v>
      </c>
      <c r="H5089" s="1" t="str">
        <f t="shared" si="2507"/>
        <v>无</v>
      </c>
      <c r="I5089" s="1" t="str">
        <f>"201909-202207河南工业大学中英国际学院会计专业 是
202209-202407河南工程学院商学院市场营销专业 是
202407-202507在家待业"</f>
        <v>201909-202207河南工业大学中英国际学院会计专业 是
202209-202407河南工程学院商学院市场营销专业 是
202407-202507在家待业</v>
      </c>
    </row>
    <row r="5090" spans="1:9">
      <c r="A5090" s="1" t="str">
        <f>"411327200210172020"</f>
        <v>411327200210172020</v>
      </c>
      <c r="B5090" s="1" t="str">
        <f t="shared" ref="B5090:B5095" si="2508">"共青团员"</f>
        <v>共青团员</v>
      </c>
      <c r="C5090" s="1" t="str">
        <f t="shared" ref="C5090:C5092" si="2509">"专科"</f>
        <v>专科</v>
      </c>
      <c r="D5090" s="1" t="str">
        <f>"20240620"</f>
        <v>20240620</v>
      </c>
      <c r="E5090" s="1" t="str">
        <f>"商丘医学高等专科学校"</f>
        <v>商丘医学高等专科学校</v>
      </c>
      <c r="F5090" s="1" t="str">
        <f>"医学影像技术"</f>
        <v>医学影像技术</v>
      </c>
      <c r="G5090" s="1" t="str">
        <f>"河南省南阳市内乡县师岗镇江营村"</f>
        <v>河南省南阳市内乡县师岗镇江营村</v>
      </c>
      <c r="H5090" s="1" t="str">
        <f t="shared" si="2507"/>
        <v>无</v>
      </c>
      <c r="I5090" s="1" t="str">
        <f>"202109-202406 商丘医学高等专科学校 医学技术学院 医学影像技术 全日制学历"</f>
        <v>202109-202406 商丘医学高等专科学校 医学技术学院 医学影像技术 全日制学历</v>
      </c>
    </row>
    <row r="5091" spans="1:9">
      <c r="A5091" s="1" t="str">
        <f>"411303199811180046"</f>
        <v>411303199811180046</v>
      </c>
      <c r="B5091" s="1" t="str">
        <f>"群众"</f>
        <v>群众</v>
      </c>
      <c r="C5091" s="1" t="str">
        <f t="shared" si="2509"/>
        <v>专科</v>
      </c>
      <c r="D5091" s="1" t="str">
        <f>"20210630"</f>
        <v>20210630</v>
      </c>
      <c r="E5091" s="1" t="str">
        <f>"泉州幼儿师范高等专科学校"</f>
        <v>泉州幼儿师范高等专科学校</v>
      </c>
      <c r="F5091" s="1" t="str">
        <f>"学前教育专业"</f>
        <v>学前教育专业</v>
      </c>
      <c r="G5091" s="1" t="str">
        <f>"河南省南阳市卧龙区文化路218号"</f>
        <v>河南省南阳市卧龙区文化路218号</v>
      </c>
      <c r="H5091" s="1" t="str">
        <f t="shared" si="2507"/>
        <v>无</v>
      </c>
      <c r="I5091" s="1" t="str">
        <f>"201809—202106 泉州幼儿师范高等专科学校 学前教育专业"</f>
        <v>201809—202106 泉州幼儿师范高等专科学校 学前教育专业</v>
      </c>
    </row>
    <row r="5092" spans="1:9">
      <c r="A5092" s="1" t="str">
        <f>"411522200007076016"</f>
        <v>411522200007076016</v>
      </c>
      <c r="B5092" s="1" t="str">
        <f>"群众"</f>
        <v>群众</v>
      </c>
      <c r="C5092" s="1" t="str">
        <f t="shared" si="2509"/>
        <v>专科</v>
      </c>
      <c r="D5092" s="1" t="str">
        <f>"20190614"</f>
        <v>20190614</v>
      </c>
      <c r="E5092" s="1" t="str">
        <f>"苏州信息职业技术学院"</f>
        <v>苏州信息职业技术学院</v>
      </c>
      <c r="F5092" s="1" t="str">
        <f>"计算机网络技术"</f>
        <v>计算机网络技术</v>
      </c>
      <c r="G5092" s="1" t="str">
        <f>"2953257189@qq.com"</f>
        <v>2953257189@qq.com</v>
      </c>
      <c r="H5092" s="1" t="str">
        <f t="shared" si="2507"/>
        <v>无</v>
      </c>
      <c r="I5092" s="1" t="str">
        <f>"2016.09-2019.06河南省信阳市光山县第二中学分校学生
2019.09-2022.06苏州信息职业技术学院计算机网络技术专业学生 全日制
2022.06-2023.05待业
2023.04-2025.07周口师范学院法学专业学生函授 非全日制
2025.07-至今 待业"</f>
        <v>2016.09-2019.06河南省信阳市光山县第二中学分校学生
2019.09-2022.06苏州信息职业技术学院计算机网络技术专业学生 全日制
2022.06-2023.05待业
2023.04-2025.07周口师范学院法学专业学生函授 非全日制
2025.07-至今 待业</v>
      </c>
    </row>
    <row r="5093" spans="1:9">
      <c r="A5093" s="1" t="str">
        <f>"411326200304236324"</f>
        <v>411326200304236324</v>
      </c>
      <c r="B5093" s="1" t="str">
        <f t="shared" si="2508"/>
        <v>共青团员</v>
      </c>
      <c r="C5093" s="1" t="str">
        <f t="shared" ref="C5093:C5097" si="2510">"本科"</f>
        <v>本科</v>
      </c>
      <c r="D5093" s="1" t="str">
        <f>"20250630"</f>
        <v>20250630</v>
      </c>
      <c r="E5093" s="1" t="str">
        <f>"湖北民族大学"</f>
        <v>湖北民族大学</v>
      </c>
      <c r="F5093" s="1" t="str">
        <f>"社会学"</f>
        <v>社会学</v>
      </c>
      <c r="G5093" s="1" t="str">
        <f>"河南省南阳市淅川县厚坡镇卢咀村"</f>
        <v>河南省南阳市淅川县厚坡镇卢咀村</v>
      </c>
      <c r="H5093" s="1" t="str">
        <f t="shared" si="2507"/>
        <v>无</v>
      </c>
      <c r="I5093" s="1" t="str">
        <f>"202109-202506  湖北民族大学民族学与社会学学院就读，全日制学历"</f>
        <v>202109-202506  湖北民族大学民族学与社会学学院就读，全日制学历</v>
      </c>
    </row>
    <row r="5094" spans="1:9">
      <c r="A5094" s="1" t="str">
        <f>"411381200011113974"</f>
        <v>411381200011113974</v>
      </c>
      <c r="B5094" s="1" t="str">
        <f t="shared" si="2508"/>
        <v>共青团员</v>
      </c>
      <c r="C5094" s="1" t="str">
        <f>"专科"</f>
        <v>专科</v>
      </c>
      <c r="D5094" s="1" t="str">
        <f>"20210603"</f>
        <v>20210603</v>
      </c>
      <c r="E5094" s="1" t="str">
        <f>"南阳农业职业学院"</f>
        <v>南阳农业职业学院</v>
      </c>
      <c r="F5094" s="1" t="str">
        <f>"电子商务"</f>
        <v>电子商务</v>
      </c>
      <c r="G5094" s="1" t="str">
        <f>"内乡县北斗星城斜对面"</f>
        <v>内乡县北斗星城斜对面</v>
      </c>
      <c r="H5094" s="1" t="str">
        <f t="shared" si="2507"/>
        <v>无</v>
      </c>
      <c r="I5094" s="1" t="str">
        <f>"201609-202106 南阳农业职业学院就读 电子商务专业全日制大专202503待业"</f>
        <v>201609-202106 南阳农业职业学院就读 电子商务专业全日制大专202503待业</v>
      </c>
    </row>
    <row r="5095" spans="1:9">
      <c r="A5095" s="1" t="str">
        <f>"411322199911093467"</f>
        <v>411322199911093467</v>
      </c>
      <c r="B5095" s="1" t="str">
        <f t="shared" si="2508"/>
        <v>共青团员</v>
      </c>
      <c r="C5095" s="1" t="str">
        <f t="shared" si="2510"/>
        <v>本科</v>
      </c>
      <c r="D5095" s="1" t="str">
        <f>"202407"</f>
        <v>202407</v>
      </c>
      <c r="E5095" s="1" t="str">
        <f>"郑州师范"</f>
        <v>郑州师范</v>
      </c>
      <c r="F5095" s="1" t="str">
        <f>"英语"</f>
        <v>英语</v>
      </c>
      <c r="G5095" s="1" t="str">
        <f>"河南省南阳市方城县清河镇"</f>
        <v>河南省南阳市方城县清河镇</v>
      </c>
      <c r="H5095" s="1" t="str">
        <f t="shared" si="2507"/>
        <v>无</v>
      </c>
      <c r="I5095" s="1" t="str">
        <f>"201809-202107就读于河南工学院 应用英语专业   全日制
202203-202407就读于郑州师范英语专业   非全日制"</f>
        <v>201809-202107就读于河南工学院 应用英语专业   全日制
202203-202407就读于郑州师范英语专业   非全日制</v>
      </c>
    </row>
    <row r="5096" spans="1:9">
      <c r="A5096" s="1" t="str">
        <f>"411330200109061121"</f>
        <v>411330200109061121</v>
      </c>
      <c r="B5096" s="1" t="str">
        <f>"中共党员"</f>
        <v>中共党员</v>
      </c>
      <c r="C5096" s="1" t="str">
        <f t="shared" si="2510"/>
        <v>本科</v>
      </c>
      <c r="D5096" s="1" t="str">
        <f>"20240612"</f>
        <v>20240612</v>
      </c>
      <c r="E5096" s="1" t="str">
        <f>"西北农林科技大学"</f>
        <v>西北农林科技大学</v>
      </c>
      <c r="F5096" s="1" t="str">
        <f>"森林保护"</f>
        <v>森林保护</v>
      </c>
      <c r="G5096" s="1" t="str">
        <f>"河南省南阳市西峡县回车镇石梯村"</f>
        <v>河南省南阳市西峡县回车镇石梯村</v>
      </c>
      <c r="H5096" s="1" t="str">
        <f t="shared" si="2507"/>
        <v>无</v>
      </c>
      <c r="I5096" s="1" t="str">
        <f>"202009-202406 在西北农林科技大学林学院森林保护专业就读，为全日制学历
202407至今在家待业"</f>
        <v>202009-202406 在西北农林科技大学林学院森林保护专业就读，为全日制学历
202407至今在家待业</v>
      </c>
    </row>
    <row r="5097" spans="1:9">
      <c r="A5097" s="1" t="str">
        <f>"411303200208020481"</f>
        <v>411303200208020481</v>
      </c>
      <c r="B5097" s="1" t="str">
        <f t="shared" ref="B5097:B5101" si="2511">"共青团员"</f>
        <v>共青团员</v>
      </c>
      <c r="C5097" s="1" t="str">
        <f t="shared" si="2510"/>
        <v>本科</v>
      </c>
      <c r="D5097" s="1" t="str">
        <f>"20250606"</f>
        <v>20250606</v>
      </c>
      <c r="E5097" s="1" t="str">
        <f>"南阳师范学院"</f>
        <v>南阳师范学院</v>
      </c>
      <c r="F5097" s="1" t="str">
        <f>"汉语言文学"</f>
        <v>汉语言文学</v>
      </c>
      <c r="G5097" s="1" t="str">
        <f>"河南省南阳市卧龙区车站街道八一路河畔公寓"</f>
        <v>河南省南阳市卧龙区车站街道八一路河畔公寓</v>
      </c>
      <c r="H5097" s="1" t="str">
        <f t="shared" si="2507"/>
        <v>无</v>
      </c>
      <c r="I5097" s="1" t="str">
        <f>"202009-202306 周口师范学院文学院语文教育专业就读，是全日制学历
202309-202506 南阳师范学院文学院汉语言文学专业就读，是全日制学历"</f>
        <v>202009-202306 周口师范学院文学院语文教育专业就读，是全日制学历
202309-202506 南阳师范学院文学院汉语言文学专业就读，是全日制学历</v>
      </c>
    </row>
    <row r="5098" spans="1:9">
      <c r="A5098" s="1" t="str">
        <f>"411327200010262929"</f>
        <v>411327200010262929</v>
      </c>
      <c r="B5098" s="1" t="str">
        <f>"群众"</f>
        <v>群众</v>
      </c>
      <c r="C5098" s="1" t="str">
        <f>"专科"</f>
        <v>专科</v>
      </c>
      <c r="D5098" s="1" t="str">
        <f>"20210701"</f>
        <v>20210701</v>
      </c>
      <c r="E5098" s="1" t="str">
        <f>"河南职业技术学院"</f>
        <v>河南职业技术学院</v>
      </c>
      <c r="F5098" s="1" t="str">
        <f>"移动应用开发"</f>
        <v>移动应用开发</v>
      </c>
      <c r="G5098" s="1" t="str">
        <f>"南阳市内乡县瓦亭镇"</f>
        <v>南阳市内乡县瓦亭镇</v>
      </c>
      <c r="H5098" s="1" t="str">
        <f>"JAVA程序设计工程师"</f>
        <v>JAVA程序设计工程师</v>
      </c>
      <c r="I5098" s="1" t="str">
        <f>"201809-202107 河南职业技术学院 信息技术学院 移动应用开发 就读 全日制。
202107-202212 河南星之映文化传媒有限公司  前台
202301-202402 在家备考待业
202402-至今 内乡县菊潭学校 老师"</f>
        <v>201809-202107 河南职业技术学院 信息技术学院 移动应用开发 就读 全日制。
202107-202212 河南星之映文化传媒有限公司  前台
202301-202402 在家备考待业
202402-至今 内乡县菊潭学校 老师</v>
      </c>
    </row>
    <row r="5099" spans="1:9">
      <c r="A5099" s="1" t="str">
        <f>"411323200205186326"</f>
        <v>411323200205186326</v>
      </c>
      <c r="B5099" s="1" t="str">
        <f t="shared" si="2511"/>
        <v>共青团员</v>
      </c>
      <c r="C5099" s="1" t="str">
        <f t="shared" ref="C5099:C5102" si="2512">"本科"</f>
        <v>本科</v>
      </c>
      <c r="D5099" s="1" t="str">
        <f>"20250630"</f>
        <v>20250630</v>
      </c>
      <c r="E5099" s="1" t="str">
        <f>"荆州学院"</f>
        <v>荆州学院</v>
      </c>
      <c r="F5099" s="1" t="str">
        <f>"学前教育"</f>
        <v>学前教育</v>
      </c>
      <c r="G5099" s="1" t="str">
        <f>"河南省南阳市淅川县厚坡镇正阳社区"</f>
        <v>河南省南阳市淅川县厚坡镇正阳社区</v>
      </c>
      <c r="H5099" s="1" t="str">
        <f t="shared" ref="H5099:H5113" si="2513">"无"</f>
        <v>无</v>
      </c>
      <c r="I5099" s="1" t="str">
        <f>"202109-202506荆州学院教育学院学前教育专业就读，是全日制学历。"</f>
        <v>202109-202506荆州学院教育学院学前教育专业就读，是全日制学历。</v>
      </c>
    </row>
    <row r="5100" spans="1:9">
      <c r="A5100" s="1" t="str">
        <f>"411327200109084528"</f>
        <v>411327200109084528</v>
      </c>
      <c r="B5100" s="1" t="str">
        <f t="shared" si="2511"/>
        <v>共青团员</v>
      </c>
      <c r="C5100" s="1" t="str">
        <f t="shared" si="2512"/>
        <v>本科</v>
      </c>
      <c r="D5100" s="1" t="str">
        <f>"20230608"</f>
        <v>20230608</v>
      </c>
      <c r="E5100" s="1" t="str">
        <f>"河南大学民生学院"</f>
        <v>河南大学民生学院</v>
      </c>
      <c r="F5100" s="1" t="str">
        <f>"人文地理与城乡规划"</f>
        <v>人文地理与城乡规划</v>
      </c>
      <c r="G5100" s="1" t="str">
        <f>"河南省南阳市内乡县东湖家园"</f>
        <v>河南省南阳市内乡县东湖家园</v>
      </c>
      <c r="H5100" s="1" t="str">
        <f t="shared" si="2513"/>
        <v>无</v>
      </c>
      <c r="I5100" s="1" t="str">
        <f>"201909-202306 河南大学民生学院信息工程学院人文地理与城乡规划专业就读
202306至今待业"</f>
        <v>201909-202306 河南大学民生学院信息工程学院人文地理与城乡规划专业就读
202306至今待业</v>
      </c>
    </row>
    <row r="5101" spans="1:9">
      <c r="A5101" s="1" t="str">
        <f>"411327200212084526"</f>
        <v>411327200212084526</v>
      </c>
      <c r="B5101" s="1" t="str">
        <f t="shared" si="2511"/>
        <v>共青团员</v>
      </c>
      <c r="C5101" s="1" t="str">
        <f t="shared" si="2512"/>
        <v>本科</v>
      </c>
      <c r="D5101" s="1" t="str">
        <f>"20250620"</f>
        <v>20250620</v>
      </c>
      <c r="E5101" s="1" t="str">
        <f>"郑州科技学院"</f>
        <v>郑州科技学院</v>
      </c>
      <c r="F5101" s="1" t="str">
        <f>"工程造价"</f>
        <v>工程造价</v>
      </c>
      <c r="G5101" s="1" t="str">
        <f>"河南省南阳市内乡县赵店乡杜沟村刘家13号"</f>
        <v>河南省南阳市内乡县赵店乡杜沟村刘家13号</v>
      </c>
      <c r="H5101" s="1" t="str">
        <f t="shared" si="2513"/>
        <v>无</v>
      </c>
      <c r="I5101" s="1" t="str">
        <f>"202109-202506于郑州科技学院就读
202506至今待业"</f>
        <v>202109-202506于郑州科技学院就读
202506至今待业</v>
      </c>
    </row>
    <row r="5102" spans="1:9">
      <c r="A5102" s="1" t="str">
        <f>"411327199902011548"</f>
        <v>411327199902011548</v>
      </c>
      <c r="B5102" s="1" t="str">
        <f t="shared" ref="B5102:B5109" si="2514">"群众"</f>
        <v>群众</v>
      </c>
      <c r="C5102" s="1" t="str">
        <f t="shared" si="2512"/>
        <v>本科</v>
      </c>
      <c r="D5102" s="1" t="str">
        <f>"20220701"</f>
        <v>20220701</v>
      </c>
      <c r="E5102" s="1" t="str">
        <f>"郑州升达经贸管理学院"</f>
        <v>郑州升达经贸管理学院</v>
      </c>
      <c r="F5102" s="1" t="str">
        <f>"国际经济与贸易"</f>
        <v>国际经济与贸易</v>
      </c>
      <c r="G5102" s="1" t="str">
        <f>"河南省内乡县湍东镇罗岗村"</f>
        <v>河南省内乡县湍东镇罗岗村</v>
      </c>
      <c r="H5102" s="1" t="str">
        <f t="shared" si="2513"/>
        <v>无</v>
      </c>
      <c r="I5102" s="1" t="str">
        <f>"201809-202207在郑州升达经贸管理学院金融贸易学院国际经济与贸易专业就读，是全日制学历。"</f>
        <v>201809-202207在郑州升达经贸管理学院金融贸易学院国际经济与贸易专业就读，是全日制学历。</v>
      </c>
    </row>
    <row r="5103" spans="1:9">
      <c r="A5103" s="1" t="str">
        <f>"41052619970213511X"</f>
        <v>41052619970213511X</v>
      </c>
      <c r="B5103" s="1" t="str">
        <f>"中共党员"</f>
        <v>中共党员</v>
      </c>
      <c r="C5103" s="1" t="str">
        <f>"硕士研究生"</f>
        <v>硕士研究生</v>
      </c>
      <c r="D5103" s="1" t="str">
        <f>"20240630"</f>
        <v>20240630</v>
      </c>
      <c r="E5103" s="1" t="str">
        <f>"云南财经大学"</f>
        <v>云南财经大学</v>
      </c>
      <c r="F5103" s="1" t="str">
        <f>"会计"</f>
        <v>会计</v>
      </c>
      <c r="G5103" s="1" t="str">
        <f>"河南省滑县万古镇西万古村"</f>
        <v>河南省滑县万古镇西万古村</v>
      </c>
      <c r="H5103" s="1" t="str">
        <f t="shared" si="2513"/>
        <v>无</v>
      </c>
      <c r="I5103" s="1" t="str">
        <f>"201509-201906 西安交通大学城市学院 经济系金融专业 全日制
201907-202108 备考研究生
202109-202406 云南财经大学 会计学院会计专业 非全日制"</f>
        <v>201509-201906 西安交通大学城市学院 经济系金融专业 全日制
201907-202108 备考研究生
202109-202406 云南财经大学 会计学院会计专业 非全日制</v>
      </c>
    </row>
    <row r="5104" spans="1:9">
      <c r="A5104" s="1" t="str">
        <f>"41132719980209151X"</f>
        <v>41132719980209151X</v>
      </c>
      <c r="B5104" s="1" t="str">
        <f t="shared" si="2514"/>
        <v>群众</v>
      </c>
      <c r="C5104" s="1" t="str">
        <f t="shared" ref="C5104:C5111" si="2515">"本科"</f>
        <v>本科</v>
      </c>
      <c r="D5104" s="1" t="str">
        <f>"20220120"</f>
        <v>20220120</v>
      </c>
      <c r="E5104" s="1" t="str">
        <f>"国家开放大学"</f>
        <v>国家开放大学</v>
      </c>
      <c r="F5104" s="1" t="str">
        <f>"行政管理"</f>
        <v>行政管理</v>
      </c>
      <c r="G5104" s="1" t="str">
        <f>"河南省南阳市内乡县湍东镇五里堡村老乡组"</f>
        <v>河南省南阳市内乡县湍东镇五里堡村老乡组</v>
      </c>
      <c r="H5104" s="1" t="str">
        <f t="shared" si="2513"/>
        <v>无</v>
      </c>
      <c r="I5104" s="1" t="str">
        <f>"201309-201806 南阳师范学院计算机应用技术专业就读。全日制专科
201807-201809内乡县待业
201810-201903内乡县电业局就业
201904-202005内乡县待业
202005-202010余关镇人民政府就业
202010-至今在河南铝粘土矿产品批发市场内乡交易中心就业（20190301-20220120国家开放大学行政管理本科就读）"</f>
        <v>201309-201806 南阳师范学院计算机应用技术专业就读。全日制专科
201807-201809内乡县待业
201810-201903内乡县电业局就业
201904-202005内乡县待业
202005-202010余关镇人民政府就业
202010-至今在河南铝粘土矿产品批发市场内乡交易中心就业（20190301-20220120国家开放大学行政管理本科就读）</v>
      </c>
    </row>
    <row r="5105" spans="1:9">
      <c r="A5105" s="1" t="str">
        <f>"411327200011074217"</f>
        <v>411327200011074217</v>
      </c>
      <c r="B5105" s="1" t="str">
        <f>"共青团员"</f>
        <v>共青团员</v>
      </c>
      <c r="C5105" s="1" t="str">
        <f t="shared" si="2515"/>
        <v>本科</v>
      </c>
      <c r="D5105" s="1" t="str">
        <f>"20220701"</f>
        <v>20220701</v>
      </c>
      <c r="E5105" s="1" t="str">
        <f>"郑州工业应用技术学院"</f>
        <v>郑州工业应用技术学院</v>
      </c>
      <c r="F5105" s="1" t="str">
        <f>"音乐表演"</f>
        <v>音乐表演</v>
      </c>
      <c r="G5105" s="1" t="str">
        <f>"河南省内乡县余关镇余关街"</f>
        <v>河南省内乡县余关镇余关街</v>
      </c>
      <c r="H5105" s="1" t="str">
        <f t="shared" si="2513"/>
        <v>无</v>
      </c>
      <c r="I5105" s="1" t="str">
        <f>"201809-202206 郑州工业应用技术学院 音乐学院 音乐表演专业就读
202206-202212 待业
202301-202312 河南山香教育咨询有限公司
202401-202406 待业
202407-202507 郑州猿力信息科技有限公司"</f>
        <v>201809-202206 郑州工业应用技术学院 音乐学院 音乐表演专业就读
202206-202212 待业
202301-202312 河南山香教育咨询有限公司
202401-202406 待业
202407-202507 郑州猿力信息科技有限公司</v>
      </c>
    </row>
    <row r="5106" spans="1:9">
      <c r="A5106" s="1" t="str">
        <f>"41132719981124002X"</f>
        <v>41132719981124002X</v>
      </c>
      <c r="B5106" s="1" t="str">
        <f>"共青团员"</f>
        <v>共青团员</v>
      </c>
      <c r="C5106" s="1" t="str">
        <f>"硕士研究生"</f>
        <v>硕士研究生</v>
      </c>
      <c r="D5106" s="1" t="str">
        <f>"20250630"</f>
        <v>20250630</v>
      </c>
      <c r="E5106" s="1" t="str">
        <f>"河南科技学院"</f>
        <v>河南科技学院</v>
      </c>
      <c r="F5106" s="1" t="str">
        <f>"资源利用与植物保护"</f>
        <v>资源利用与植物保护</v>
      </c>
      <c r="G5106" s="1" t="str">
        <f>"河南省南阳市内乡县城关镇北园路11号"</f>
        <v>河南省南阳市内乡县城关镇北园路11号</v>
      </c>
      <c r="H5106" s="1" t="str">
        <f t="shared" si="2513"/>
        <v>无</v>
      </c>
      <c r="I5106" s="1" t="str">
        <f>"201709-202106  河南科技学院  农业资源与环境
202106-202209  在校学习备考
202209-202506  河南科技学院  资源利用与植物保护"</f>
        <v>201709-202106  河南科技学院  农业资源与环境
202106-202209  在校学习备考
202209-202506  河南科技学院  资源利用与植物保护</v>
      </c>
    </row>
    <row r="5107" spans="1:9">
      <c r="A5107" s="1" t="str">
        <f>"411302200101076147"</f>
        <v>411302200101076147</v>
      </c>
      <c r="B5107" s="1" t="str">
        <f t="shared" si="2514"/>
        <v>群众</v>
      </c>
      <c r="C5107" s="1" t="str">
        <f t="shared" si="2515"/>
        <v>本科</v>
      </c>
      <c r="D5107" s="1" t="str">
        <f>"20240614"</f>
        <v>20240614</v>
      </c>
      <c r="E5107" s="1" t="str">
        <f>"信阳农林学院"</f>
        <v>信阳农林学院</v>
      </c>
      <c r="F5107" s="1" t="str">
        <f>"物联网工程"</f>
        <v>物联网工程</v>
      </c>
      <c r="G5107" s="1" t="str">
        <f>"河南省南阳市中州路399号"</f>
        <v>河南省南阳市中州路399号</v>
      </c>
      <c r="H5107" s="1" t="str">
        <f t="shared" si="2513"/>
        <v>无</v>
      </c>
      <c r="I5107" s="1" t="str">
        <f>"202009-202406 信阳农林学院信息工程学院物联网专业就读  全日制学历
2024年7月至今在南阳市宛城区中州路399号待业"</f>
        <v>202009-202406 信阳农林学院信息工程学院物联网专业就读  全日制学历
2024年7月至今在南阳市宛城区中州路399号待业</v>
      </c>
    </row>
    <row r="5108" spans="1:9">
      <c r="A5108" s="1" t="str">
        <f>"411324200004010582"</f>
        <v>411324200004010582</v>
      </c>
      <c r="B5108" s="1" t="str">
        <f t="shared" si="2514"/>
        <v>群众</v>
      </c>
      <c r="C5108" s="1" t="str">
        <f t="shared" si="2515"/>
        <v>本科</v>
      </c>
      <c r="D5108" s="1" t="str">
        <f>"20200701"</f>
        <v>20200701</v>
      </c>
      <c r="E5108" s="1" t="str">
        <f>"中原科技学院"</f>
        <v>中原科技学院</v>
      </c>
      <c r="F5108" s="1" t="str">
        <f>"学前教育"</f>
        <v>学前教育</v>
      </c>
      <c r="G5108" s="1" t="str">
        <f>"镇平县雪枫街道八里庙村"</f>
        <v>镇平县雪枫街道八里庙村</v>
      </c>
      <c r="H5108" s="1" t="str">
        <f t="shared" si="2513"/>
        <v>无</v>
      </c>
      <c r="I5108" s="1" t="str">
        <f>"201909-202206河南信息统计职业学院  全日制专科
202209-202406中原科技学院                  全日制本科
202409-至今  待业"</f>
        <v>201909-202206河南信息统计职业学院  全日制专科
202209-202406中原科技学院                  全日制本科
202409-至今  待业</v>
      </c>
    </row>
    <row r="5109" spans="1:9">
      <c r="A5109" s="1" t="str">
        <f>"411325200307070650"</f>
        <v>411325200307070650</v>
      </c>
      <c r="B5109" s="1" t="str">
        <f t="shared" si="2514"/>
        <v>群众</v>
      </c>
      <c r="C5109" s="1" t="str">
        <f t="shared" si="2515"/>
        <v>本科</v>
      </c>
      <c r="D5109" s="1" t="str">
        <f>"20250615"</f>
        <v>20250615</v>
      </c>
      <c r="E5109" s="1" t="str">
        <f>"郑州科技学院"</f>
        <v>郑州科技学院</v>
      </c>
      <c r="F5109" s="1" t="str">
        <f>"物联网工程"</f>
        <v>物联网工程</v>
      </c>
      <c r="G5109" s="1" t="str">
        <f>"河南省南阳市内乡县"</f>
        <v>河南省南阳市内乡县</v>
      </c>
      <c r="H5109" s="1" t="str">
        <f t="shared" si="2513"/>
        <v>无</v>
      </c>
      <c r="I5109" s="1" t="str">
        <f>"202109-202506在郑州科技学院大数据与人工智能学院物联网工程专业就读，为全日制本科生"</f>
        <v>202109-202506在郑州科技学院大数据与人工智能学院物联网工程专业就读，为全日制本科生</v>
      </c>
    </row>
    <row r="5110" spans="1:9">
      <c r="A5110" s="1" t="str">
        <f>"410322200304087713"</f>
        <v>410322200304087713</v>
      </c>
      <c r="B5110" s="1" t="str">
        <f>"中共党员"</f>
        <v>中共党员</v>
      </c>
      <c r="C5110" s="1" t="str">
        <f t="shared" si="2515"/>
        <v>本科</v>
      </c>
      <c r="D5110" s="1" t="str">
        <f>"20250625"</f>
        <v>20250625</v>
      </c>
      <c r="E5110" s="1" t="str">
        <f>"西安工程大学"</f>
        <v>西安工程大学</v>
      </c>
      <c r="F5110" s="1" t="str">
        <f>"人力资源管理"</f>
        <v>人力资源管理</v>
      </c>
      <c r="G5110" s="1" t="str">
        <f>"河南省洛阳市孟津区御品名城"</f>
        <v>河南省洛阳市孟津区御品名城</v>
      </c>
      <c r="H5110" s="1" t="str">
        <f t="shared" si="2513"/>
        <v>无</v>
      </c>
      <c r="I5110" s="1" t="str">
        <f>"202108-202506 西安工程大学管理学院人力资源管理系 全日制 就读"</f>
        <v>202108-202506 西安工程大学管理学院人力资源管理系 全日制 就读</v>
      </c>
    </row>
    <row r="5111" spans="1:9">
      <c r="A5111" s="1" t="str">
        <f>"411327200010310038"</f>
        <v>411327200010310038</v>
      </c>
      <c r="B5111" s="1" t="str">
        <f t="shared" ref="B5111:B5113" si="2516">"群众"</f>
        <v>群众</v>
      </c>
      <c r="C5111" s="1" t="str">
        <f t="shared" si="2515"/>
        <v>本科</v>
      </c>
      <c r="D5111" s="1" t="str">
        <f>"202406"</f>
        <v>202406</v>
      </c>
      <c r="E5111" s="1" t="str">
        <f>"商丘学院"</f>
        <v>商丘学院</v>
      </c>
      <c r="F5111" s="1" t="str">
        <f>"财务管理"</f>
        <v>财务管理</v>
      </c>
      <c r="G5111" s="1" t="str">
        <f>"河南省内乡县城关镇清真寺村清真寺北路29号"</f>
        <v>河南省内乡县城关镇清真寺村清真寺北路29号</v>
      </c>
      <c r="H5111" s="1" t="str">
        <f t="shared" si="2513"/>
        <v>无</v>
      </c>
      <c r="I5111" s="1" t="str">
        <f>"201909-202207河南工业大学全日制专科
202209-202406商丘学院全日制本科"</f>
        <v>201909-202207河南工业大学全日制专科
202209-202406商丘学院全日制本科</v>
      </c>
    </row>
    <row r="5112" spans="1:9">
      <c r="A5112" s="1" t="str">
        <f>"411327199506020020"</f>
        <v>411327199506020020</v>
      </c>
      <c r="B5112" s="1" t="str">
        <f t="shared" si="2516"/>
        <v>群众</v>
      </c>
      <c r="C5112" s="1" t="str">
        <f t="shared" ref="C5112:C5116" si="2517">"专科"</f>
        <v>专科</v>
      </c>
      <c r="D5112" s="1" t="str">
        <f>"2016.06"</f>
        <v>2016.06</v>
      </c>
      <c r="E5112" s="1" t="str">
        <f>"汉江师范学院"</f>
        <v>汉江师范学院</v>
      </c>
      <c r="F5112" s="1" t="str">
        <f>"计算机网络技术"</f>
        <v>计算机网络技术</v>
      </c>
      <c r="G5112" s="1" t="str">
        <f>"河南省内乡县城关镇郦都大道西五巷"</f>
        <v>河南省内乡县城关镇郦都大道西五巷</v>
      </c>
      <c r="H5112" s="1" t="str">
        <f t="shared" si="2513"/>
        <v>无</v>
      </c>
      <c r="I5112" s="1" t="str">
        <f>"2013.09-2016.06在汉江师范学院计算机网络技术专业就读，为全日制学历
"</f>
        <v>2013.09-2016.06在汉江师范学院计算机网络技术专业就读，为全日制学历
</v>
      </c>
    </row>
    <row r="5113" spans="1:9">
      <c r="A5113" s="1" t="str">
        <f>"41270120020103301X"</f>
        <v>41270120020103301X</v>
      </c>
      <c r="B5113" s="1" t="str">
        <f t="shared" si="2516"/>
        <v>群众</v>
      </c>
      <c r="C5113" s="1" t="str">
        <f t="shared" ref="C5113:C5124" si="2518">"本科"</f>
        <v>本科</v>
      </c>
      <c r="D5113" s="1" t="str">
        <f>"20250701"</f>
        <v>20250701</v>
      </c>
      <c r="E5113" s="1" t="str">
        <f>"郑州升达经贸管理学院"</f>
        <v>郑州升达经贸管理学院</v>
      </c>
      <c r="F5113" s="1" t="str">
        <f>"人力资源管理"</f>
        <v>人力资源管理</v>
      </c>
      <c r="G5113" s="1" t="str">
        <f>"河南省周口市川汇区七一路街道工农路尚都伟业小区"</f>
        <v>河南省周口市川汇区七一路街道工农路尚都伟业小区</v>
      </c>
      <c r="H5113" s="1" t="str">
        <f t="shared" si="2513"/>
        <v>无</v>
      </c>
      <c r="I5113" s="1" t="str">
        <f>"202009-202307 焦作大学 人文学院 行政管理专业 全日制专科
202309-202507 郑州升达经贸管理学院 人力资源管理专业 全日制本科"</f>
        <v>202009-202307 焦作大学 人文学院 行政管理专业 全日制专科
202309-202507 郑州升达经贸管理学院 人力资源管理专业 全日制本科</v>
      </c>
    </row>
    <row r="5114" spans="1:9">
      <c r="A5114" s="1" t="str">
        <f>"412825200303038280"</f>
        <v>412825200303038280</v>
      </c>
      <c r="B5114" s="1" t="str">
        <f>"共青团员"</f>
        <v>共青团员</v>
      </c>
      <c r="C5114" s="1" t="str">
        <f t="shared" si="2518"/>
        <v>本科</v>
      </c>
      <c r="D5114" s="1" t="str">
        <f>"20250701"</f>
        <v>20250701</v>
      </c>
      <c r="E5114" s="1" t="str">
        <f>"信阳学院"</f>
        <v>信阳学院</v>
      </c>
      <c r="F5114" s="1" t="str">
        <f>"工程造价"</f>
        <v>工程造价</v>
      </c>
      <c r="G5114" s="1" t="str">
        <f>"河南省驻马店市上蔡县建材市场"</f>
        <v>河南省驻马店市上蔡县建材市场</v>
      </c>
      <c r="H5114" s="1" t="str">
        <f>"英语四级"</f>
        <v>英语四级</v>
      </c>
      <c r="I5114" s="1" t="str">
        <f>"202109-202506 信阳学院就读 是全日制"</f>
        <v>202109-202506 信阳学院就读 是全日制</v>
      </c>
    </row>
    <row r="5115" spans="1:9">
      <c r="A5115" s="1" t="str">
        <f>"411327199811234930"</f>
        <v>411327199811234930</v>
      </c>
      <c r="B5115" s="1" t="str">
        <f t="shared" ref="B5115:B5120" si="2519">"群众"</f>
        <v>群众</v>
      </c>
      <c r="C5115" s="1" t="str">
        <f t="shared" si="2517"/>
        <v>专科</v>
      </c>
      <c r="D5115" s="1" t="str">
        <f>"20200701"</f>
        <v>20200701</v>
      </c>
      <c r="E5115" s="1" t="str">
        <f>"三门峡职业技术学院"</f>
        <v>三门峡职业技术学院</v>
      </c>
      <c r="F5115" s="1" t="str">
        <f>"机电一体化"</f>
        <v>机电一体化</v>
      </c>
      <c r="G5115" s="1" t="str">
        <f>"河南省南阳市内乡县城关镇邮政小区"</f>
        <v>河南省南阳市内乡县城关镇邮政小区</v>
      </c>
      <c r="H5115" s="1" t="str">
        <f>"三级电子电工维修师"</f>
        <v>三级电子电工维修师</v>
      </c>
      <c r="I5115" s="1" t="str">
        <f>"200509-201107内乡第一小学
201109-201407内乡县宛中
201409-201707内乡县中等职业技术学校
201709-202007三门峡职业技术学院"</f>
        <v>200509-201107内乡第一小学
201109-201407内乡县宛中
201409-201707内乡县中等职业技术学校
201709-202007三门峡职业技术学院</v>
      </c>
    </row>
    <row r="5116" spans="1:9">
      <c r="A5116" s="1" t="str">
        <f>"411302199909065146"</f>
        <v>411302199909065146</v>
      </c>
      <c r="B5116" s="1" t="str">
        <f t="shared" si="2519"/>
        <v>群众</v>
      </c>
      <c r="C5116" s="1" t="str">
        <f t="shared" si="2517"/>
        <v>专科</v>
      </c>
      <c r="D5116" s="1" t="str">
        <f>"20200701"</f>
        <v>20200701</v>
      </c>
      <c r="E5116" s="1" t="str">
        <f>"南阳师范学院"</f>
        <v>南阳师范学院</v>
      </c>
      <c r="F5116" s="1" t="str">
        <f>"学前教育"</f>
        <v>学前教育</v>
      </c>
      <c r="G5116" s="1" t="str">
        <f>"河南省南阳市宛城区滨河园丁苑11号楼一单元104"</f>
        <v>河南省南阳市宛城区滨河园丁苑11号楼一单元104</v>
      </c>
      <c r="H5116" s="1" t="str">
        <f t="shared" ref="H5116:H5134" si="2520">"无"</f>
        <v>无</v>
      </c>
      <c r="I5116" s="1" t="str">
        <f>"201803-202007 南阳师范学院 学前教育专业 非全日制就读
202007-202308 爱心幼教机构 班主任
202308-202507 南阳市 待业"</f>
        <v>201803-202007 南阳师范学院 学前教育专业 非全日制就读
202007-202308 爱心幼教机构 班主任
202308-202507 南阳市 待业</v>
      </c>
    </row>
    <row r="5117" spans="1:9">
      <c r="A5117" s="1" t="str">
        <f>"411327200008160018"</f>
        <v>411327200008160018</v>
      </c>
      <c r="B5117" s="1" t="str">
        <f t="shared" ref="B5117:B5119" si="2521">"中共党员"</f>
        <v>中共党员</v>
      </c>
      <c r="C5117" s="1" t="str">
        <f t="shared" si="2518"/>
        <v>本科</v>
      </c>
      <c r="D5117" s="1" t="str">
        <f>"20220707"</f>
        <v>20220707</v>
      </c>
      <c r="E5117" s="1" t="str">
        <f>"郑州升达经贸管理学院"</f>
        <v>郑州升达经贸管理学院</v>
      </c>
      <c r="F5117" s="1" t="str">
        <f>"工商管理"</f>
        <v>工商管理</v>
      </c>
      <c r="G5117" s="1" t="str">
        <f>"河南省内乡县城关镇白云小区"</f>
        <v>河南省内乡县城关镇白云小区</v>
      </c>
      <c r="H5117" s="1" t="str">
        <f t="shared" si="2520"/>
        <v>无</v>
      </c>
      <c r="I5117" s="1" t="str">
        <f>"201809-202207 郑州升达经贸管理学院管理学院工商管理专业 是全日制专业
202207-202305  内乡县待业
202305-202507  就业内乡县邮政分公司
"</f>
        <v>201809-202207 郑州升达经贸管理学院管理学院工商管理专业 是全日制专业
202207-202305  内乡县待业
202305-202507  就业内乡县邮政分公司
</v>
      </c>
    </row>
    <row r="5118" spans="1:9">
      <c r="A5118" s="1" t="str">
        <f>"411521200009268410"</f>
        <v>411521200009268410</v>
      </c>
      <c r="B5118" s="1" t="str">
        <f t="shared" si="2521"/>
        <v>中共党员</v>
      </c>
      <c r="C5118" s="1" t="str">
        <f t="shared" si="2518"/>
        <v>本科</v>
      </c>
      <c r="D5118" s="1" t="str">
        <f>"20240630"</f>
        <v>20240630</v>
      </c>
      <c r="E5118" s="1" t="str">
        <f>"黄淮学院"</f>
        <v>黄淮学院</v>
      </c>
      <c r="F5118" s="1" t="str">
        <f>"电子信息工程"</f>
        <v>电子信息工程</v>
      </c>
      <c r="G5118" s="1" t="str">
        <f>"河南省信阳市罗山县定远乡春秋村大堰组"</f>
        <v>河南省信阳市罗山县定远乡春秋村大堰组</v>
      </c>
      <c r="H5118" s="1" t="str">
        <f t="shared" si="2520"/>
        <v>无</v>
      </c>
      <c r="I5118" s="1" t="str">
        <f>"202009-202406  黄淮学院电子信息学院电子信息工程专业就读，全日制本科学历
202406-至今 在河南省信阳市固始县丰港乡人民政府参加西部计划志愿者服务"</f>
        <v>202009-202406  黄淮学院电子信息学院电子信息工程专业就读，全日制本科学历
202406-至今 在河南省信阳市固始县丰港乡人民政府参加西部计划志愿者服务</v>
      </c>
    </row>
    <row r="5119" spans="1:9">
      <c r="A5119" s="1" t="str">
        <f>"411323200004260091"</f>
        <v>411323200004260091</v>
      </c>
      <c r="B5119" s="1" t="str">
        <f t="shared" si="2521"/>
        <v>中共党员</v>
      </c>
      <c r="C5119" s="1" t="str">
        <f t="shared" si="2518"/>
        <v>本科</v>
      </c>
      <c r="D5119" s="1" t="str">
        <f>"20230701"</f>
        <v>20230701</v>
      </c>
      <c r="E5119" s="1" t="str">
        <f>"信阳农林学院"</f>
        <v>信阳农林学院</v>
      </c>
      <c r="F5119" s="1" t="str">
        <f>"数据科学与大数据技术"</f>
        <v>数据科学与大数据技术</v>
      </c>
      <c r="G5119" s="1" t="str">
        <f>"河南省南阳市淅川县"</f>
        <v>河南省南阳市淅川县</v>
      </c>
      <c r="H5119" s="1" t="str">
        <f t="shared" si="2520"/>
        <v>无</v>
      </c>
      <c r="I5119" s="1" t="str">
        <f>"201909-202307 信阳农林学院信息技术学院数据科学与大数据技术 就读
202308-202412 河南省南阳市淅川县 待业
202501-202506 合肥比亚迪汽车有限公司 员工
202507-至今 河南省南阳市淅川县 待业"</f>
        <v>201909-202307 信阳农林学院信息技术学院数据科学与大数据技术 就读
202308-202412 河南省南阳市淅川县 待业
202501-202506 合肥比亚迪汽车有限公司 员工
202507-至今 河南省南阳市淅川县 待业</v>
      </c>
    </row>
    <row r="5120" ht="148.5" spans="1:9">
      <c r="A5120" s="1" t="str">
        <f>"230208199103071174"</f>
        <v>230208199103071174</v>
      </c>
      <c r="B5120" s="1" t="str">
        <f t="shared" si="2519"/>
        <v>群众</v>
      </c>
      <c r="C5120" s="1" t="str">
        <f t="shared" si="2518"/>
        <v>本科</v>
      </c>
      <c r="D5120" s="1" t="str">
        <f>"2016-06-30"</f>
        <v>2016-06-30</v>
      </c>
      <c r="E5120" s="1" t="str">
        <f>"中央民族大学"</f>
        <v>中央民族大学</v>
      </c>
      <c r="F5120" s="1" t="str">
        <f>"人力资源管理"</f>
        <v>人力资源管理</v>
      </c>
      <c r="G5120" s="1" t="str">
        <f>"黑龙江省齐齐哈尔市梅里斯区卧牛吐镇"</f>
        <v>黑龙江省齐齐哈尔市梅里斯区卧牛吐镇</v>
      </c>
      <c r="H5120" s="1" t="str">
        <f t="shared" si="2520"/>
        <v>无</v>
      </c>
      <c r="I5120" s="3" t="s">
        <v>288</v>
      </c>
    </row>
    <row r="5121" spans="1:9">
      <c r="A5121" s="1" t="str">
        <f>"411503199804280621"</f>
        <v>411503199804280621</v>
      </c>
      <c r="B5121" s="1" t="str">
        <f t="shared" ref="B5121:B5126" si="2522">"共青团员"</f>
        <v>共青团员</v>
      </c>
      <c r="C5121" s="1" t="str">
        <f t="shared" si="2518"/>
        <v>本科</v>
      </c>
      <c r="D5121" s="1" t="str">
        <f>"20210701"</f>
        <v>20210701</v>
      </c>
      <c r="E5121" s="1" t="str">
        <f>"洛阳理工学院"</f>
        <v>洛阳理工学院</v>
      </c>
      <c r="F5121" s="1" t="str">
        <f>"社会工作"</f>
        <v>社会工作</v>
      </c>
      <c r="G5121" s="1" t="str">
        <f>"河南省信阳市平桥区明港镇"</f>
        <v>河南省信阳市平桥区明港镇</v>
      </c>
      <c r="H5121" s="1" t="str">
        <f t="shared" si="2520"/>
        <v>无</v>
      </c>
      <c r="I5121" s="1" t="str">
        <f>"201709-202107就读于洛阳理工学院社会工作专业全日制本科
202108-202203待业在家
202204-202311工作于河南兴晟能源科技有限公司
202312-至今待业在家"</f>
        <v>201709-202107就读于洛阳理工学院社会工作专业全日制本科
202108-202203待业在家
202204-202311工作于河南兴晟能源科技有限公司
202312-至今待业在家</v>
      </c>
    </row>
    <row r="5122" spans="1:9">
      <c r="A5122" s="1" t="str">
        <f>"411327199706300326"</f>
        <v>411327199706300326</v>
      </c>
      <c r="B5122" s="1" t="str">
        <f t="shared" ref="B5122:B5125" si="2523">"群众"</f>
        <v>群众</v>
      </c>
      <c r="C5122" s="1" t="str">
        <f t="shared" si="2518"/>
        <v>本科</v>
      </c>
      <c r="D5122" s="1" t="str">
        <f>"20190610"</f>
        <v>20190610</v>
      </c>
      <c r="E5122" s="1" t="str">
        <f>"黄淮学院"</f>
        <v>黄淮学院</v>
      </c>
      <c r="F5122" s="1" t="str">
        <f>"广播电视编导"</f>
        <v>广播电视编导</v>
      </c>
      <c r="G5122" s="1" t="str">
        <f>"内乡县大桥乡封营村"</f>
        <v>内乡县大桥乡封营村</v>
      </c>
      <c r="H5122" s="1" t="str">
        <f t="shared" si="2520"/>
        <v>无</v>
      </c>
      <c r="I5122" s="1" t="str">
        <f>"201509-201906 黄淮学院国际学院广播电视编导专业就读，是全日制本科
201907-202002 在家待业
202003-202507 内乡复兴学校就业"</f>
        <v>201509-201906 黄淮学院国际学院广播电视编导专业就读，是全日制本科
201907-202002 在家待业
202003-202507 内乡复兴学校就业</v>
      </c>
    </row>
    <row r="5123" spans="1:9">
      <c r="A5123" s="1" t="str">
        <f>"41132720020419002X"</f>
        <v>41132720020419002X</v>
      </c>
      <c r="B5123" s="1" t="str">
        <f t="shared" si="2522"/>
        <v>共青团员</v>
      </c>
      <c r="C5123" s="1" t="str">
        <f t="shared" si="2518"/>
        <v>本科</v>
      </c>
      <c r="D5123" s="1" t="str">
        <f>"20250701"</f>
        <v>20250701</v>
      </c>
      <c r="E5123" s="1" t="str">
        <f>"郑州商学院"</f>
        <v>郑州商学院</v>
      </c>
      <c r="F5123" s="1" t="str">
        <f>"财务管理"</f>
        <v>财务管理</v>
      </c>
      <c r="G5123" s="1" t="str">
        <f>"河南省南阳市内乡县城关镇范蠡大街教委组"</f>
        <v>河南省南阳市内乡县城关镇范蠡大街教委组</v>
      </c>
      <c r="H5123" s="1" t="str">
        <f t="shared" si="2520"/>
        <v>无</v>
      </c>
      <c r="I5123" s="1" t="str">
        <f>"202009-202307在河南工程学院 国际教育学院 会计专业就读；
202309-202507在郑州商学院 管理学院 财务管理专业就读。"</f>
        <v>202009-202307在河南工程学院 国际教育学院 会计专业就读；
202309-202507在郑州商学院 管理学院 财务管理专业就读。</v>
      </c>
    </row>
    <row r="5124" spans="1:9">
      <c r="A5124" s="1" t="str">
        <f>"411627199511159015"</f>
        <v>411627199511159015</v>
      </c>
      <c r="B5124" s="1" t="str">
        <f t="shared" si="2523"/>
        <v>群众</v>
      </c>
      <c r="C5124" s="1" t="str">
        <f t="shared" si="2518"/>
        <v>本科</v>
      </c>
      <c r="D5124" s="1" t="str">
        <f>"20210701"</f>
        <v>20210701</v>
      </c>
      <c r="E5124" s="1" t="str">
        <f>"新乡学院"</f>
        <v>新乡学院</v>
      </c>
      <c r="F5124" s="1" t="str">
        <f>"园林"</f>
        <v>园林</v>
      </c>
      <c r="G5124" s="1" t="str">
        <f>"河南省郑州市中原区冉屯新村南院"</f>
        <v>河南省郑州市中原区冉屯新村南院</v>
      </c>
      <c r="H5124" s="1" t="str">
        <f t="shared" si="2520"/>
        <v>无</v>
      </c>
      <c r="I5124" s="1" t="str">
        <f>"2016年9月-2019年7月在三门峡职业技术学院生命科学学院园林技术专业就读，全日制学历；2019年9月-2021年7月在新乡学院生命科学技术学院园林专业就读，全日制学历；2021年7月-2022年2月在邯郸市永鼎贸易有限公司做文员工作；2022年3月-2022年9月在郑州富驰精密有限公司工作，2022年10月-2023年2月在太康县待业，2023年2月-2023年9月在太康牧原股份有限公司做后勤工作，2023年9月-2024年9月在贵阳市金鑫环保科技有限公司做技术员工作，2024年10月-至今待业"</f>
        <v>2016年9月-2019年7月在三门峡职业技术学院生命科学学院园林技术专业就读，全日制学历；2019年9月-2021年7月在新乡学院生命科学技术学院园林专业就读，全日制学历；2021年7月-2022年2月在邯郸市永鼎贸易有限公司做文员工作；2022年3月-2022年9月在郑州富驰精密有限公司工作，2022年10月-2023年2月在太康县待业，2023年2月-2023年9月在太康牧原股份有限公司做后勤工作，2023年9月-2024年9月在贵阳市金鑫环保科技有限公司做技术员工作，2024年10月-至今待业</v>
      </c>
    </row>
    <row r="5125" spans="1:9">
      <c r="A5125" s="1" t="str">
        <f>"411327199902230011"</f>
        <v>411327199902230011</v>
      </c>
      <c r="B5125" s="1" t="str">
        <f t="shared" si="2523"/>
        <v>群众</v>
      </c>
      <c r="C5125" s="1" t="str">
        <f>"专科"</f>
        <v>专科</v>
      </c>
      <c r="D5125" s="1" t="str">
        <f>"2020.7.1"</f>
        <v>2020.7.1</v>
      </c>
      <c r="E5125" s="1" t="str">
        <f>"郑州电力高等专科学校"</f>
        <v>郑州电力高等专科学校</v>
      </c>
      <c r="F5125" s="1" t="str">
        <f>"电厂热能动力装置"</f>
        <v>电厂热能动力装置</v>
      </c>
      <c r="G5125" s="1" t="str">
        <f>"河南省南阳市内乡县丽都大道108号"</f>
        <v>河南省南阳市内乡县丽都大道108号</v>
      </c>
      <c r="H5125" s="1" t="str">
        <f t="shared" si="2520"/>
        <v>无</v>
      </c>
      <c r="I5125" s="1" t="str">
        <f>"201709-202007，郑州电力高等专科学校，电厂热能动力装置，全日制。"</f>
        <v>201709-202007，郑州电力高等专科学校，电厂热能动力装置，全日制。</v>
      </c>
    </row>
    <row r="5126" spans="1:9">
      <c r="A5126" s="1" t="str">
        <f>"411330200107215115"</f>
        <v>411330200107215115</v>
      </c>
      <c r="B5126" s="1" t="str">
        <f t="shared" si="2522"/>
        <v>共青团员</v>
      </c>
      <c r="C5126" s="1" t="str">
        <f t="shared" ref="C5126:C5131" si="2524">"本科"</f>
        <v>本科</v>
      </c>
      <c r="D5126" s="1" t="str">
        <f>"2024-07-01"</f>
        <v>2024-07-01</v>
      </c>
      <c r="E5126" s="1" t="str">
        <f>"郑州经贸学院"</f>
        <v>郑州经贸学院</v>
      </c>
      <c r="F5126" s="1" t="str">
        <f>"金融工程"</f>
        <v>金融工程</v>
      </c>
      <c r="G5126" s="1" t="str">
        <f>"河南省南阳市西峡县双龙镇后湖村"</f>
        <v>河南省南阳市西峡县双龙镇后湖村</v>
      </c>
      <c r="H5126" s="1" t="str">
        <f t="shared" si="2520"/>
        <v>无</v>
      </c>
      <c r="I5126" s="1" t="str">
        <f>"2020.9.1-2024.7.1 在郑州经贸学院就读"</f>
        <v>2020.9.1-2024.7.1 在郑州经贸学院就读</v>
      </c>
    </row>
    <row r="5127" spans="1:9">
      <c r="A5127" s="1" t="str">
        <f>"411321200205203226"</f>
        <v>411321200205203226</v>
      </c>
      <c r="B5127" s="1" t="str">
        <f t="shared" ref="B5127:B5132" si="2525">"群众"</f>
        <v>群众</v>
      </c>
      <c r="C5127" s="1" t="str">
        <f>"专科"</f>
        <v>专科</v>
      </c>
      <c r="D5127" s="1" t="str">
        <f>"2023-06-15"</f>
        <v>2023-06-15</v>
      </c>
      <c r="E5127" s="1" t="str">
        <f>"焦作大学"</f>
        <v>焦作大学</v>
      </c>
      <c r="F5127" s="1" t="str">
        <f>"环境艺术设计"</f>
        <v>环境艺术设计</v>
      </c>
      <c r="G5127" s="1" t="str">
        <f>"河南省南阳市桐柏县大许庄"</f>
        <v>河南省南阳市桐柏县大许庄</v>
      </c>
      <c r="H5127" s="1" t="str">
        <f t="shared" si="2520"/>
        <v>无</v>
      </c>
      <c r="I5127" s="1" t="str">
        <f>"202009-202306 焦作大学艺术学院环境艺术设计专业就读
202306至今待业"</f>
        <v>202009-202306 焦作大学艺术学院环境艺术设计专业就读
202306至今待业</v>
      </c>
    </row>
    <row r="5128" spans="1:9">
      <c r="A5128" s="1" t="str">
        <f>"410922200211124936"</f>
        <v>410922200211124936</v>
      </c>
      <c r="B5128" s="1" t="str">
        <f t="shared" si="2525"/>
        <v>群众</v>
      </c>
      <c r="C5128" s="1" t="str">
        <f t="shared" si="2524"/>
        <v>本科</v>
      </c>
      <c r="D5128" s="1" t="str">
        <f>"2025-07-01"</f>
        <v>2025-07-01</v>
      </c>
      <c r="E5128" s="1" t="str">
        <f>"周口师范学院"</f>
        <v>周口师范学院</v>
      </c>
      <c r="F5128" s="1" t="str">
        <f>"软件工程"</f>
        <v>软件工程</v>
      </c>
      <c r="G5128" s="1" t="str">
        <f>"河南省濮阳市清丰县纸房乡吕朱娄村150号"</f>
        <v>河南省濮阳市清丰县纸房乡吕朱娄村150号</v>
      </c>
      <c r="H5128" s="1" t="str">
        <f t="shared" si="2520"/>
        <v>无</v>
      </c>
      <c r="I5128" s="1" t="str">
        <f>"2021.10-2025.1 周口师范学院就读 在计算机科学与技术学院所学专业软件工程，全日制学历"</f>
        <v>2021.10-2025.1 周口师范学院就读 在计算机科学与技术学院所学专业软件工程，全日制学历</v>
      </c>
    </row>
    <row r="5129" spans="1:9">
      <c r="A5129" s="1" t="str">
        <f>"411327199401130645"</f>
        <v>411327199401130645</v>
      </c>
      <c r="B5129" s="1" t="str">
        <f t="shared" si="2525"/>
        <v>群众</v>
      </c>
      <c r="C5129" s="1" t="str">
        <f>"硕士研究生"</f>
        <v>硕士研究生</v>
      </c>
      <c r="D5129" s="1" t="str">
        <f>"20180628"</f>
        <v>20180628</v>
      </c>
      <c r="E5129" s="1" t="str">
        <f>"武汉轻工大学"</f>
        <v>武汉轻工大学</v>
      </c>
      <c r="F5129" s="1" t="str">
        <f>"管理科学与工程"</f>
        <v>管理科学与工程</v>
      </c>
      <c r="G5129" s="1" t="str">
        <f>"河南省南阳市内乡县城关镇电商园物流配送中心NX030"</f>
        <v>河南省南阳市内乡县城关镇电商园物流配送中心NX030</v>
      </c>
      <c r="H5129" s="1" t="str">
        <f t="shared" si="2520"/>
        <v>无</v>
      </c>
      <c r="I5129" s="1" t="str">
        <f>"201109-201506 湖北科技学院资源环境科学与工程学院工程管理专业就读，是全日制学历；
201509-201806 武汉轻工大学土木工程与建筑学院管理科学与工程专业就读，是全日制学历；
201807-202010 中铁十一局集团城市轨道工程有限公司，项目部计划员岗位，从事工程造价及合同管理工作。
202010-202202 马山口镇第二初级中学，教师岗位，从事教学工作；
22202-至今  马山口镇王场村待业"</f>
        <v>201109-201506 湖北科技学院资源环境科学与工程学院工程管理专业就读，是全日制学历；
201509-201806 武汉轻工大学土木工程与建筑学院管理科学与工程专业就读，是全日制学历；
201807-202010 中铁十一局集团城市轨道工程有限公司，项目部计划员岗位，从事工程造价及合同管理工作。
202010-202202 马山口镇第二初级中学，教师岗位，从事教学工作；
22202-至今  马山口镇王场村待业</v>
      </c>
    </row>
    <row r="5130" spans="1:9">
      <c r="A5130" s="1" t="str">
        <f>"412722199305144538"</f>
        <v>412722199305144538</v>
      </c>
      <c r="B5130" s="1" t="str">
        <f t="shared" si="2525"/>
        <v>群众</v>
      </c>
      <c r="C5130" s="1" t="str">
        <f t="shared" si="2524"/>
        <v>本科</v>
      </c>
      <c r="D5130" s="1" t="str">
        <f>"20201130"</f>
        <v>20201130</v>
      </c>
      <c r="E5130" s="1" t="str">
        <f>"许昌学院"</f>
        <v>许昌学院</v>
      </c>
      <c r="F5130" s="1" t="str">
        <f>"电气工程及其自动化"</f>
        <v>电气工程及其自动化</v>
      </c>
      <c r="G5130" s="1" t="str">
        <f>"湖南省益阳市赫山区太一格9栋1单元1303 "</f>
        <v>湖南省益阳市赫山区太一格9栋1单元1303 </v>
      </c>
      <c r="H5130" s="1" t="str">
        <f t="shared" si="2520"/>
        <v>无</v>
      </c>
      <c r="I5130" s="1" t="str">
        <f>"201309-201606 许昌学院 电气学院 电气工程及其自动化专业 就读 是全日制
201607-201808  河南省周口市西华县址坊镇蔡庄村待业
201809-202011 许昌学院 电气学院 电气工程及其自动化专业 就读 是全日制  
202012-202507 待业"</f>
        <v>201309-201606 许昌学院 电气学院 电气工程及其自动化专业 就读 是全日制
201607-201808  河南省周口市西华县址坊镇蔡庄村待业
201809-202011 许昌学院 电气学院 电气工程及其自动化专业 就读 是全日制  
202012-202507 待业</v>
      </c>
    </row>
    <row r="5131" spans="1:9">
      <c r="A5131" s="1" t="str">
        <f>"411327200207080010"</f>
        <v>411327200207080010</v>
      </c>
      <c r="B5131" s="1" t="str">
        <f t="shared" si="2525"/>
        <v>群众</v>
      </c>
      <c r="C5131" s="1" t="str">
        <f t="shared" si="2524"/>
        <v>本科</v>
      </c>
      <c r="D5131" s="1" t="str">
        <f>"20240630"</f>
        <v>20240630</v>
      </c>
      <c r="E5131" s="1" t="str">
        <f>"郑州工业应用技术学院"</f>
        <v>郑州工业应用技术学院</v>
      </c>
      <c r="F5131" s="1" t="str">
        <f>"计算机科学与技术"</f>
        <v>计算机科学与技术</v>
      </c>
      <c r="G5131" s="1" t="str">
        <f>"河南省南阳市内乡县公园南路"</f>
        <v>河南省南阳市内乡县公园南路</v>
      </c>
      <c r="H5131" s="1" t="str">
        <f t="shared" si="2520"/>
        <v>无</v>
      </c>
      <c r="I5131" s="1" t="str">
        <f>"202009-202406在郑州工业应用技术学院信息工程学院计算机科学与技术专业就读，是全日制，无间断。"</f>
        <v>202009-202406在郑州工业应用技术学院信息工程学院计算机科学与技术专业就读，是全日制，无间断。</v>
      </c>
    </row>
    <row r="5132" spans="1:9">
      <c r="A5132" s="1" t="str">
        <f>"411321199301260014"</f>
        <v>411321199301260014</v>
      </c>
      <c r="B5132" s="1" t="str">
        <f t="shared" si="2525"/>
        <v>群众</v>
      </c>
      <c r="C5132" s="1" t="str">
        <f>"专科"</f>
        <v>专科</v>
      </c>
      <c r="D5132" s="1" t="str">
        <f>"20140701"</f>
        <v>20140701</v>
      </c>
      <c r="E5132" s="1" t="str">
        <f>"郑州交通职业学院"</f>
        <v>郑州交通职业学院</v>
      </c>
      <c r="F5132" s="1" t="str">
        <f>"公路监理"</f>
        <v>公路监理</v>
      </c>
      <c r="G5132" s="1" t="str">
        <f>"河南省南阳市桐柏县城关镇"</f>
        <v>河南省南阳市桐柏县城关镇</v>
      </c>
      <c r="H5132" s="1" t="str">
        <f t="shared" si="2520"/>
        <v>无</v>
      </c>
      <c r="I5132" s="1" t="str">
        <f>"201109-201407 郑州交通职业学院 就读，全日制专科。
201409-202004 河南瑞航路业股份有限公司 就业。
202010-至今 南阳市生态环境局桐柏综合行政执法大队 就职。"</f>
        <v>201109-201407 郑州交通职业学院 就读，全日制专科。
201409-202004 河南瑞航路业股份有限公司 就业。
202010-至今 南阳市生态环境局桐柏综合行政执法大队 就职。</v>
      </c>
    </row>
    <row r="5133" spans="1:9">
      <c r="A5133" s="1" t="str">
        <f>"411327200108162520"</f>
        <v>411327200108162520</v>
      </c>
      <c r="B5133" s="1" t="str">
        <f>"共青团员"</f>
        <v>共青团员</v>
      </c>
      <c r="C5133" s="1" t="str">
        <f t="shared" ref="C5133:C5136" si="2526">"本科"</f>
        <v>本科</v>
      </c>
      <c r="D5133" s="1" t="str">
        <f>"20230630"</f>
        <v>20230630</v>
      </c>
      <c r="E5133" s="1" t="str">
        <f>"郑州轻工业大学"</f>
        <v>郑州轻工业大学</v>
      </c>
      <c r="F5133" s="1" t="str">
        <f>"化学"</f>
        <v>化学</v>
      </c>
      <c r="G5133" s="1" t="str">
        <f>"河南省南阳市内乡县王店镇薛河村"</f>
        <v>河南省南阳市内乡县王店镇薛河村</v>
      </c>
      <c r="H5133" s="1" t="str">
        <f t="shared" si="2520"/>
        <v>无</v>
      </c>
      <c r="I5133" s="1" t="str">
        <f>"201909-202306郑州轻工业大学材料与化学工程学院化学专业就读是全日制学历
201609-201906在内乡县高级中学就读
201309-201606在内乡县王店初中就读"</f>
        <v>201909-202306郑州轻工业大学材料与化学工程学院化学专业就读是全日制学历
201609-201906在内乡县高级中学就读
201309-201606在内乡县王店初中就读</v>
      </c>
    </row>
    <row r="5134" spans="1:9">
      <c r="A5134" s="1" t="str">
        <f>"411327199203212535"</f>
        <v>411327199203212535</v>
      </c>
      <c r="B5134" s="1" t="str">
        <f>"中共党员"</f>
        <v>中共党员</v>
      </c>
      <c r="C5134" s="1" t="str">
        <f t="shared" si="2526"/>
        <v>本科</v>
      </c>
      <c r="D5134" s="1" t="str">
        <f>"20150610"</f>
        <v>20150610</v>
      </c>
      <c r="E5134" s="1" t="str">
        <f>"中国矿业大学银川学院"</f>
        <v>中国矿业大学银川学院</v>
      </c>
      <c r="F5134" s="1" t="str">
        <f>"地质工程资源勘查工程"</f>
        <v>地质工程资源勘查工程</v>
      </c>
      <c r="G5134" s="1" t="str">
        <f>"河南省南阳市内乡县王店镇河东村"</f>
        <v>河南省南阳市内乡县王店镇河东村</v>
      </c>
      <c r="H5134" s="1" t="str">
        <f t="shared" si="2520"/>
        <v>无</v>
      </c>
      <c r="I5134" s="1" t="str">
        <f>"201109-201506中国矿业大学银川学院矿业工程系地质工程资源勘查工程就读，全日制
201507-202003新华保险南阳中心支公司银代部工作
202004-202501南阳中通快递中心工作
202502-202506牧原食品有限公司工作"</f>
        <v>201109-201506中国矿业大学银川学院矿业工程系地质工程资源勘查工程就读，全日制
201507-202003新华保险南阳中心支公司银代部工作
202004-202501南阳中通快递中心工作
202502-202506牧原食品有限公司工作</v>
      </c>
    </row>
    <row r="5135" spans="1:9">
      <c r="A5135" s="1" t="str">
        <f>"411327199803210023"</f>
        <v>411327199803210023</v>
      </c>
      <c r="B5135" s="1" t="str">
        <f t="shared" ref="B5135:B5139" si="2527">"群众"</f>
        <v>群众</v>
      </c>
      <c r="C5135" s="1" t="str">
        <f t="shared" si="2526"/>
        <v>本科</v>
      </c>
      <c r="D5135" s="1" t="str">
        <f>"20210616"</f>
        <v>20210616</v>
      </c>
      <c r="E5135" s="1" t="str">
        <f>"辽宁理工学院"</f>
        <v>辽宁理工学院</v>
      </c>
      <c r="F5135" s="1" t="str">
        <f>"计算机科学与技术"</f>
        <v>计算机科学与技术</v>
      </c>
      <c r="G5135" s="1" t="str">
        <f>"南阳市内乡县大成西路十六巷26号"</f>
        <v>南阳市内乡县大成西路十六巷26号</v>
      </c>
      <c r="H5135" s="1" t="str">
        <f>"计算机二级"</f>
        <v>计算机二级</v>
      </c>
      <c r="I5135" s="1" t="str">
        <f>"201709-202106在辽宁理工学院计算机科学与技术专业就读，为全日制本科
202106-202112在北京小米软件园实习
202112-202204在劳动局
202205-202505在内乡县人民法院工作
202505-至今在家待业"</f>
        <v>201709-202106在辽宁理工学院计算机科学与技术专业就读，为全日制本科
202106-202112在北京小米软件园实习
202112-202204在劳动局
202205-202505在内乡县人民法院工作
202505-至今在家待业</v>
      </c>
    </row>
    <row r="5136" spans="1:9">
      <c r="A5136" s="1" t="str">
        <f>"411327199603204219"</f>
        <v>411327199603204219</v>
      </c>
      <c r="B5136" s="1" t="str">
        <f t="shared" si="2527"/>
        <v>群众</v>
      </c>
      <c r="C5136" s="1" t="str">
        <f t="shared" si="2526"/>
        <v>本科</v>
      </c>
      <c r="D5136" s="1" t="str">
        <f>"20190701"</f>
        <v>20190701</v>
      </c>
      <c r="E5136" s="1" t="str">
        <f>"商丘学院"</f>
        <v>商丘学院</v>
      </c>
      <c r="F5136" s="1" t="str">
        <f>"土木工程"</f>
        <v>土木工程</v>
      </c>
      <c r="G5136" s="1" t="str">
        <f>"河南省南阳市内乡县湍东镇菊潭毓秀园"</f>
        <v>河南省南阳市内乡县湍东镇菊潭毓秀园</v>
      </c>
      <c r="H5136" s="1" t="str">
        <f t="shared" ref="H5136:H5143" si="2528">"无"</f>
        <v>无</v>
      </c>
      <c r="I5136" s="1" t="str">
        <f>"201409-201707南阳理工学院就读土木工程系建筑工程技术专业，是全日制
201709-201907商丘学院就读商丘学院应用科技学院土木工程专业，是全日制
201907-202503牧原集团担任建设工作
202503-202507在内乡县湍东镇待业"</f>
        <v>201409-201707南阳理工学院就读土木工程系建筑工程技术专业，是全日制
201709-201907商丘学院就读商丘学院应用科技学院土木工程专业，是全日制
201907-202503牧原集团担任建设工作
202503-202507在内乡县湍东镇待业</v>
      </c>
    </row>
    <row r="5137" spans="1:9">
      <c r="A5137" s="1" t="str">
        <f>"411528199608157121"</f>
        <v>411528199608157121</v>
      </c>
      <c r="B5137" s="1" t="str">
        <f>"中共党员"</f>
        <v>中共党员</v>
      </c>
      <c r="C5137" s="1" t="str">
        <f>"硕士研究生"</f>
        <v>硕士研究生</v>
      </c>
      <c r="D5137" s="1" t="str">
        <f>"20250611"</f>
        <v>20250611</v>
      </c>
      <c r="E5137" s="1" t="str">
        <f>"青海民族大学"</f>
        <v>青海民族大学</v>
      </c>
      <c r="F5137" s="1" t="str">
        <f>"法律（法学）"</f>
        <v>法律（法学）</v>
      </c>
      <c r="G5137" s="1" t="str">
        <f>"河南省信阳市息县八里岔乡小围孜村后二组"</f>
        <v>河南省信阳市息县八里岔乡小围孜村后二组</v>
      </c>
      <c r="H5137" s="1" t="str">
        <f t="shared" si="2528"/>
        <v>无</v>
      </c>
      <c r="I5137" s="1" t="str">
        <f>"201509-201806河南检察职业学院法律事务专业就读(全日制专科学历);201809-202006河南财经政法大学法学专业就读（全日制本科学历）；202009-202208待业，在家复习考试；202209-202506青海民族大学法律（法学）专业就读（全日制硕士学历）。"</f>
        <v>201509-201806河南检察职业学院法律事务专业就读(全日制专科学历);201809-202006河南财经政法大学法学专业就读（全日制本科学历）；202009-202208待业，在家复习考试；202209-202506青海民族大学法律（法学）专业就读（全日制硕士学历）。</v>
      </c>
    </row>
    <row r="5138" spans="1:9">
      <c r="A5138" s="1" t="str">
        <f>"411303199110161010"</f>
        <v>411303199110161010</v>
      </c>
      <c r="B5138" s="1" t="str">
        <f t="shared" si="2527"/>
        <v>群众</v>
      </c>
      <c r="C5138" s="1" t="str">
        <f t="shared" ref="C5138:C5141" si="2529">"本科"</f>
        <v>本科</v>
      </c>
      <c r="D5138" s="1" t="str">
        <f>"20150701"</f>
        <v>20150701</v>
      </c>
      <c r="E5138" s="1" t="str">
        <f>"郑州航空工业管理学院"</f>
        <v>郑州航空工业管理学院</v>
      </c>
      <c r="F5138" s="1" t="str">
        <f>"土木工程(道路桥梁方向)"</f>
        <v>土木工程(道路桥梁方向)</v>
      </c>
      <c r="G5138" s="1" t="str">
        <f>"南阳市金汇城小区"</f>
        <v>南阳市金汇城小区</v>
      </c>
      <c r="H5138" s="1" t="str">
        <f>"二级建造师"</f>
        <v>二级建造师</v>
      </c>
      <c r="I5138" s="1" t="str">
        <f>"201109-201506 郑州航空工业管理学院 土木建筑工程系 土木工程专业就读
201507-2018.06 南阳宛通公路工程技术有限公司 员工
201806-2022.08 南阳交投新城开发建设有限公司 员工
202208-至今       南阳交投项目管理技术有限公司 员工"</f>
        <v>201109-201506 郑州航空工业管理学院 土木建筑工程系 土木工程专业就读
201507-2018.06 南阳宛通公路工程技术有限公司 员工
201806-2022.08 南阳交投新城开发建设有限公司 员工
202208-至今       南阳交投项目管理技术有限公司 员工</v>
      </c>
    </row>
    <row r="5139" spans="1:9">
      <c r="A5139" s="1" t="str">
        <f>"411324200010110010"</f>
        <v>411324200010110010</v>
      </c>
      <c r="B5139" s="1" t="str">
        <f t="shared" si="2527"/>
        <v>群众</v>
      </c>
      <c r="C5139" s="1" t="str">
        <f t="shared" si="2529"/>
        <v>本科</v>
      </c>
      <c r="D5139" s="1" t="str">
        <f>"2022.06"</f>
        <v>2022.06</v>
      </c>
      <c r="E5139" s="1" t="str">
        <f>"塔里木大学"</f>
        <v>塔里木大学</v>
      </c>
      <c r="F5139" s="1" t="str">
        <f>"城乡规划"</f>
        <v>城乡规划</v>
      </c>
      <c r="G5139" s="1" t="str">
        <f>"河南省镇平县城关镇镇菩路七组4号"</f>
        <v>河南省镇平县城关镇镇菩路七组4号</v>
      </c>
      <c r="H5139" s="1" t="str">
        <f t="shared" si="2528"/>
        <v>无</v>
      </c>
      <c r="I5139" s="1" t="str">
        <f>"201809-202206就读于塔里木大学水利与建筑学院城乡规划专业，全日制学历"</f>
        <v>201809-202206就读于塔里木大学水利与建筑学院城乡规划专业，全日制学历</v>
      </c>
    </row>
    <row r="5140" spans="1:9">
      <c r="A5140" s="1" t="str">
        <f>"370982200208114992"</f>
        <v>370982200208114992</v>
      </c>
      <c r="B5140" s="1" t="str">
        <f>"共青团员"</f>
        <v>共青团员</v>
      </c>
      <c r="C5140" s="1" t="str">
        <f>"专科"</f>
        <v>专科</v>
      </c>
      <c r="D5140" s="1" t="str">
        <f>"20220701"</f>
        <v>20220701</v>
      </c>
      <c r="E5140" s="1" t="str">
        <f>"驻马店职业技术学院"</f>
        <v>驻马店职业技术学院</v>
      </c>
      <c r="F5140" s="1" t="str">
        <f>"会计信息管理"</f>
        <v>会计信息管理</v>
      </c>
      <c r="G5140" s="1" t="str">
        <f>"山东省新泰市新华书店宿舍"</f>
        <v>山东省新泰市新华书店宿舍</v>
      </c>
      <c r="H5140" s="1" t="str">
        <f t="shared" si="2528"/>
        <v>无</v>
      </c>
      <c r="I5140" s="1" t="str">
        <f>"2017.9.1——2020.7.1 山东省新泰市第一中学
2020.10.1——2022.7.1 驻马店职业技术学院"</f>
        <v>2017.9.1——2020.7.1 山东省新泰市第一中学
2020.10.1——2022.7.1 驻马店职业技术学院</v>
      </c>
    </row>
    <row r="5141" spans="1:9">
      <c r="A5141" s="1" t="str">
        <f>"411324199612125214"</f>
        <v>411324199612125214</v>
      </c>
      <c r="B5141" s="1" t="str">
        <f>"中共党员"</f>
        <v>中共党员</v>
      </c>
      <c r="C5141" s="1" t="str">
        <f t="shared" si="2529"/>
        <v>本科</v>
      </c>
      <c r="D5141" s="1" t="str">
        <f>"20170701"</f>
        <v>20170701</v>
      </c>
      <c r="E5141" s="1" t="str">
        <f>"河南财经政法大学"</f>
        <v>河南财经政法大学</v>
      </c>
      <c r="F5141" s="1" t="str">
        <f>"法学"</f>
        <v>法学</v>
      </c>
      <c r="G5141" s="1" t="str">
        <f>"河南省镇平县安子营乡"</f>
        <v>河南省镇平县安子营乡</v>
      </c>
      <c r="H5141" s="1" t="str">
        <f t="shared" si="2528"/>
        <v>无</v>
      </c>
      <c r="I5141" s="1" t="str">
        <f>"2014年9月至2017年7月在郑州升达经贸管理学院管理学系房地产经营与估价专业就读，全日制学历。2022年3月至2024年7月在河南财经政法大学法学系就读，非全日制学历。"</f>
        <v>2014年9月至2017年7月在郑州升达经贸管理学院管理学系房地产经营与估价专业就读，全日制学历。2022年3月至2024年7月在河南财经政法大学法学系就读，非全日制学历。</v>
      </c>
    </row>
    <row r="5142" spans="1:9">
      <c r="A5142" s="1" t="str">
        <f>"411327199611070062"</f>
        <v>411327199611070062</v>
      </c>
      <c r="B5142" s="1" t="str">
        <f t="shared" ref="B5142:B5147" si="2530">"群众"</f>
        <v>群众</v>
      </c>
      <c r="C5142" s="1" t="str">
        <f>"专科"</f>
        <v>专科</v>
      </c>
      <c r="D5142" s="1" t="str">
        <f>"20180701"</f>
        <v>20180701</v>
      </c>
      <c r="E5142" s="1" t="str">
        <f>"南阳医学高等专科学校"</f>
        <v>南阳医学高等专科学校</v>
      </c>
      <c r="F5142" s="1" t="str">
        <f>"药品生产技术"</f>
        <v>药品生产技术</v>
      </c>
      <c r="G5142" s="1" t="str">
        <f>"河南省南阳市邓州市花洲街道东方红小区"</f>
        <v>河南省南阳市邓州市花洲街道东方红小区</v>
      </c>
      <c r="H5142" s="1" t="str">
        <f t="shared" si="2528"/>
        <v>无</v>
      </c>
      <c r="I5142" s="1" t="str">
        <f>"201309-201807 南阳医学高等专科学校 就读 药品生产技术专业 全日制大专
"</f>
        <v>201309-201807 南阳医学高等专科学校 就读 药品生产技术专业 全日制大专
</v>
      </c>
    </row>
    <row r="5143" spans="1:9">
      <c r="A5143" s="1" t="str">
        <f>"411327199901124241"</f>
        <v>411327199901124241</v>
      </c>
      <c r="B5143" s="1" t="str">
        <f t="shared" si="2530"/>
        <v>群众</v>
      </c>
      <c r="C5143" s="1" t="str">
        <f t="shared" ref="C5143:C5145" si="2531">"本科"</f>
        <v>本科</v>
      </c>
      <c r="D5143" s="1" t="str">
        <f>"202406"</f>
        <v>202406</v>
      </c>
      <c r="E5143" s="1" t="str">
        <f>"河南大学"</f>
        <v>河南大学</v>
      </c>
      <c r="F5143" s="1" t="str">
        <f>"化学"</f>
        <v>化学</v>
      </c>
      <c r="G5143" s="1" t="str">
        <f>"河南省南阳市内乡县余关镇子育村"</f>
        <v>河南省南阳市内乡县余关镇子育村</v>
      </c>
      <c r="H5143" s="1" t="str">
        <f t="shared" si="2528"/>
        <v>无</v>
      </c>
      <c r="I5143" s="1" t="str">
        <f>"201709-202106 河南农业大学理学院应用化学专业就读 全日制学历
202109-202406 河南大学纳米科学与工程研究院化学专业就读 全日制研究生
202408-2025 南都实验中学"</f>
        <v>201709-202106 河南农业大学理学院应用化学专业就读 全日制学历
202109-202406 河南大学纳米科学与工程研究院化学专业就读 全日制研究生
202408-2025 南都实验中学</v>
      </c>
    </row>
    <row r="5144" spans="1:9">
      <c r="A5144" s="1" t="str">
        <f>"41132220011230207X"</f>
        <v>41132220011230207X</v>
      </c>
      <c r="B5144" s="1" t="str">
        <f>"中共党员"</f>
        <v>中共党员</v>
      </c>
      <c r="C5144" s="1" t="str">
        <f t="shared" si="2531"/>
        <v>本科</v>
      </c>
      <c r="D5144" s="1" t="str">
        <f>"2024-06-30"</f>
        <v>2024-06-30</v>
      </c>
      <c r="E5144" s="1" t="str">
        <f>"桂林理工大学"</f>
        <v>桂林理工大学</v>
      </c>
      <c r="F5144" s="1" t="str">
        <f>"社会工作"</f>
        <v>社会工作</v>
      </c>
      <c r="G5144" s="1" t="str">
        <f>"南阳市宛城区牛王庙社区"</f>
        <v>南阳市宛城区牛王庙社区</v>
      </c>
      <c r="H5144" s="1" t="str">
        <f>"初级社会工作者"</f>
        <v>初级社会工作者</v>
      </c>
      <c r="I5144" s="1" t="str">
        <f>"202009-202406，桂林理工大学公共管理学院社会工作专业就读，全日制学历；202409至今，待业"</f>
        <v>202009-202406，桂林理工大学公共管理学院社会工作专业就读，全日制学历；202409至今，待业</v>
      </c>
    </row>
    <row r="5145" spans="1:9">
      <c r="A5145" s="1" t="str">
        <f>"411327200007043725"</f>
        <v>411327200007043725</v>
      </c>
      <c r="B5145" s="1" t="str">
        <f t="shared" ref="B5145:B5149" si="2532">"共青团员"</f>
        <v>共青团员</v>
      </c>
      <c r="C5145" s="1" t="str">
        <f t="shared" si="2531"/>
        <v>本科</v>
      </c>
      <c r="D5145" s="1" t="str">
        <f>"20230 701"</f>
        <v>20230 701</v>
      </c>
      <c r="E5145" s="1" t="str">
        <f>"河南科技学院"</f>
        <v>河南科技学院</v>
      </c>
      <c r="F5145" s="1" t="str">
        <f>"园林"</f>
        <v>园林</v>
      </c>
      <c r="G5145" s="1" t="str">
        <f>"河南省南阳市内乡县桃溪镇桃庄河村张家岭12号"</f>
        <v>河南省南阳市内乡县桃溪镇桃庄河村张家岭12号</v>
      </c>
      <c r="H5145" s="1" t="str">
        <f>"园林高级绿化工"</f>
        <v>园林高级绿化工</v>
      </c>
      <c r="I5145" s="1" t="str">
        <f>"201909-202307河南科技学院园艺园林学院园林专业就读是全日制学历202309-202407南阳市卧龙区中州高级中学教师202407-202508湖州欧思兰化妆品有限公司行政"</f>
        <v>201909-202307河南科技学院园艺园林学院园林专业就读是全日制学历202309-202407南阳市卧龙区中州高级中学教师202407-202508湖州欧思兰化妆品有限公司行政</v>
      </c>
    </row>
    <row r="5146" spans="1:9">
      <c r="A5146" s="1" t="str">
        <f>"41132720010828259X"</f>
        <v>41132720010828259X</v>
      </c>
      <c r="B5146" s="1" t="str">
        <f t="shared" si="2532"/>
        <v>共青团员</v>
      </c>
      <c r="C5146" s="1" t="str">
        <f>"专科"</f>
        <v>专科</v>
      </c>
      <c r="D5146" s="1" t="str">
        <f>"20230630"</f>
        <v>20230630</v>
      </c>
      <c r="E5146" s="1" t="str">
        <f>"广东水利电力职业技术学院"</f>
        <v>广东水利电力职业技术学院</v>
      </c>
      <c r="F5146" s="1" t="str">
        <f>"机电一体化技术"</f>
        <v>机电一体化技术</v>
      </c>
      <c r="G5146" s="1" t="str">
        <f>"河南省南阳市内乡县"</f>
        <v>河南省南阳市内乡县</v>
      </c>
      <c r="H5146" s="1" t="str">
        <f t="shared" ref="H5146:H5148" si="2533">"无"</f>
        <v>无</v>
      </c>
      <c r="I5146" s="1" t="str">
        <f>"20201010-20230630 广东水利电力职业技术学院就读。
2020年10月10日至2023年6月30日在广东水利电力职业技术学院智能制造院机电一体化专业就读 是全日制学历 2023年7月1日至今在河南利牧设备有限公司就业。"</f>
        <v>20201010-20230630 广东水利电力职业技术学院就读。
2020年10月10日至2023年6月30日在广东水利电力职业技术学院智能制造院机电一体化专业就读 是全日制学历 2023年7月1日至今在河南利牧设备有限公司就业。</v>
      </c>
    </row>
    <row r="5147" spans="1:9">
      <c r="A5147" s="1" t="str">
        <f>"411327199305150048"</f>
        <v>411327199305150048</v>
      </c>
      <c r="B5147" s="1" t="str">
        <f t="shared" si="2530"/>
        <v>群众</v>
      </c>
      <c r="C5147" s="1" t="str">
        <f t="shared" ref="C5147:C5152" si="2534">"本科"</f>
        <v>本科</v>
      </c>
      <c r="D5147" s="1" t="str">
        <f>"20150701"</f>
        <v>20150701</v>
      </c>
      <c r="E5147" s="1" t="str">
        <f>"黄河科技学院"</f>
        <v>黄河科技学院</v>
      </c>
      <c r="F5147" s="1" t="str">
        <f>"艺术设计（环境艺术设计方向）"</f>
        <v>艺术设计（环境艺术设计方向）</v>
      </c>
      <c r="G5147" s="1" t="str">
        <f>"河南省 南阳市内乡县"</f>
        <v>河南省 南阳市内乡县</v>
      </c>
      <c r="H5147" s="1" t="str">
        <f t="shared" si="2533"/>
        <v>无</v>
      </c>
      <c r="I5147" s="1" t="str">
        <f>"201009-201509 黄河科技学院 就读  全日制
201509-201909 岞曲中心小学
201909-至今  内乡六小"</f>
        <v>201009-201509 黄河科技学院 就读  全日制
201509-201909 岞曲中心小学
201909-至今  内乡六小</v>
      </c>
    </row>
    <row r="5148" spans="1:9">
      <c r="A5148" s="1" t="str">
        <f>"411327200207210022"</f>
        <v>411327200207210022</v>
      </c>
      <c r="B5148" s="1" t="str">
        <f t="shared" si="2532"/>
        <v>共青团员</v>
      </c>
      <c r="C5148" s="1" t="str">
        <f t="shared" si="2534"/>
        <v>本科</v>
      </c>
      <c r="D5148" s="1" t="str">
        <f>"20240620"</f>
        <v>20240620</v>
      </c>
      <c r="E5148" s="1" t="str">
        <f>"郑州西亚斯学院"</f>
        <v>郑州西亚斯学院</v>
      </c>
      <c r="F5148" s="1" t="str">
        <f>"金融学"</f>
        <v>金融学</v>
      </c>
      <c r="G5148" s="1" t="str">
        <f>"河南省南阳市内乡县范蠡大街"</f>
        <v>河南省南阳市内乡县范蠡大街</v>
      </c>
      <c r="H5148" s="1" t="str">
        <f t="shared" si="2533"/>
        <v>无</v>
      </c>
      <c r="I5148" s="1" t="str">
        <f>"202009-202406 郑州西亚斯学院 就读堪萨斯国际学院金融学专业 全日制学历"</f>
        <v>202009-202406 郑州西亚斯学院 就读堪萨斯国际学院金融学专业 全日制学历</v>
      </c>
    </row>
    <row r="5149" spans="1:9">
      <c r="A5149" s="1" t="str">
        <f>"41132320030714002X"</f>
        <v>41132320030714002X</v>
      </c>
      <c r="B5149" s="1" t="str">
        <f t="shared" si="2532"/>
        <v>共青团员</v>
      </c>
      <c r="C5149" s="1" t="str">
        <f>"专科"</f>
        <v>专科</v>
      </c>
      <c r="D5149" s="1" t="str">
        <f>"20240612"</f>
        <v>20240612</v>
      </c>
      <c r="E5149" s="1" t="str">
        <f>"南阳医学高等专科学校"</f>
        <v>南阳医学高等专科学校</v>
      </c>
      <c r="F5149" s="1" t="str">
        <f>"康复治疗技术"</f>
        <v>康复治疗技术</v>
      </c>
      <c r="G5149" s="1" t="str">
        <f>"河南省南阳市淅川县"</f>
        <v>河南省南阳市淅川县</v>
      </c>
      <c r="H5149" s="1" t="str">
        <f>"脊柱按摩师高级工"</f>
        <v>脊柱按摩师高级工</v>
      </c>
      <c r="I5149" s="1" t="str">
        <f>"202109-202406南阳医学高等专科学校康复治疗技术专业就读。全日制学历"</f>
        <v>202109-202406南阳医学高等专科学校康复治疗技术专业就读。全日制学历</v>
      </c>
    </row>
    <row r="5150" spans="1:9">
      <c r="A5150" s="1" t="str">
        <f>"411327200210122939"</f>
        <v>411327200210122939</v>
      </c>
      <c r="B5150" s="1" t="str">
        <f t="shared" ref="B5150:B5153" si="2535">"群众"</f>
        <v>群众</v>
      </c>
      <c r="C5150" s="1" t="str">
        <f t="shared" si="2534"/>
        <v>本科</v>
      </c>
      <c r="D5150" s="1" t="str">
        <f>"20240620"</f>
        <v>20240620</v>
      </c>
      <c r="E5150" s="1" t="str">
        <f>"内蒙古民族大学"</f>
        <v>内蒙古民族大学</v>
      </c>
      <c r="F5150" s="1" t="str">
        <f>"园林"</f>
        <v>园林</v>
      </c>
      <c r="G5150" s="1" t="str">
        <f>"河南省南阳市内乡县瓦亭镇闫湾村"</f>
        <v>河南省南阳市内乡县瓦亭镇闫湾村</v>
      </c>
      <c r="H5150" s="1" t="str">
        <f t="shared" ref="H5150:H5159" si="2536">"无"</f>
        <v>无</v>
      </c>
      <c r="I5150" s="1" t="str">
        <f>"202009-202406 内蒙古民族大学草业学院园林专业 就读 全日制学历
202406-202507 内乡县待业"</f>
        <v>202009-202406 内蒙古民族大学草业学院园林专业 就读 全日制学历
202406-202507 内乡县待业</v>
      </c>
    </row>
    <row r="5151" spans="1:9">
      <c r="A5151" s="1" t="str">
        <f>"411327200001061527"</f>
        <v>411327200001061527</v>
      </c>
      <c r="B5151" s="1" t="str">
        <f t="shared" si="2535"/>
        <v>群众</v>
      </c>
      <c r="C5151" s="1" t="str">
        <f t="shared" si="2534"/>
        <v>本科</v>
      </c>
      <c r="D5151" s="1" t="str">
        <f>"20220630"</f>
        <v>20220630</v>
      </c>
      <c r="E5151" s="1" t="str">
        <f>"郑州工商学院"</f>
        <v>郑州工商学院</v>
      </c>
      <c r="F5151" s="1" t="str">
        <f>"计算机科学与技术"</f>
        <v>计算机科学与技术</v>
      </c>
      <c r="G5151" s="1" t="str">
        <f>"河南省南阳市内乡县湍东镇学府公馆"</f>
        <v>河南省南阳市内乡县湍东镇学府公馆</v>
      </c>
      <c r="H5151" s="1" t="str">
        <f t="shared" si="2536"/>
        <v>无</v>
      </c>
      <c r="I5151" s="1" t="str">
        <f>"201809-202206郑州工商学院工学院计算机科学与技术专业就读，是全日制学历。
202209-202312实习于内乡县聚爱财税有限公司
202302-202309于南阳市第九完全学校上班
202209-202406于内乡县郦都学校初中部上班
202409-202506于内乡县复兴学校初中部上班"</f>
        <v>201809-202206郑州工商学院工学院计算机科学与技术专业就读，是全日制学历。
202209-202312实习于内乡县聚爱财税有限公司
202302-202309于南阳市第九完全学校上班
202209-202406于内乡县郦都学校初中部上班
202409-202506于内乡县复兴学校初中部上班</v>
      </c>
    </row>
    <row r="5152" spans="1:9">
      <c r="A5152" s="1" t="str">
        <f>"411327200203101128"</f>
        <v>411327200203101128</v>
      </c>
      <c r="B5152" s="1" t="str">
        <f t="shared" si="2535"/>
        <v>群众</v>
      </c>
      <c r="C5152" s="1" t="str">
        <f t="shared" si="2534"/>
        <v>本科</v>
      </c>
      <c r="D5152" s="1" t="str">
        <f>"20250607"</f>
        <v>20250607</v>
      </c>
      <c r="E5152" s="1" t="str">
        <f>"商丘师范学院"</f>
        <v>商丘师范学院</v>
      </c>
      <c r="F5152" s="1" t="str">
        <f>"建筑学"</f>
        <v>建筑学</v>
      </c>
      <c r="G5152" s="1" t="str">
        <f>"河南省南阳市内乡县"</f>
        <v>河南省南阳市内乡县</v>
      </c>
      <c r="H5152" s="1" t="str">
        <f>"三级智能楼宇管理员 、工学学士学位、"</f>
        <v>三级智能楼宇管理员 、工学学士学位、</v>
      </c>
      <c r="I5152" s="1" t="str">
        <f>"202009-202506 在商丘师范学院就读建筑工程学院建筑学。是全日制学历"</f>
        <v>202009-202506 在商丘师范学院就读建筑工程学院建筑学。是全日制学历</v>
      </c>
    </row>
    <row r="5153" spans="1:9">
      <c r="A5153" s="1" t="str">
        <f>"411327199803150032"</f>
        <v>411327199803150032</v>
      </c>
      <c r="B5153" s="1" t="str">
        <f t="shared" si="2535"/>
        <v>群众</v>
      </c>
      <c r="C5153" s="1" t="str">
        <f>"专科"</f>
        <v>专科</v>
      </c>
      <c r="D5153" s="1" t="str">
        <f>"20200701"</f>
        <v>20200701</v>
      </c>
      <c r="E5153" s="1" t="str">
        <f>"开封大学"</f>
        <v>开封大学</v>
      </c>
      <c r="F5153" s="1" t="str">
        <f>"计算机应用技术"</f>
        <v>计算机应用技术</v>
      </c>
      <c r="G5153" s="1" t="str">
        <f>"河南省南阳市内乡县城关镇东风村东风西路1号"</f>
        <v>河南省南阳市内乡县城关镇东风村东风西路1号</v>
      </c>
      <c r="H5153" s="1" t="str">
        <f t="shared" si="2536"/>
        <v>无</v>
      </c>
      <c r="I5153" s="1" t="str">
        <f>"201803—202007开封大学就读计算机应用技术专业，非全日制。
201809—202409就业于内乡县公安局交警大队。
202409—至今就业于内乡县联通公司。"</f>
        <v>201803—202007开封大学就读计算机应用技术专业，非全日制。
201809—202409就业于内乡县公安局交警大队。
202409—至今就业于内乡县联通公司。</v>
      </c>
    </row>
    <row r="5154" spans="1:9">
      <c r="A5154" s="1" t="str">
        <f>"410802200011010167"</f>
        <v>410802200011010167</v>
      </c>
      <c r="B5154" s="1" t="str">
        <f>"共青团员"</f>
        <v>共青团员</v>
      </c>
      <c r="C5154" s="1" t="str">
        <f t="shared" ref="C5154:C5162" si="2537">"本科"</f>
        <v>本科</v>
      </c>
      <c r="D5154" s="1" t="str">
        <f>"20250701"</f>
        <v>20250701</v>
      </c>
      <c r="E5154" s="1" t="str">
        <f>"河南开封科技传媒学院"</f>
        <v>河南开封科技传媒学院</v>
      </c>
      <c r="F5154" s="1" t="str">
        <f>"汉语言文学（师范）"</f>
        <v>汉语言文学（师范）</v>
      </c>
      <c r="G5154" s="1" t="str">
        <f>"河南省焦作市解放区"</f>
        <v>河南省焦作市解放区</v>
      </c>
      <c r="H5154" s="1" t="str">
        <f t="shared" si="2536"/>
        <v>无</v>
      </c>
      <c r="I5154" s="1" t="str">
        <f>"202009-202306 河南师范大学新联学院 文学与传媒学院 语文教育
202309-202506 河南开封科技传媒学院 人文学院 汉语言文学（师范）"</f>
        <v>202009-202306 河南师范大学新联学院 文学与传媒学院 语文教育
202309-202506 河南开封科技传媒学院 人文学院 汉语言文学（师范）</v>
      </c>
    </row>
    <row r="5155" spans="1:9">
      <c r="A5155" s="1" t="str">
        <f>"411321200009260944"</f>
        <v>411321200009260944</v>
      </c>
      <c r="B5155" s="1" t="str">
        <f>"中共党员"</f>
        <v>中共党员</v>
      </c>
      <c r="C5155" s="1" t="str">
        <f t="shared" si="2537"/>
        <v>本科</v>
      </c>
      <c r="D5155" s="1" t="str">
        <f>"20220610"</f>
        <v>20220610</v>
      </c>
      <c r="E5155" s="1" t="str">
        <f>"新乡学院"</f>
        <v>新乡学院</v>
      </c>
      <c r="F5155" s="1" t="str">
        <f>"城乡规划"</f>
        <v>城乡规划</v>
      </c>
      <c r="G5155" s="1" t="str">
        <f>"北西村五组汉水路1号"</f>
        <v>北西村五组汉水路1号</v>
      </c>
      <c r="H5155" s="1" t="str">
        <f t="shared" si="2536"/>
        <v>无</v>
      </c>
      <c r="I5155" s="1" t="str">
        <f>"201809-202206 新乡学院 土木工程与建筑学院 城乡规划专业就读 全日制学历
202207-202301 河南省桐柏县待业
202302-202310 中电云科信息技术有限公司就业
202311-202402 河南省桐柏县待业
202402-202501 桐柏县盘古学校就业
202501至今 河南省桐柏县待业"</f>
        <v>201809-202206 新乡学院 土木工程与建筑学院 城乡规划专业就读 全日制学历
202207-202301 河南省桐柏县待业
202302-202310 中电云科信息技术有限公司就业
202311-202402 河南省桐柏县待业
202402-202501 桐柏县盘古学校就业
202501至今 河南省桐柏县待业</v>
      </c>
    </row>
    <row r="5156" spans="1:9">
      <c r="A5156" s="1" t="str">
        <f>"41130320030326023X"</f>
        <v>41130320030326023X</v>
      </c>
      <c r="B5156" s="1" t="str">
        <f t="shared" ref="B5156:B5160" si="2538">"群众"</f>
        <v>群众</v>
      </c>
      <c r="C5156" s="1" t="str">
        <f t="shared" si="2537"/>
        <v>本科</v>
      </c>
      <c r="D5156" s="1" t="str">
        <f>"20250606"</f>
        <v>20250606</v>
      </c>
      <c r="E5156" s="1" t="str">
        <f>"南阳师范学院"</f>
        <v>南阳师范学院</v>
      </c>
      <c r="F5156" s="1" t="str">
        <f>"音乐学"</f>
        <v>音乐学</v>
      </c>
      <c r="G5156" s="1" t="str">
        <f>"河南省南阳市鸭河口水库工程运行保障中心电站家属院"</f>
        <v>河南省南阳市鸭河口水库工程运行保障中心电站家属院</v>
      </c>
      <c r="H5156" s="1" t="str">
        <f t="shared" si="2536"/>
        <v>无</v>
      </c>
      <c r="I5156" s="1" t="str">
        <f>"202109-202506南阳师范学院就读"</f>
        <v>202109-202506南阳师范学院就读</v>
      </c>
    </row>
    <row r="5157" spans="1:9">
      <c r="A5157" s="1" t="str">
        <f>"411525200306194548"</f>
        <v>411525200306194548</v>
      </c>
      <c r="B5157" s="1" t="str">
        <f t="shared" si="2538"/>
        <v>群众</v>
      </c>
      <c r="C5157" s="1" t="str">
        <f t="shared" si="2537"/>
        <v>本科</v>
      </c>
      <c r="D5157" s="1" t="str">
        <f>"20250606"</f>
        <v>20250606</v>
      </c>
      <c r="E5157" s="1" t="str">
        <f>"信阳学院"</f>
        <v>信阳学院</v>
      </c>
      <c r="F5157" s="1" t="str">
        <f>"汉语言文学"</f>
        <v>汉语言文学</v>
      </c>
      <c r="G5157" s="1" t="str">
        <f>"河南省信阳市固始县陈淋子镇"</f>
        <v>河南省信阳市固始县陈淋子镇</v>
      </c>
      <c r="H5157" s="1" t="str">
        <f t="shared" si="2536"/>
        <v>无</v>
      </c>
      <c r="I5157" s="1" t="str">
        <f>"202109-202506 信阳学院文学院汉语言文学专业就读。  为全日制学历"</f>
        <v>202109-202506 信阳学院文学院汉语言文学专业就读。  为全日制学历</v>
      </c>
    </row>
    <row r="5158" spans="1:9">
      <c r="A5158" s="1" t="str">
        <f>"130282199810260011"</f>
        <v>130282199810260011</v>
      </c>
      <c r="B5158" s="1" t="str">
        <f t="shared" si="2538"/>
        <v>群众</v>
      </c>
      <c r="C5158" s="1" t="str">
        <f t="shared" si="2537"/>
        <v>本科</v>
      </c>
      <c r="D5158" s="1" t="str">
        <f>"20220605"</f>
        <v>20220605</v>
      </c>
      <c r="E5158" s="1" t="str">
        <f>"石家庄学院"</f>
        <v>石家庄学院</v>
      </c>
      <c r="F5158" s="1" t="str">
        <f>"人文地理与城乡规划"</f>
        <v>人文地理与城乡规划</v>
      </c>
      <c r="G5158" s="1" t="str">
        <f>"河北省唐山市丰南区胥各庄镇河头里小区"</f>
        <v>河北省唐山市丰南区胥各庄镇河头里小区</v>
      </c>
      <c r="H5158" s="1" t="str">
        <f t="shared" si="2536"/>
        <v>无</v>
      </c>
      <c r="I5158" s="1" t="str">
        <f>"20180901-20220605石家庄学院 资源与环境科学学院 人文地理与城乡规划 就读，全日制学历
20220606-20241231 河北省唐山市丰南区胥各庄镇河头里小区  待业
20250101-至今 河北省唐山市路南区城市管理综合行政执法局  城管（劳务派遣）"</f>
        <v>20180901-20220605石家庄学院 资源与环境科学学院 人文地理与城乡规划 就读，全日制学历
20220606-20241231 河北省唐山市丰南区胥各庄镇河头里小区  待业
20250101-至今 河北省唐山市路南区城市管理综合行政执法局  城管（劳务派遣）</v>
      </c>
    </row>
    <row r="5159" spans="1:9">
      <c r="A5159" s="1" t="str">
        <f>"411327200401224524"</f>
        <v>411327200401224524</v>
      </c>
      <c r="B5159" s="1" t="str">
        <f t="shared" si="2538"/>
        <v>群众</v>
      </c>
      <c r="C5159" s="1" t="str">
        <f t="shared" si="2537"/>
        <v>本科</v>
      </c>
      <c r="D5159" s="1" t="str">
        <f>"20250625"</f>
        <v>20250625</v>
      </c>
      <c r="E5159" s="1" t="str">
        <f>"郑州西亚斯学院"</f>
        <v>郑州西亚斯学院</v>
      </c>
      <c r="F5159" s="1" t="str">
        <f>"音乐表演"</f>
        <v>音乐表演</v>
      </c>
      <c r="G5159" s="1" t="str">
        <f>"河南南阳"</f>
        <v>河南南阳</v>
      </c>
      <c r="H5159" s="1" t="str">
        <f t="shared" si="2536"/>
        <v>无</v>
      </c>
      <c r="I5159" s="1" t="str">
        <f>"202109-202506 郑州西亚斯学院音乐戏剧学院音乐表演专业就读，全日制学历"</f>
        <v>202109-202506 郑州西亚斯学院音乐戏剧学院音乐表演专业就读，全日制学历</v>
      </c>
    </row>
    <row r="5160" spans="1:9">
      <c r="A5160" s="1" t="str">
        <f>"411325199608260655"</f>
        <v>411325199608260655</v>
      </c>
      <c r="B5160" s="1" t="str">
        <f t="shared" si="2538"/>
        <v>群众</v>
      </c>
      <c r="C5160" s="1" t="str">
        <f t="shared" si="2537"/>
        <v>本科</v>
      </c>
      <c r="D5160" s="1" t="str">
        <f>"20190626"</f>
        <v>20190626</v>
      </c>
      <c r="E5160" s="1" t="str">
        <f>"哈尔滨远东理工学院"</f>
        <v>哈尔滨远东理工学院</v>
      </c>
      <c r="F5160" s="1" t="str">
        <f>"机械设计制造及其自动化"</f>
        <v>机械设计制造及其自动化</v>
      </c>
      <c r="G5160" s="1" t="str">
        <f>"河南省内乡县马山口镇老庄村"</f>
        <v>河南省内乡县马山口镇老庄村</v>
      </c>
      <c r="H5160" s="1" t="str">
        <f>"低压电工  高压电工   登高作业   Q2天车操作证"</f>
        <v>低压电工  高压电工   登高作业   Q2天车操作证</v>
      </c>
      <c r="I5160" s="1" t="str">
        <f>"201509-201906  哈尔滨远东理工学院   机械设计制造及其自动化  全日制
201907-202105  山东高速德建集团
202109-202110   浙江龙能电力科技股份有限公司
202110-202207   自由职业者   河南内乡
202208-202212   南阳智驱防爆电气有限公司
202304-202306   镇平想念面粉厂
202309-现在        杭州哲达科技股份有限公司"</f>
        <v>201509-201906  哈尔滨远东理工学院   机械设计制造及其自动化  全日制
201907-202105  山东高速德建集团
202109-202110   浙江龙能电力科技股份有限公司
202110-202207   自由职业者   河南内乡
202208-202212   南阳智驱防爆电气有限公司
202304-202306   镇平想念面粉厂
202309-现在        杭州哲达科技股份有限公司</v>
      </c>
    </row>
    <row r="5161" spans="1:9">
      <c r="A5161" s="1" t="str">
        <f>"41132719991007002X"</f>
        <v>41132719991007002X</v>
      </c>
      <c r="B5161" s="1" t="str">
        <f t="shared" ref="B5161:B5166" si="2539">"共青团员"</f>
        <v>共青团员</v>
      </c>
      <c r="C5161" s="1" t="str">
        <f t="shared" si="2537"/>
        <v>本科</v>
      </c>
      <c r="D5161" s="1" t="str">
        <f>"2022070701"</f>
        <v>2022070701</v>
      </c>
      <c r="E5161" s="1" t="str">
        <f>"郑州科技学院"</f>
        <v>郑州科技学院</v>
      </c>
      <c r="F5161" s="1" t="str">
        <f>"电气工程及其自动化"</f>
        <v>电气工程及其自动化</v>
      </c>
      <c r="G5161" s="1" t="str">
        <f>"河南省南阳市内乡县城关镇宏达南路"</f>
        <v>河南省南阳市内乡县城关镇宏达南路</v>
      </c>
      <c r="H5161" s="1" t="str">
        <f>"高压电工证，普通话证书，英语四级证书"</f>
        <v>高压电工证，普通话证书，英语四级证书</v>
      </c>
      <c r="I5161" s="1" t="str">
        <f>"20170901-20200701郑州电力高等专科学校高压输配电线路施工运行与维护专业就读
20200901-20220701郑州科技学院电气工程及其自动化专业就读"</f>
        <v>20170901-20200701郑州电力高等专科学校高压输配电线路施工运行与维护专业就读
20200901-20220701郑州科技学院电气工程及其自动化专业就读</v>
      </c>
    </row>
    <row r="5162" spans="1:9">
      <c r="A5162" s="1" t="str">
        <f>"412702199308168409"</f>
        <v>412702199308168409</v>
      </c>
      <c r="B5162" s="1" t="str">
        <f>"中共党员"</f>
        <v>中共党员</v>
      </c>
      <c r="C5162" s="1" t="str">
        <f t="shared" si="2537"/>
        <v>本科</v>
      </c>
      <c r="D5162" s="1" t="str">
        <f>"20250620"</f>
        <v>20250620</v>
      </c>
      <c r="E5162" s="1" t="str">
        <f>"商丘师范学院"</f>
        <v>商丘师范学院</v>
      </c>
      <c r="F5162" s="1" t="str">
        <f>"汉语言文学"</f>
        <v>汉语言文学</v>
      </c>
      <c r="G5162" s="1" t="str">
        <f>"河南省南阳市内乡县板场乡让河村"</f>
        <v>河南省南阳市内乡县板场乡让河村</v>
      </c>
      <c r="H5162" s="1" t="str">
        <f t="shared" ref="H5162:H5164" si="2540">"无"</f>
        <v>无</v>
      </c>
      <c r="I5162" s="1" t="str">
        <f>"200909-201207 郑州职业技术学院就读 大众传媒系新闻采编与制作专业 是全日制学历
201209-201607 在项城市宇佳学校小学部任教三年级语文及初中部七年级生物 
201609-201806 内乡县待业
201807至今由劳务公司派遣至板场乡人民政府服务
20230501-20250620 商丘师范学院 继续教育学院 汉语言文学就读 成人高等教育"</f>
        <v>200909-201207 郑州职业技术学院就读 大众传媒系新闻采编与制作专业 是全日制学历
201209-201607 在项城市宇佳学校小学部任教三年级语文及初中部七年级生物 
201609-201806 内乡县待业
201807至今由劳务公司派遣至板场乡人民政府服务
20230501-20250620 商丘师范学院 继续教育学院 汉语言文学就读 成人高等教育</v>
      </c>
    </row>
    <row r="5163" spans="1:9">
      <c r="A5163" s="1" t="str">
        <f>"411327199909071527"</f>
        <v>411327199909071527</v>
      </c>
      <c r="B5163" s="1" t="str">
        <f t="shared" ref="B5163:B5168" si="2541">"群众"</f>
        <v>群众</v>
      </c>
      <c r="C5163" s="1" t="str">
        <f>"专科"</f>
        <v>专科</v>
      </c>
      <c r="D5163" s="1" t="str">
        <f t="shared" ref="D5163:D5168" si="2542">"20240701"</f>
        <v>20240701</v>
      </c>
      <c r="E5163" s="1" t="str">
        <f>"南阳职业学院"</f>
        <v>南阳职业学院</v>
      </c>
      <c r="F5163" s="1" t="str">
        <f>"市场营销"</f>
        <v>市场营销</v>
      </c>
      <c r="G5163" s="1" t="str">
        <f>"河南省南阳市内乡县湍东镇东王营安西"</f>
        <v>河南省南阳市内乡县湍东镇东王营安西</v>
      </c>
      <c r="H5163" s="1" t="str">
        <f t="shared" si="2540"/>
        <v>无</v>
      </c>
      <c r="I5163" s="1" t="str">
        <f>"20220901—20240701南阳职业学院就读。2022年9月1日至2024年7月1日在南阳职业学院商学院市场营销专业就读。是全日制学历"</f>
        <v>20220901—20240701南阳职业学院就读。2022年9月1日至2024年7月1日在南阳职业学院商学院市场营销专业就读。是全日制学历</v>
      </c>
    </row>
    <row r="5164" spans="1:9">
      <c r="A5164" s="1" t="str">
        <f>"411327200303050022"</f>
        <v>411327200303050022</v>
      </c>
      <c r="B5164" s="1" t="str">
        <f t="shared" si="2539"/>
        <v>共青团员</v>
      </c>
      <c r="C5164" s="1" t="str">
        <f t="shared" ref="C5164:C5166" si="2543">"本科"</f>
        <v>本科</v>
      </c>
      <c r="D5164" s="1" t="str">
        <f>"20250615"</f>
        <v>20250615</v>
      </c>
      <c r="E5164" s="1" t="str">
        <f>"许昌学院"</f>
        <v>许昌学院</v>
      </c>
      <c r="F5164" s="1" t="str">
        <f>"人力资源管理"</f>
        <v>人力资源管理</v>
      </c>
      <c r="G5164" s="1" t="str">
        <f>"河南省南阳市内乡县城关镇"</f>
        <v>河南省南阳市内乡县城关镇</v>
      </c>
      <c r="H5164" s="1" t="str">
        <f t="shared" si="2540"/>
        <v>无</v>
      </c>
      <c r="I5164" s="1" t="str">
        <f>"202109-202506在许昌学院国际教育学院人力资源管理专业就读，全日制学历"</f>
        <v>202109-202506在许昌学院国际教育学院人力资源管理专业就读，全日制学历</v>
      </c>
    </row>
    <row r="5165" spans="1:9">
      <c r="A5165" s="1" t="str">
        <f>"412822199403220472"</f>
        <v>412822199403220472</v>
      </c>
      <c r="B5165" s="1" t="str">
        <f t="shared" si="2541"/>
        <v>群众</v>
      </c>
      <c r="C5165" s="1" t="str">
        <f t="shared" si="2543"/>
        <v>本科</v>
      </c>
      <c r="D5165" s="1" t="str">
        <f>"20170630"</f>
        <v>20170630</v>
      </c>
      <c r="E5165" s="1" t="str">
        <f>"长沙理工大学"</f>
        <v>长沙理工大学</v>
      </c>
      <c r="F5165" s="1" t="str">
        <f>"土木工程"</f>
        <v>土木工程</v>
      </c>
      <c r="G5165" s="1" t="str">
        <f>"河南驻马店泌阳县"</f>
        <v>河南驻马店泌阳县</v>
      </c>
      <c r="H5165" s="1" t="str">
        <f>"一级建造师-建筑工程"</f>
        <v>一级建造师-建筑工程</v>
      </c>
      <c r="I5165" s="1" t="str">
        <f>"201309-201706长沙理工大学交通运输学院土木工程专业就读，全日制。"</f>
        <v>201309-201706长沙理工大学交通运输学院土木工程专业就读，全日制。</v>
      </c>
    </row>
    <row r="5166" spans="1:9">
      <c r="A5166" s="1" t="str">
        <f>"411081200206065689"</f>
        <v>411081200206065689</v>
      </c>
      <c r="B5166" s="1" t="str">
        <f t="shared" si="2539"/>
        <v>共青团员</v>
      </c>
      <c r="C5166" s="1" t="str">
        <f t="shared" si="2543"/>
        <v>本科</v>
      </c>
      <c r="D5166" s="1" t="str">
        <f t="shared" si="2542"/>
        <v>20240701</v>
      </c>
      <c r="E5166" s="1" t="str">
        <f>"信阳师范大学"</f>
        <v>信阳师范大学</v>
      </c>
      <c r="F5166" s="1" t="str">
        <f>"人工智能"</f>
        <v>人工智能</v>
      </c>
      <c r="G5166" s="1" t="str">
        <f>"河南省许昌市苌庄乡锁石沟村"</f>
        <v>河南省许昌市苌庄乡锁石沟村</v>
      </c>
      <c r="H5166" s="1" t="str">
        <f t="shared" ref="H5166:H5171" si="2544">"无"</f>
        <v>无</v>
      </c>
      <c r="I5166" s="1" t="str">
        <f>"202009-202407信阳师范大学计算机与信息技术学院就读人工智能专业，全日制。
202408-至今，待业"</f>
        <v>202009-202407信阳师范大学计算机与信息技术学院就读人工智能专业，全日制。
202408-至今，待业</v>
      </c>
    </row>
    <row r="5167" spans="1:9">
      <c r="A5167" s="1" t="str">
        <f>"411327200303024529"</f>
        <v>411327200303024529</v>
      </c>
      <c r="B5167" s="1" t="str">
        <f t="shared" si="2541"/>
        <v>群众</v>
      </c>
      <c r="C5167" s="1" t="str">
        <f>"专科"</f>
        <v>专科</v>
      </c>
      <c r="D5167" s="1" t="str">
        <f t="shared" si="2542"/>
        <v>20240701</v>
      </c>
      <c r="E5167" s="1" t="str">
        <f>"商丘职业技术学院"</f>
        <v>商丘职业技术学院</v>
      </c>
      <c r="F5167" s="1" t="str">
        <f>"婴幼儿托育服务与管理"</f>
        <v>婴幼儿托育服务与管理</v>
      </c>
      <c r="G5167" s="1" t="str">
        <f>"河南省南阳市内乡县赵店乡莲花村上东"</f>
        <v>河南省南阳市内乡县赵店乡莲花村上东</v>
      </c>
      <c r="H5167" s="1" t="str">
        <f>"普通话二级甲等"</f>
        <v>普通话二级甲等</v>
      </c>
      <c r="I5167" s="1" t="str">
        <f>"202109-202407商丘职业技术学院 婴幼儿托育服务与管理就读 全日制"</f>
        <v>202109-202407商丘职业技术学院 婴幼儿托育服务与管理就读 全日制</v>
      </c>
    </row>
    <row r="5168" spans="1:9">
      <c r="A5168" s="1" t="str">
        <f>"411502200112050517"</f>
        <v>411502200112050517</v>
      </c>
      <c r="B5168" s="1" t="str">
        <f t="shared" si="2541"/>
        <v>群众</v>
      </c>
      <c r="C5168" s="1" t="str">
        <f t="shared" ref="C5168:C5173" si="2545">"本科"</f>
        <v>本科</v>
      </c>
      <c r="D5168" s="1" t="str">
        <f t="shared" si="2542"/>
        <v>20240701</v>
      </c>
      <c r="E5168" s="1" t="str">
        <f>"华北水利水电大学"</f>
        <v>华北水利水电大学</v>
      </c>
      <c r="F5168" s="1" t="str">
        <f>"数学与应用数学"</f>
        <v>数学与应用数学</v>
      </c>
      <c r="G5168" s="1" t="str">
        <f>"河南省信阳市浉河区弘昌运动城"</f>
        <v>河南省信阳市浉河区弘昌运动城</v>
      </c>
      <c r="H5168" s="1" t="str">
        <f t="shared" si="2544"/>
        <v>无</v>
      </c>
      <c r="I5168" s="1" t="str">
        <f>"202009-202407华北水利水电大学数学与统计学院数学与应用数学系就读
202407-202507河南省信阳市待业"</f>
        <v>202009-202407华北水利水电大学数学与统计学院数学与应用数学系就读
202407-202507河南省信阳市待业</v>
      </c>
    </row>
    <row r="5169" spans="1:9">
      <c r="A5169" s="1" t="str">
        <f>"411324200309175820"</f>
        <v>411324200309175820</v>
      </c>
      <c r="B5169" s="1" t="str">
        <f t="shared" ref="B5169:B5174" si="2546">"共青团员"</f>
        <v>共青团员</v>
      </c>
      <c r="C5169" s="1" t="str">
        <f t="shared" si="2545"/>
        <v>本科</v>
      </c>
      <c r="D5169" s="1" t="str">
        <f>"2025-06-20"</f>
        <v>2025-06-20</v>
      </c>
      <c r="E5169" s="1" t="str">
        <f>"江苏师范大学"</f>
        <v>江苏师范大学</v>
      </c>
      <c r="F5169" s="1" t="str">
        <f>"小学教育"</f>
        <v>小学教育</v>
      </c>
      <c r="G5169" s="1" t="str">
        <f>"河南省南阳市镇平县财富世家"</f>
        <v>河南省南阳市镇平县财富世家</v>
      </c>
      <c r="H5169" s="1" t="str">
        <f t="shared" si="2544"/>
        <v>无</v>
      </c>
      <c r="I5169" s="1" t="str">
        <f>"202109-202206   就读于连云港师范高等专科学校数字媒体专业 全日制
202209-202406   就读于连云港师范高等专科学校小学教育专业 全日制
202309-2025-06  就读于江苏师范大学小学教育专业 非全日制本科"</f>
        <v>202109-202206   就读于连云港师范高等专科学校数字媒体专业 全日制
202209-202406   就读于连云港师范高等专科学校小学教育专业 全日制
202309-2025-06  就读于江苏师范大学小学教育专业 非全日制本科</v>
      </c>
    </row>
    <row r="5170" spans="1:9">
      <c r="A5170" s="1" t="str">
        <f>"411327199305070013"</f>
        <v>411327199305070013</v>
      </c>
      <c r="B5170" s="1" t="str">
        <f t="shared" ref="B5170:B5175" si="2547">"群众"</f>
        <v>群众</v>
      </c>
      <c r="C5170" s="1" t="str">
        <f>"专科"</f>
        <v>专科</v>
      </c>
      <c r="D5170" s="1" t="str">
        <f>"20140701"</f>
        <v>20140701</v>
      </c>
      <c r="E5170" s="1" t="str">
        <f>"开封大学"</f>
        <v>开封大学</v>
      </c>
      <c r="F5170" s="1" t="str">
        <f>"图形图像制作"</f>
        <v>图形图像制作</v>
      </c>
      <c r="G5170" s="1" t="str">
        <f>"河南省内乡县城关镇郦都大道"</f>
        <v>河南省内乡县城关镇郦都大道</v>
      </c>
      <c r="H5170" s="1" t="str">
        <f t="shared" si="2544"/>
        <v>无</v>
      </c>
      <c r="I5170" s="1" t="str">
        <f>"201209——201407，在开封大学就读，学习图形图像专业，全日制；
201407——201412在家待业；
201501——201608，在内乡久联神威民爆公司；
201609——202102，在内乡交警队工作；
202102——202208，在内乡牧原；
202209——至今，在内乡复兴学校。"</f>
        <v>201209——201407，在开封大学就读，学习图形图像专业，全日制；
201407——201412在家待业；
201501——201608，在内乡久联神威民爆公司；
201609——202102，在内乡交警队工作；
202102——202208，在内乡牧原；
202209——至今，在内乡复兴学校。</v>
      </c>
    </row>
    <row r="5171" spans="1:9">
      <c r="A5171" s="1" t="str">
        <f>"412728199404044522"</f>
        <v>412728199404044522</v>
      </c>
      <c r="B5171" s="1" t="str">
        <f>"中共党员"</f>
        <v>中共党员</v>
      </c>
      <c r="C5171" s="1" t="str">
        <f t="shared" si="2545"/>
        <v>本科</v>
      </c>
      <c r="D5171" s="1" t="str">
        <f>"201707"</f>
        <v>201707</v>
      </c>
      <c r="E5171" s="1" t="str">
        <f>"河南理工大学万方科技学院"</f>
        <v>河南理工大学万方科技学院</v>
      </c>
      <c r="F5171" s="1" t="str">
        <f>"土木工程"</f>
        <v>土木工程</v>
      </c>
      <c r="G5171" s="1" t="str">
        <f>"河南省郑州市郑东新区建业春天里"</f>
        <v>河南省郑州市郑东新区建业春天里</v>
      </c>
      <c r="H5171" s="1" t="str">
        <f t="shared" si="2544"/>
        <v>无</v>
      </c>
      <c r="I5171" s="1" t="str">
        <f>"201309-201707 河南理工大学万方科技学院建筑与测绘工程系土木工程专业就读，全日制本科；
201707-202211 就职于河南建业至尊酒店管理有限公司；
202211-202405 在郑州市待业；
202406-202409 就职于河南普罗现代农业有限公司。"</f>
        <v>201309-201707 河南理工大学万方科技学院建筑与测绘工程系土木工程专业就读，全日制本科；
201707-202211 就职于河南建业至尊酒店管理有限公司；
202211-202405 在郑州市待业；
202406-202409 就职于河南普罗现代农业有限公司。</v>
      </c>
    </row>
    <row r="5172" spans="1:9">
      <c r="A5172" s="1" t="str">
        <f>"411327200010074522"</f>
        <v>411327200010074522</v>
      </c>
      <c r="B5172" s="1" t="str">
        <f t="shared" si="2546"/>
        <v>共青团员</v>
      </c>
      <c r="C5172" s="1" t="str">
        <f t="shared" si="2545"/>
        <v>本科</v>
      </c>
      <c r="D5172" s="1" t="str">
        <f>"2025.07.01"</f>
        <v>2025.07.01</v>
      </c>
      <c r="E5172" s="1" t="str">
        <f>"长春中医药大学"</f>
        <v>长春中医药大学</v>
      </c>
      <c r="F5172" s="1" t="str">
        <f>"护理学"</f>
        <v>护理学</v>
      </c>
      <c r="G5172" s="1" t="str">
        <f>"河南省南阳市内乡县人民医院透析室"</f>
        <v>河南省南阳市内乡县人民医院透析室</v>
      </c>
      <c r="H5172" s="1" t="str">
        <f>"护士资格证"</f>
        <v>护士资格证</v>
      </c>
      <c r="I5172" s="1" t="str">
        <f>"2019.09.01-2022.07.01 信阳职业技术学院  护理学 全日制专科
2022.09.01-2023.05.01  内乡县人民医院 护士  职工
2023.05.01-2025.07.01  长春中医药大学   护理学    非全日制成人本科 （函授）"</f>
        <v>2019.09.01-2022.07.01 信阳职业技术学院  护理学 全日制专科
2022.09.01-2023.05.01  内乡县人民医院 护士  职工
2023.05.01-2025.07.01  长春中医药大学   护理学    非全日制成人本科 （函授）</v>
      </c>
    </row>
    <row r="5173" spans="1:9">
      <c r="A5173" s="1" t="str">
        <f>"411325200203070314"</f>
        <v>411325200203070314</v>
      </c>
      <c r="B5173" s="1" t="str">
        <f t="shared" si="2547"/>
        <v>群众</v>
      </c>
      <c r="C5173" s="1" t="str">
        <f t="shared" si="2545"/>
        <v>本科</v>
      </c>
      <c r="D5173" s="1" t="str">
        <f>"20240701"</f>
        <v>20240701</v>
      </c>
      <c r="E5173" s="1" t="str">
        <f>"北方民族大学"</f>
        <v>北方民族大学</v>
      </c>
      <c r="F5173" s="1" t="str">
        <f>"经济学"</f>
        <v>经济学</v>
      </c>
      <c r="G5173" s="1" t="str">
        <f>"河南省南阳市内乡县"</f>
        <v>河南省南阳市内乡县</v>
      </c>
      <c r="H5173" s="1" t="str">
        <f t="shared" ref="H5173:H5178" si="2548">"无"</f>
        <v>无</v>
      </c>
      <c r="I5173" s="1" t="str">
        <f>"202009-202406 北方民族大学 经济学 quan'Q98;riQ98;z"</f>
        <v>202009-202406 北方民族大学 经济学 quan'Q98;riQ98;z</v>
      </c>
    </row>
    <row r="5174" spans="1:9">
      <c r="A5174" s="1" t="str">
        <f>"411324200302104915"</f>
        <v>411324200302104915</v>
      </c>
      <c r="B5174" s="1" t="str">
        <f t="shared" si="2546"/>
        <v>共青团员</v>
      </c>
      <c r="C5174" s="1" t="str">
        <f>"专科"</f>
        <v>专科</v>
      </c>
      <c r="D5174" s="1" t="str">
        <f>"20230606"</f>
        <v>20230606</v>
      </c>
      <c r="E5174" s="1" t="str">
        <f>"无锡科技职业学院"</f>
        <v>无锡科技职业学院</v>
      </c>
      <c r="F5174" s="1" t="str">
        <f>"智能终端技术与应用"</f>
        <v>智能终端技术与应用</v>
      </c>
      <c r="G5174" s="1" t="str">
        <f>"河南省南阳市镇平县侯集镇"</f>
        <v>河南省南阳市镇平县侯集镇</v>
      </c>
      <c r="H5174" s="1" t="str">
        <f t="shared" si="2548"/>
        <v>无</v>
      </c>
      <c r="I5174" s="1" t="str">
        <f>"202010-202306在无锡科技职业学院物联网技术学院智能终端技术与应用专业就读，全日制学历。202310-202507在河南爱生医疗器械有限公司就业"</f>
        <v>202010-202306在无锡科技职业学院物联网技术学院智能终端技术与应用专业就读，全日制学历。202310-202507在河南爱生医疗器械有限公司就业</v>
      </c>
    </row>
    <row r="5175" spans="1:9">
      <c r="A5175" s="1" t="str">
        <f>"371502199408064012"</f>
        <v>371502199408064012</v>
      </c>
      <c r="B5175" s="1" t="str">
        <f t="shared" si="2547"/>
        <v>群众</v>
      </c>
      <c r="C5175" s="1" t="str">
        <f t="shared" ref="C5175:C5177" si="2549">"本科"</f>
        <v>本科</v>
      </c>
      <c r="D5175" s="1" t="str">
        <f>"20180701"</f>
        <v>20180701</v>
      </c>
      <c r="E5175" s="1" t="str">
        <f>"安阳学院"</f>
        <v>安阳学院</v>
      </c>
      <c r="F5175" s="1" t="str">
        <f>"广播电视编导"</f>
        <v>广播电视编导</v>
      </c>
      <c r="G5175" s="1" t="str">
        <f>"河南省濮阳市英皇国际"</f>
        <v>河南省濮阳市英皇国际</v>
      </c>
      <c r="H5175" s="1" t="str">
        <f t="shared" si="2548"/>
        <v>无</v>
      </c>
      <c r="I5175" s="1" t="str">
        <f>"安阳学院  2014.9.1-2018.7.1  传媒学院  广播电视编导  全日制本科
金博教育 2018.9.1-2021.8.29  初中教师
濮阳经济技术开发区濮上实验学校  2021.8.30-至今  初中教师
"</f>
        <v>安阳学院  2014.9.1-2018.7.1  传媒学院  广播电视编导  全日制本科
金博教育 2018.9.1-2021.8.29  初中教师
濮阳经济技术开发区濮上实验学校  2021.8.30-至今  初中教师
</v>
      </c>
    </row>
    <row r="5176" spans="1:9">
      <c r="A5176" s="1" t="str">
        <f>"411323200103044458"</f>
        <v>411323200103044458</v>
      </c>
      <c r="B5176" s="1" t="str">
        <f t="shared" ref="B5176:B5182" si="2550">"共青团员"</f>
        <v>共青团员</v>
      </c>
      <c r="C5176" s="1" t="str">
        <f t="shared" si="2549"/>
        <v>本科</v>
      </c>
      <c r="D5176" s="1" t="str">
        <f>"20240701"</f>
        <v>20240701</v>
      </c>
      <c r="E5176" s="1" t="str">
        <f>"平顶山学院"</f>
        <v>平顶山学院</v>
      </c>
      <c r="F5176" s="1" t="str">
        <f>"物联网工程"</f>
        <v>物联网工程</v>
      </c>
      <c r="G5176" s="1" t="str">
        <f>"河南省南阳市淅川县冬青四队"</f>
        <v>河南省南阳市淅川县冬青四队</v>
      </c>
      <c r="H5176" s="1" t="str">
        <f t="shared" si="2548"/>
        <v>无</v>
      </c>
      <c r="I5176" s="1" t="str">
        <f>"202009-202407 平顶山学院信息工程学院物联网工程专业就读。（全日制本科）
202407-至今 在家待业。"</f>
        <v>202009-202407 平顶山学院信息工程学院物联网工程专业就读。（全日制本科）
202407-至今 在家待业。</v>
      </c>
    </row>
    <row r="5177" spans="1:9">
      <c r="A5177" s="1" t="str">
        <f>"41018119990404653X"</f>
        <v>41018119990404653X</v>
      </c>
      <c r="B5177" s="1" t="str">
        <f>"群众"</f>
        <v>群众</v>
      </c>
      <c r="C5177" s="1" t="str">
        <f t="shared" si="2549"/>
        <v>本科</v>
      </c>
      <c r="D5177" s="1" t="str">
        <f>"20220701"</f>
        <v>20220701</v>
      </c>
      <c r="E5177" s="1" t="str">
        <f>"郑州商学院"</f>
        <v>郑州商学院</v>
      </c>
      <c r="F5177" s="1" t="str">
        <f>"计算机科学与技术"</f>
        <v>计算机科学与技术</v>
      </c>
      <c r="G5177" s="1" t="str">
        <f>"河南省巩义市芝田镇"</f>
        <v>河南省巩义市芝田镇</v>
      </c>
      <c r="H5177" s="1" t="str">
        <f t="shared" si="2548"/>
        <v>无</v>
      </c>
      <c r="I5177" s="1" t="str">
        <f>"2015.09-2018.07 巩义市市直高级中学 高中
2018.09-2020.07 河南工业大学（中英国际学院） 专科全日制
2020.09-2022.07 郑州商学院 本科  全日制
2022.07-至今 待业"</f>
        <v>2015.09-2018.07 巩义市市直高级中学 高中
2018.09-2020.07 河南工业大学（中英国际学院） 专科全日制
2020.09-2022.07 郑州商学院 本科  全日制
2022.07-至今 待业</v>
      </c>
    </row>
    <row r="5178" spans="1:9">
      <c r="A5178" s="1" t="str">
        <f>"411327200007162521"</f>
        <v>411327200007162521</v>
      </c>
      <c r="B5178" s="1" t="str">
        <f>"群众"</f>
        <v>群众</v>
      </c>
      <c r="C5178" s="1" t="str">
        <f>"专科"</f>
        <v>专科</v>
      </c>
      <c r="D5178" s="1" t="str">
        <f>"2021.07"</f>
        <v>2021.07</v>
      </c>
      <c r="E5178" s="1" t="str">
        <f>"洛阳职业技术学院"</f>
        <v>洛阳职业技术学院</v>
      </c>
      <c r="F5178" s="1" t="str">
        <f>"医学营养"</f>
        <v>医学营养</v>
      </c>
      <c r="G5178" s="1" t="str">
        <f>"内乡县城关镇范蠡大街1号"</f>
        <v>内乡县城关镇范蠡大街1号</v>
      </c>
      <c r="H5178" s="1" t="str">
        <f t="shared" si="2548"/>
        <v>无</v>
      </c>
      <c r="I5178" s="1" t="str">
        <f>"2018.09-2021.07     洛阳职业技术学院
2021.07-2022.05     无
2022.06-至今           桃溪镇人民政府"</f>
        <v>2018.09-2021.07     洛阳职业技术学院
2021.07-2022.05     无
2022.06-至今           桃溪镇人民政府</v>
      </c>
    </row>
    <row r="5179" spans="1:9">
      <c r="A5179" s="1" t="str">
        <f>"410185199005079843"</f>
        <v>410185199005079843</v>
      </c>
      <c r="B5179" s="1" t="str">
        <f t="shared" ref="B5179:B5184" si="2551">"中共党员"</f>
        <v>中共党员</v>
      </c>
      <c r="C5179" s="1" t="str">
        <f t="shared" ref="C5179:C5184" si="2552">"本科"</f>
        <v>本科</v>
      </c>
      <c r="D5179" s="1" t="str">
        <f>"20200930"</f>
        <v>20200930</v>
      </c>
      <c r="E5179" s="1" t="str">
        <f>"郑州大学"</f>
        <v>郑州大学</v>
      </c>
      <c r="F5179" s="1" t="str">
        <f>"新闻学"</f>
        <v>新闻学</v>
      </c>
      <c r="G5179" s="1" t="str">
        <f>"河南省登封市颍阳镇李洼村"</f>
        <v>河南省登封市颍阳镇李洼村</v>
      </c>
      <c r="H5179" s="1" t="str">
        <f>"初级助理工作者"</f>
        <v>初级助理工作者</v>
      </c>
      <c r="I5179" s="1" t="str">
        <f>"201009-201307 开封大学 新闻采编与制作 专科 全日制学历
201307-201406 郑州待业
201406-202009 郑州大学 新闻学 本科 非全日制学历 取得学士学位证
202010-202301 河南万家便利供应链管理有限公司
202301-202309 郑州待业
202309-至今 登封市卢店街道办事处社区工作者"</f>
        <v>201009-201307 开封大学 新闻采编与制作 专科 全日制学历
201307-201406 郑州待业
201406-202009 郑州大学 新闻学 本科 非全日制学历 取得学士学位证
202010-202301 河南万家便利供应链管理有限公司
202301-202309 郑州待业
202309-至今 登封市卢店街道办事处社区工作者</v>
      </c>
    </row>
    <row r="5180" spans="1:9">
      <c r="A5180" s="1" t="str">
        <f>"411303200004113926"</f>
        <v>411303200004113926</v>
      </c>
      <c r="B5180" s="1" t="str">
        <f t="shared" si="2550"/>
        <v>共青团员</v>
      </c>
      <c r="C5180" s="1" t="str">
        <f>"专科"</f>
        <v>专科</v>
      </c>
      <c r="D5180" s="1" t="str">
        <f>"20210701"</f>
        <v>20210701</v>
      </c>
      <c r="E5180" s="1" t="str">
        <f>"信阳学院"</f>
        <v>信阳学院</v>
      </c>
      <c r="F5180" s="1" t="str">
        <f>"小学教育"</f>
        <v>小学教育</v>
      </c>
      <c r="G5180" s="1" t="str">
        <f>"河南省南阳市卧龙区北京大道昌泰小区"</f>
        <v>河南省南阳市卧龙区北京大道昌泰小区</v>
      </c>
      <c r="H5180" s="1" t="str">
        <f t="shared" ref="H5180:H5187" si="2553">"无"</f>
        <v>无</v>
      </c>
      <c r="I5180" s="1" t="str">
        <f>"201809-202107信阳学院社会科学学院小学教育专业就读
202107-202507在河南省南阳市待业"</f>
        <v>201809-202107信阳学院社会科学学院小学教育专业就读
202107-202507在河南省南阳市待业</v>
      </c>
    </row>
    <row r="5181" spans="1:9">
      <c r="A5181" s="1" t="str">
        <f>"410327200210280020"</f>
        <v>410327200210280020</v>
      </c>
      <c r="B5181" s="1" t="str">
        <f t="shared" si="2550"/>
        <v>共青团员</v>
      </c>
      <c r="C5181" s="1" t="str">
        <f t="shared" si="2552"/>
        <v>本科</v>
      </c>
      <c r="D5181" s="1" t="str">
        <f>"20240630"</f>
        <v>20240630</v>
      </c>
      <c r="E5181" s="1" t="str">
        <f>"黄冈师范学院"</f>
        <v>黄冈师范学院</v>
      </c>
      <c r="F5181" s="1" t="str">
        <f>"土地资源管理"</f>
        <v>土地资源管理</v>
      </c>
      <c r="G5181" s="1" t="str">
        <f>"河南省洛阳市宜阳县水岸名家1号楼"</f>
        <v>河南省洛阳市宜阳县水岸名家1号楼</v>
      </c>
      <c r="H5181" s="1" t="str">
        <f t="shared" si="2553"/>
        <v>无</v>
      </c>
      <c r="I5181" s="1" t="str">
        <f>"202009-202406 黄冈师范学院地理与旅游学院土地资源管理就读，是全日制学历。"</f>
        <v>202009-202406 黄冈师范学院地理与旅游学院土地资源管理就读，是全日制学历。</v>
      </c>
    </row>
    <row r="5182" spans="1:9">
      <c r="A5182" s="1" t="str">
        <f>"411327200101070025"</f>
        <v>411327200101070025</v>
      </c>
      <c r="B5182" s="1" t="str">
        <f t="shared" si="2550"/>
        <v>共青团员</v>
      </c>
      <c r="C5182" s="1" t="str">
        <f t="shared" si="2552"/>
        <v>本科</v>
      </c>
      <c r="D5182" s="1" t="str">
        <f>"20240605"</f>
        <v>20240605</v>
      </c>
      <c r="E5182" s="1" t="str">
        <f>"商丘学院"</f>
        <v>商丘学院</v>
      </c>
      <c r="F5182" s="1" t="str">
        <f>"小学教育（师范）"</f>
        <v>小学教育（师范）</v>
      </c>
      <c r="G5182" s="1" t="str">
        <f>"河南省南阳市内乡县城关镇新民路三十九巷"</f>
        <v>河南省南阳市内乡县城关镇新民路三十九巷</v>
      </c>
      <c r="H5182" s="1" t="str">
        <f t="shared" si="2553"/>
        <v>无</v>
      </c>
      <c r="I5182" s="1" t="str">
        <f>"201909-202207 焦作师范高等专科学校 文学院 语文教育专业就读 大学专科 全日制
202209-202406 商丘学院 应用科技学院 文学与教育系 小学教育（师范）专业就读 大学本科 全日制
202407至今 待业"</f>
        <v>201909-202207 焦作师范高等专科学校 文学院 语文教育专业就读 大学专科 全日制
202209-202406 商丘学院 应用科技学院 文学与教育系 小学教育（师范）专业就读 大学本科 全日制
202407至今 待业</v>
      </c>
    </row>
    <row r="5183" ht="94.5" spans="1:9">
      <c r="A5183" s="1" t="str">
        <f>"411330199204281530"</f>
        <v>411330199204281530</v>
      </c>
      <c r="B5183" s="1" t="str">
        <f t="shared" si="2551"/>
        <v>中共党员</v>
      </c>
      <c r="C5183" s="1" t="str">
        <f t="shared" si="2552"/>
        <v>本科</v>
      </c>
      <c r="D5183" s="1" t="str">
        <f>"20150701"</f>
        <v>20150701</v>
      </c>
      <c r="E5183" s="1" t="str">
        <f>"黄河科技学院"</f>
        <v>黄河科技学院</v>
      </c>
      <c r="F5183" s="1" t="str">
        <f>"计算机科学与技术软件开发方向"</f>
        <v>计算机科学与技术软件开发方向</v>
      </c>
      <c r="G5183" s="1" t="str">
        <f>"河南省郑州市高新区恒大翡翠华庭"</f>
        <v>河南省郑州市高新区恒大翡翠华庭</v>
      </c>
      <c r="H5183" s="1" t="str">
        <f t="shared" si="2553"/>
        <v>无</v>
      </c>
      <c r="I5183" s="3" t="s">
        <v>289</v>
      </c>
    </row>
    <row r="5184" spans="1:9">
      <c r="A5184" s="1" t="str">
        <f>"411224200011032426"</f>
        <v>411224200011032426</v>
      </c>
      <c r="B5184" s="1" t="str">
        <f t="shared" si="2551"/>
        <v>中共党员</v>
      </c>
      <c r="C5184" s="1" t="str">
        <f t="shared" si="2552"/>
        <v>本科</v>
      </c>
      <c r="D5184" s="1" t="str">
        <f>"20240606"</f>
        <v>20240606</v>
      </c>
      <c r="E5184" s="1" t="str">
        <f>"安阳师范学院"</f>
        <v>安阳师范学院</v>
      </c>
      <c r="F5184" s="1" t="str">
        <f>"汉语言文学"</f>
        <v>汉语言文学</v>
      </c>
      <c r="G5184" s="1" t="str">
        <f>"河南省卢氏县双槐树乡"</f>
        <v>河南省卢氏县双槐树乡</v>
      </c>
      <c r="H5184" s="1" t="str">
        <f t="shared" si="2553"/>
        <v>无</v>
      </c>
      <c r="I5184" s="1" t="str">
        <f>"201909-202207  河南财政金融学院    文秘专业   就读   全日制
202209-202406  安阳师范学院  汉语言文学专业  就读  全日制"</f>
        <v>201909-202207  河南财政金融学院    文秘专业   就读   全日制
202209-202406  安阳师范学院  汉语言文学专业  就读  全日制</v>
      </c>
    </row>
    <row r="5185" spans="1:9">
      <c r="A5185" s="1" t="str">
        <f>"411324200010161977"</f>
        <v>411324200010161977</v>
      </c>
      <c r="B5185" s="1" t="str">
        <f>"群众"</f>
        <v>群众</v>
      </c>
      <c r="C5185" s="1" t="str">
        <f>"专科"</f>
        <v>专科</v>
      </c>
      <c r="D5185" s="1" t="str">
        <f>"20230607"</f>
        <v>20230607</v>
      </c>
      <c r="E5185" s="1" t="str">
        <f>"河南轻工职业学院"</f>
        <v>河南轻工职业学院</v>
      </c>
      <c r="F5185" s="1" t="str">
        <f>"软件技术"</f>
        <v>软件技术</v>
      </c>
      <c r="G5185" s="1" t="str">
        <f>"河南省南阳市镇平县"</f>
        <v>河南省南阳市镇平县</v>
      </c>
      <c r="H5185" s="1" t="str">
        <f t="shared" si="2553"/>
        <v>无</v>
      </c>
      <c r="I5185" s="1" t="str">
        <f>"202009-202306在河南轻工职业学院计算机艺术系软件技术专业就读，是全日制学历"</f>
        <v>202009-202306在河南轻工职业学院计算机艺术系软件技术专业就读，是全日制学历</v>
      </c>
    </row>
    <row r="5186" spans="1:9">
      <c r="A5186" s="1" t="str">
        <f>"411324200401262222"</f>
        <v>411324200401262222</v>
      </c>
      <c r="B5186" s="1" t="str">
        <f t="shared" ref="B5186:B5189" si="2554">"共青团员"</f>
        <v>共青团员</v>
      </c>
      <c r="C5186" s="1" t="str">
        <f t="shared" ref="C5186:C5190" si="2555">"本科"</f>
        <v>本科</v>
      </c>
      <c r="D5186" s="1" t="str">
        <f>"20250607"</f>
        <v>20250607</v>
      </c>
      <c r="E5186" s="1" t="str">
        <f>"信阳学院"</f>
        <v>信阳学院</v>
      </c>
      <c r="F5186" s="1" t="str">
        <f>"心理学"</f>
        <v>心理学</v>
      </c>
      <c r="G5186" s="1" t="str">
        <f>"河南省南阳市镇平县贾宋镇"</f>
        <v>河南省南阳市镇平县贾宋镇</v>
      </c>
      <c r="H5186" s="1" t="str">
        <f t="shared" si="2553"/>
        <v>无</v>
      </c>
      <c r="I5186" s="1" t="str">
        <f>"本人于202109-202506在信阳学院的教育学院心理学专业就读，是全日制学历。"</f>
        <v>本人于202109-202506在信阳学院的教育学院心理学专业就读，是全日制学历。</v>
      </c>
    </row>
    <row r="5187" spans="1:9">
      <c r="A5187" s="1" t="str">
        <f>"411327200201082023"</f>
        <v>411327200201082023</v>
      </c>
      <c r="B5187" s="1" t="str">
        <f t="shared" si="2554"/>
        <v>共青团员</v>
      </c>
      <c r="C5187" s="1" t="str">
        <f t="shared" si="2555"/>
        <v>本科</v>
      </c>
      <c r="D5187" s="1" t="str">
        <f>"20240617"</f>
        <v>20240617</v>
      </c>
      <c r="E5187" s="1" t="str">
        <f>"新乡医学院"</f>
        <v>新乡医学院</v>
      </c>
      <c r="F5187" s="1" t="str">
        <f>"市场营销"</f>
        <v>市场营销</v>
      </c>
      <c r="G5187" s="1" t="str">
        <f>"河南省南阳市内乡县宏达新村"</f>
        <v>河南省南阳市内乡县宏达新村</v>
      </c>
      <c r="H5187" s="1" t="str">
        <f t="shared" si="2553"/>
        <v>无</v>
      </c>
      <c r="I5187" s="1" t="str">
        <f>"202009-202406 新乡医学院管理学院市场营销专业就读 全日制学历"</f>
        <v>202009-202406 新乡医学院管理学院市场营销专业就读 全日制学历</v>
      </c>
    </row>
    <row r="5188" spans="1:9">
      <c r="A5188" s="1" t="str">
        <f>"411327199607100011"</f>
        <v>411327199607100011</v>
      </c>
      <c r="B5188" s="1" t="str">
        <f t="shared" ref="B5188:B5193" si="2556">"群众"</f>
        <v>群众</v>
      </c>
      <c r="C5188" s="1" t="str">
        <f>"硕士研究生"</f>
        <v>硕士研究生</v>
      </c>
      <c r="D5188" s="1" t="str">
        <f>"2023年7月"</f>
        <v>2023年7月</v>
      </c>
      <c r="E5188" s="1" t="str">
        <f>"河南师范大学"</f>
        <v>河南师范大学</v>
      </c>
      <c r="F5188" s="1" t="str">
        <f>"音乐与舞蹈学（有专业证明是音乐学）"</f>
        <v>音乐与舞蹈学（有专业证明是音乐学）</v>
      </c>
      <c r="G5188" s="1" t="str">
        <f>"河南南阳市内乡县滨河路中段"</f>
        <v>河南南阳市内乡县滨河路中段</v>
      </c>
      <c r="H5188" s="1" t="str">
        <f>"高级幼儿保育资格证"</f>
        <v>高级幼儿保育资格证</v>
      </c>
      <c r="I5188" s="1" t="str">
        <f>"2014.09-2016.06  南阳市宛西中专  普通高中
2016.09-2020.06  河南师范大学新联学院   大学本科  音乐学
2020.09-2023.06   河南师范大学            硕士研究生   音乐与舞蹈学
2024.09-2025.09   桐柏县中等职业学习  实习期"</f>
        <v>2014.09-2016.06  南阳市宛西中专  普通高中
2016.09-2020.06  河南师范大学新联学院   大学本科  音乐学
2020.09-2023.06   河南师范大学            硕士研究生   音乐与舞蹈学
2024.09-2025.09   桐柏县中等职业学习  实习期</v>
      </c>
    </row>
    <row r="5189" spans="1:9">
      <c r="A5189" s="1" t="str">
        <f>"411324200212262469"</f>
        <v>411324200212262469</v>
      </c>
      <c r="B5189" s="1" t="str">
        <f t="shared" si="2554"/>
        <v>共青团员</v>
      </c>
      <c r="C5189" s="1" t="str">
        <f t="shared" si="2555"/>
        <v>本科</v>
      </c>
      <c r="D5189" s="1" t="str">
        <f>"20240624"</f>
        <v>20240624</v>
      </c>
      <c r="E5189" s="1" t="str">
        <f>"通化师范学院"</f>
        <v>通化师范学院</v>
      </c>
      <c r="F5189" s="1" t="str">
        <f>"食品科学与工程"</f>
        <v>食品科学与工程</v>
      </c>
      <c r="G5189" s="1" t="str">
        <f>"河南省南阳市镇平县高丘镇"</f>
        <v>河南省南阳市镇平县高丘镇</v>
      </c>
      <c r="H5189" s="1" t="str">
        <f t="shared" ref="H5189:H5193" si="2557">"无"</f>
        <v>无</v>
      </c>
      <c r="I5189" s="1" t="str">
        <f>"202009-202406 通化师范学院 食品科学与工程学院 食品科学与工程专业
是全日制学历"</f>
        <v>202009-202406 通化师范学院 食品科学与工程学院 食品科学与工程专业
是全日制学历</v>
      </c>
    </row>
    <row r="5190" spans="1:9">
      <c r="A5190" s="1" t="str">
        <f>"411321200311260021"</f>
        <v>411321200311260021</v>
      </c>
      <c r="B5190" s="1" t="str">
        <f>"中共党员"</f>
        <v>中共党员</v>
      </c>
      <c r="C5190" s="1" t="str">
        <f t="shared" si="2555"/>
        <v>本科</v>
      </c>
      <c r="D5190" s="1" t="str">
        <f>"20250701"</f>
        <v>20250701</v>
      </c>
      <c r="E5190" s="1" t="str">
        <f>"郑州商学院"</f>
        <v>郑州商学院</v>
      </c>
      <c r="F5190" s="1" t="str">
        <f>"动画"</f>
        <v>动画</v>
      </c>
      <c r="G5190" s="1" t="str">
        <f>"河南省南阳市桐柏县银兴花园"</f>
        <v>河南省南阳市桐柏县银兴花园</v>
      </c>
      <c r="H5190" s="1" t="str">
        <f t="shared" si="2557"/>
        <v>无</v>
      </c>
      <c r="I5190" s="1" t="str">
        <f>"20210901—20250701 郑州商学院 就读 动画专业 全日制学历"</f>
        <v>20210901—20250701 郑州商学院 就读 动画专业 全日制学历</v>
      </c>
    </row>
    <row r="5191" spans="1:9">
      <c r="A5191" s="1" t="str">
        <f>"411327199806072025"</f>
        <v>411327199806072025</v>
      </c>
      <c r="B5191" s="1" t="str">
        <f t="shared" ref="B5191:B5196" si="2558">"共青团员"</f>
        <v>共青团员</v>
      </c>
      <c r="C5191" s="1" t="str">
        <f>"硕士研究生"</f>
        <v>硕士研究生</v>
      </c>
      <c r="D5191" s="1" t="str">
        <f>"20230620"</f>
        <v>20230620</v>
      </c>
      <c r="E5191" s="1" t="str">
        <f>"南京师范大学"</f>
        <v>南京师范大学</v>
      </c>
      <c r="F5191" s="1" t="str">
        <f>"环境工程"</f>
        <v>环境工程</v>
      </c>
      <c r="G5191" s="1" t="str">
        <f>"河南省南阳市内乡县六颗松小区"</f>
        <v>河南省南阳市内乡县六颗松小区</v>
      </c>
      <c r="H5191" s="1" t="str">
        <f t="shared" si="2557"/>
        <v>无</v>
      </c>
      <c r="I5191" s="1" t="str">
        <f>"201609-202006 就读于南京师范大学环境院环境工程专业全日制本科
202009-202306 就读于南京师范大学环境院环境工程专业全日制硕士研究生
202307-202502 就职于华设设计集团股份有限公司环保事业部
202503至今 在河南省南阳市内乡县待业"</f>
        <v>201609-202006 就读于南京师范大学环境院环境工程专业全日制本科
202009-202306 就读于南京师范大学环境院环境工程专业全日制硕士研究生
202307-202502 就职于华设设计集团股份有限公司环保事业部
202503至今 在河南省南阳市内乡县待业</v>
      </c>
    </row>
    <row r="5192" spans="1:9">
      <c r="A5192" s="1" t="str">
        <f>"411330199609112014"</f>
        <v>411330199609112014</v>
      </c>
      <c r="B5192" s="1" t="str">
        <f t="shared" si="2556"/>
        <v>群众</v>
      </c>
      <c r="C5192" s="1" t="str">
        <f t="shared" ref="C5192:C5200" si="2559">"本科"</f>
        <v>本科</v>
      </c>
      <c r="D5192" s="1" t="str">
        <f>"2019.7.1"</f>
        <v>2019.7.1</v>
      </c>
      <c r="E5192" s="1" t="str">
        <f>"河南农业大学"</f>
        <v>河南农业大学</v>
      </c>
      <c r="F5192" s="1" t="str">
        <f>"农业建筑环境与能源工程"</f>
        <v>农业建筑环境与能源工程</v>
      </c>
      <c r="G5192" s="1" t="str">
        <f>"河南省南阳市西峡县五里桥镇北堂村"</f>
        <v>河南省南阳市西峡县五里桥镇北堂村</v>
      </c>
      <c r="H5192" s="1" t="str">
        <f t="shared" si="2557"/>
        <v>无</v>
      </c>
      <c r="I5192" s="1" t="str">
        <f>"201509-201907 河南农业大学就读
201907-202001 河南成达土地事务所工作
202001-202007 在家待业
202007-202205 河南宏信检测技术有限公司工作
202205-202403 西峡县公安局巡特警大队工作（劳务派遣）
202403-202507 在家待业"</f>
        <v>201509-201907 河南农业大学就读
201907-202001 河南成达土地事务所工作
202001-202007 在家待业
202007-202205 河南宏信检测技术有限公司工作
202205-202403 西峡县公安局巡特警大队工作（劳务派遣）
202403-202507 在家待业</v>
      </c>
    </row>
    <row r="5193" spans="1:9">
      <c r="A5193" s="1" t="str">
        <f>"411327199203070637"</f>
        <v>411327199203070637</v>
      </c>
      <c r="B5193" s="1" t="str">
        <f t="shared" si="2556"/>
        <v>群众</v>
      </c>
      <c r="C5193" s="1" t="str">
        <f>"专科"</f>
        <v>专科</v>
      </c>
      <c r="D5193" s="1" t="str">
        <f>"20230720"</f>
        <v>20230720</v>
      </c>
      <c r="E5193" s="1" t="str">
        <f>"国家开发学校"</f>
        <v>国家开发学校</v>
      </c>
      <c r="F5193" s="1" t="str">
        <f>"建设工程管理"</f>
        <v>建设工程管理</v>
      </c>
      <c r="G5193" s="1" t="str">
        <f>"河南省内乡县马山口镇"</f>
        <v>河南省内乡县马山口镇</v>
      </c>
      <c r="H5193" s="1" t="str">
        <f t="shared" si="2557"/>
        <v>无</v>
      </c>
      <c r="I5193" s="1" t="str">
        <f>"202009-202307国家开发学校就读专业建设工程管理。"</f>
        <v>202009-202307国家开发学校就读专业建设工程管理。</v>
      </c>
    </row>
    <row r="5194" spans="1:9">
      <c r="A5194" s="1" t="str">
        <f>"410402200306225569"</f>
        <v>410402200306225569</v>
      </c>
      <c r="B5194" s="1" t="str">
        <f t="shared" si="2558"/>
        <v>共青团员</v>
      </c>
      <c r="C5194" s="1" t="str">
        <f t="shared" si="2559"/>
        <v>本科</v>
      </c>
      <c r="D5194" s="1" t="str">
        <f>"20240601"</f>
        <v>20240601</v>
      </c>
      <c r="E5194" s="1" t="str">
        <f>"平顶山学院"</f>
        <v>平顶山学院</v>
      </c>
      <c r="F5194" s="1" t="str">
        <f>"会计学"</f>
        <v>会计学</v>
      </c>
      <c r="G5194" s="1" t="str">
        <f>"河南省平顶山市新华区"</f>
        <v>河南省平顶山市新华区</v>
      </c>
      <c r="H5194" s="1" t="str">
        <f>"初级会计职称"</f>
        <v>初级会计职称</v>
      </c>
      <c r="I5194" s="1" t="str">
        <f>"202009-202406 平顶山学院经济管理学院会计专业就读 全日制学历"</f>
        <v>202009-202406 平顶山学院经济管理学院会计专业就读 全日制学历</v>
      </c>
    </row>
    <row r="5195" spans="1:9">
      <c r="A5195" s="1" t="str">
        <f>"411327200209184542"</f>
        <v>411327200209184542</v>
      </c>
      <c r="B5195" s="1" t="str">
        <f t="shared" si="2558"/>
        <v>共青团员</v>
      </c>
      <c r="C5195" s="1" t="str">
        <f t="shared" si="2559"/>
        <v>本科</v>
      </c>
      <c r="D5195" s="1" t="str">
        <f>"2025-06-20"</f>
        <v>2025-06-20</v>
      </c>
      <c r="E5195" s="1" t="str">
        <f>"河南科技职业大学"</f>
        <v>河南科技职业大学</v>
      </c>
      <c r="F5195" s="1" t="str">
        <f>"大数据与财务管理"</f>
        <v>大数据与财务管理</v>
      </c>
      <c r="G5195" s="1" t="str">
        <f>"河南省南阳市内乡县赵店乡张楼房村程家沟组"</f>
        <v>河南省南阳市内乡县赵店乡张楼房村程家沟组</v>
      </c>
      <c r="H5195" s="1" t="str">
        <f>"初级会计专业技术资格证"</f>
        <v>初级会计专业技术资格证</v>
      </c>
      <c r="I5195" s="1" t="str">
        <f>"202109-202107 河南科技职业大学，就读经济与管理学院大数据与财务管理专业，全日制本科学历。"</f>
        <v>202109-202107 河南科技职业大学，就读经济与管理学院大数据与财务管理专业，全日制本科学历。</v>
      </c>
    </row>
    <row r="5196" spans="1:9">
      <c r="A5196" s="1" t="str">
        <f>"412825200001131084"</f>
        <v>412825200001131084</v>
      </c>
      <c r="B5196" s="1" t="str">
        <f t="shared" si="2558"/>
        <v>共青团员</v>
      </c>
      <c r="C5196" s="1" t="str">
        <f t="shared" si="2559"/>
        <v>本科</v>
      </c>
      <c r="D5196" s="1" t="str">
        <f>"20220701"</f>
        <v>20220701</v>
      </c>
      <c r="E5196" s="1" t="str">
        <f>"河南农业大学"</f>
        <v>河南农业大学</v>
      </c>
      <c r="F5196" s="1" t="str">
        <f>"城乡规划"</f>
        <v>城乡规划</v>
      </c>
      <c r="G5196" s="1" t="str">
        <f>"河南省南阳市卧龙区华盛小区三号楼201"</f>
        <v>河南省南阳市卧龙区华盛小区三号楼201</v>
      </c>
      <c r="H5196" s="1" t="str">
        <f>"助理工程师"</f>
        <v>助理工程师</v>
      </c>
      <c r="I5196" s="1" t="str">
        <f>"201809-202207 河南农业大学就读
202208-202304 南阳待业
202305-202503 杭州广隶数据处理有限公司 助理
202504-202507 南阳待业"</f>
        <v>201809-202207 河南农业大学就读
202208-202304 南阳待业
202305-202503 杭州广隶数据处理有限公司 助理
202504-202507 南阳待业</v>
      </c>
    </row>
    <row r="5197" spans="1:9">
      <c r="A5197" s="1" t="str">
        <f>"411327199106150651"</f>
        <v>411327199106150651</v>
      </c>
      <c r="B5197" s="1" t="str">
        <f t="shared" ref="B5197:B5204" si="2560">"中共党员"</f>
        <v>中共党员</v>
      </c>
      <c r="C5197" s="1" t="str">
        <f t="shared" si="2559"/>
        <v>本科</v>
      </c>
      <c r="D5197" s="1" t="str">
        <f>"20150630"</f>
        <v>20150630</v>
      </c>
      <c r="E5197" s="1" t="str">
        <f>"河南科技大学"</f>
        <v>河南科技大学</v>
      </c>
      <c r="F5197" s="1" t="str">
        <f>"汽车维修与检测专业"</f>
        <v>汽车维修与检测专业</v>
      </c>
      <c r="G5197" s="1" t="str">
        <f>"河南省内乡县马山口镇李井村362号"</f>
        <v>河南省内乡县马山口镇李井村362号</v>
      </c>
      <c r="H5197" s="1" t="str">
        <f t="shared" ref="H5197:H5201" si="2561">"无"</f>
        <v>无</v>
      </c>
      <c r="I5197" s="1" t="str">
        <f>"201109-201407就读于周口科技职业学院，汽车工程系，所学专业：汽车检测与维修技术，系全日制大专学历。201309-201506自考河南科技大学，车辆工程系，所学专业：汽车维修与检测，系自考本科学历。201704至今在内乡县人民法院从事警务辅助工作。"</f>
        <v>201109-201407就读于周口科技职业学院，汽车工程系，所学专业：汽车检测与维修技术，系全日制大专学历。201309-201506自考河南科技大学，车辆工程系，所学专业：汽车维修与检测，系自考本科学历。201704至今在内乡县人民法院从事警务辅助工作。</v>
      </c>
    </row>
    <row r="5198" spans="1:9">
      <c r="A5198" s="1" t="str">
        <f>"41132120020318042X"</f>
        <v>41132120020318042X</v>
      </c>
      <c r="B5198" s="1" t="str">
        <f>"群众"</f>
        <v>群众</v>
      </c>
      <c r="C5198" s="1" t="str">
        <f t="shared" si="2559"/>
        <v>本科</v>
      </c>
      <c r="D5198" s="1" t="str">
        <f>"2024.06"</f>
        <v>2024.06</v>
      </c>
      <c r="E5198" s="1" t="str">
        <f>"安阳学院"</f>
        <v>安阳学院</v>
      </c>
      <c r="F5198" s="1" t="str">
        <f>"土木工程"</f>
        <v>土木工程</v>
      </c>
      <c r="G5198" s="1" t="str">
        <f>"南阳市南召县丹霞路38号"</f>
        <v>南阳市南召县丹霞路38号</v>
      </c>
      <c r="H5198" s="1" t="str">
        <f t="shared" si="2561"/>
        <v>无</v>
      </c>
      <c r="I5198" s="1" t="str">
        <f>"2019.09-2021.06 河南交通职业技术学院 建筑工程系 道路养户与管理专业就读 全日制学历 专科
2022.09-2024.06 安阳学院 建筑工程系 土木工程专业 全日制学历 本科"</f>
        <v>2019.09-2021.06 河南交通职业技术学院 建筑工程系 道路养户与管理专业就读 全日制学历 专科
2022.09-2024.06 安阳学院 建筑工程系 土木工程专业 全日制学历 本科</v>
      </c>
    </row>
    <row r="5199" spans="1:9">
      <c r="A5199" s="1" t="str">
        <f>"411327200301164229"</f>
        <v>411327200301164229</v>
      </c>
      <c r="B5199" s="1" t="str">
        <f>"群众"</f>
        <v>群众</v>
      </c>
      <c r="C5199" s="1" t="str">
        <f t="shared" si="2559"/>
        <v>本科</v>
      </c>
      <c r="D5199" s="1" t="str">
        <f>"2025-07-10"</f>
        <v>2025-07-10</v>
      </c>
      <c r="E5199" s="1" t="str">
        <f>"塔里木大学"</f>
        <v>塔里木大学</v>
      </c>
      <c r="F5199" s="1" t="str">
        <f>"农业资源与环境"</f>
        <v>农业资源与环境</v>
      </c>
      <c r="G5199" s="1" t="str">
        <f>"南阳市内乡县余关乡子育村"</f>
        <v>南阳市内乡县余关乡子育村</v>
      </c>
      <c r="H5199" s="1" t="str">
        <f t="shared" si="2561"/>
        <v>无</v>
      </c>
      <c r="I5199" s="1" t="str">
        <f>"202109-202507在塔里木大学农学院农业资源与环境专业就读，全日制本科学历"</f>
        <v>202109-202507在塔里木大学农学院农业资源与环境专业就读，全日制本科学历</v>
      </c>
    </row>
    <row r="5200" spans="1:9">
      <c r="A5200" s="1" t="str">
        <f>"411324200305140022"</f>
        <v>411324200305140022</v>
      </c>
      <c r="B5200" s="1" t="str">
        <f t="shared" si="2560"/>
        <v>中共党员</v>
      </c>
      <c r="C5200" s="1" t="str">
        <f t="shared" si="2559"/>
        <v>本科</v>
      </c>
      <c r="D5200" s="1" t="str">
        <f>"20250701"</f>
        <v>20250701</v>
      </c>
      <c r="E5200" s="1" t="str">
        <f>"商丘学院"</f>
        <v>商丘学院</v>
      </c>
      <c r="F5200" s="1" t="str">
        <f>"小学教育（师范）"</f>
        <v>小学教育（师范）</v>
      </c>
      <c r="G5200" s="1" t="str">
        <f>"河南省南阳市镇平县城关镇北大街48组187号"</f>
        <v>河南省南阳市镇平县城关镇北大街48组187号</v>
      </c>
      <c r="H5200" s="1" t="str">
        <f t="shared" si="2561"/>
        <v>无</v>
      </c>
      <c r="I5200" s="1" t="str">
        <f>"20210901-20250701于商丘学院人文学院小学教育（师范）专业就读，为全日制学历。在校期间担任副班长职位4年，社团副社长1年，班主任助理1年。获得过校级二等奖学金，全国大学生教资能力大赛决赛二等奖，商丘学院应用科技学“优秀班干部”、“优秀团员”、“优秀青年志愿者”等荣誉。
20250701-至今于河南省南阳市镇平县城关镇北大街48组187号待业"</f>
        <v>20210901-20250701于商丘学院人文学院小学教育（师范）专业就读，为全日制学历。在校期间担任副班长职位4年，社团副社长1年，班主任助理1年。获得过校级二等奖学金，全国大学生教资能力大赛决赛二等奖，商丘学院应用科技学“优秀班干部”、“优秀团员”、“优秀青年志愿者”等荣誉。
20250701-至今于河南省南阳市镇平县城关镇北大街48组187号待业</v>
      </c>
    </row>
    <row r="5201" spans="1:9">
      <c r="A5201" s="1" t="str">
        <f>"410482199804221049"</f>
        <v>410482199804221049</v>
      </c>
      <c r="B5201" s="1" t="str">
        <f>"共青团员"</f>
        <v>共青团员</v>
      </c>
      <c r="C5201" s="1" t="str">
        <f>"硕士研究生"</f>
        <v>硕士研究生</v>
      </c>
      <c r="D5201" s="1" t="str">
        <f>"20250701"</f>
        <v>20250701</v>
      </c>
      <c r="E5201" s="1" t="str">
        <f>"河南科技学院"</f>
        <v>河南科技学院</v>
      </c>
      <c r="F5201" s="1" t="str">
        <f>"畜牧"</f>
        <v>畜牧</v>
      </c>
      <c r="G5201" s="1" t="str">
        <f>"河南省汝州市华予金城"</f>
        <v>河南省汝州市华予金城</v>
      </c>
      <c r="H5201" s="1" t="str">
        <f t="shared" si="2561"/>
        <v>无</v>
      </c>
      <c r="I5201" s="1" t="str">
        <f>"2016.9-2019.6 就读于郑州升达经贸管理学院 会计专业 全日制
2019.10-2020.10 汝州优胜教育 任职辅导老师
2020.11-2022.8 在家备考
2022.9-2025.6 就读于河南科技学院 畜牧专业 全日制 获得硕士学位"</f>
        <v>2016.9-2019.6 就读于郑州升达经贸管理学院 会计专业 全日制
2019.10-2020.10 汝州优胜教育 任职辅导老师
2020.11-2022.8 在家备考
2022.9-2025.6 就读于河南科技学院 畜牧专业 全日制 获得硕士学位</v>
      </c>
    </row>
    <row r="5202" spans="1:9">
      <c r="A5202" s="1" t="str">
        <f>"411327199602121526"</f>
        <v>411327199602121526</v>
      </c>
      <c r="B5202" s="1" t="str">
        <f t="shared" si="2560"/>
        <v>中共党员</v>
      </c>
      <c r="C5202" s="1" t="str">
        <f t="shared" ref="C5202:C5204" si="2562">"本科"</f>
        <v>本科</v>
      </c>
      <c r="D5202" s="1" t="str">
        <f>"20220720"</f>
        <v>20220720</v>
      </c>
      <c r="E5202" s="1" t="str">
        <f>"南开大学"</f>
        <v>南开大学</v>
      </c>
      <c r="F5202" s="1" t="str">
        <f>"广播电视学"</f>
        <v>广播电视学</v>
      </c>
      <c r="G5202" s="1" t="str">
        <f>"河南省南阳市"</f>
        <v>河南省南阳市</v>
      </c>
      <c r="H5202" s="1" t="str">
        <f>"主持人资格证、普通话证书"</f>
        <v>主持人资格证、普通话证书</v>
      </c>
      <c r="I5202" s="1" t="str">
        <f>"201409-201707在河南艺术职业学院播音与主持专业就读，是全日制；
201708-201906在内乡县融媒体中心实习；
201907-202207在南开大学广播电视学专业就读，非全日制。"</f>
        <v>201409-201707在河南艺术职业学院播音与主持专业就读，是全日制；
201708-201906在内乡县融媒体中心实习；
201907-202207在南开大学广播电视学专业就读，非全日制。</v>
      </c>
    </row>
    <row r="5203" spans="1:9">
      <c r="A5203" s="1" t="str">
        <f>"411327199409050025"</f>
        <v>411327199409050025</v>
      </c>
      <c r="B5203" s="1" t="str">
        <f t="shared" si="2560"/>
        <v>中共党员</v>
      </c>
      <c r="C5203" s="1" t="str">
        <f t="shared" si="2562"/>
        <v>本科</v>
      </c>
      <c r="D5203" s="1" t="str">
        <f>"20160701"</f>
        <v>20160701</v>
      </c>
      <c r="E5203" s="1" t="str">
        <f>"贵州师范大学"</f>
        <v>贵州师范大学</v>
      </c>
      <c r="F5203" s="1" t="str">
        <f>"对外汉语"</f>
        <v>对外汉语</v>
      </c>
      <c r="G5203" s="1" t="str">
        <f>"河南省南阳市内乡县城关镇大成路"</f>
        <v>河南省南阳市内乡县城关镇大成路</v>
      </c>
      <c r="H5203" s="1" t="str">
        <f t="shared" ref="H5203:H5205" si="2563">"无"</f>
        <v>无</v>
      </c>
      <c r="I5203" s="1" t="str">
        <f>"201209-201607，贵州师范大学就读，文学院对外汉语专业
201607-202004，恒大中原公司，职员
202004-202009，绿地中原公司，职员
202009-202403，永威置业，职员
202403-至今，待业"</f>
        <v>201209-201607，贵州师范大学就读，文学院对外汉语专业
201607-202004，恒大中原公司，职员
202004-202009，绿地中原公司，职员
202009-202403，永威置业，职员
202403-至今，待业</v>
      </c>
    </row>
    <row r="5204" spans="1:9">
      <c r="A5204" s="1" t="str">
        <f>"411327200112230020"</f>
        <v>411327200112230020</v>
      </c>
      <c r="B5204" s="1" t="str">
        <f t="shared" si="2560"/>
        <v>中共党员</v>
      </c>
      <c r="C5204" s="1" t="str">
        <f t="shared" si="2562"/>
        <v>本科</v>
      </c>
      <c r="D5204" s="1" t="str">
        <f>"20230701"</f>
        <v>20230701</v>
      </c>
      <c r="E5204" s="1" t="str">
        <f>"洛阳师范学院"</f>
        <v>洛阳师范学院</v>
      </c>
      <c r="F5204" s="1" t="str">
        <f>"音乐表演"</f>
        <v>音乐表演</v>
      </c>
      <c r="G5204" s="1" t="str">
        <f>"河南省南阳市内乡县城关镇教育路171号"</f>
        <v>河南省南阳市内乡县城关镇教育路171号</v>
      </c>
      <c r="H5204" s="1" t="str">
        <f t="shared" si="2563"/>
        <v>无</v>
      </c>
      <c r="I5204" s="1" t="str">
        <f>"201909-202306 洛阳师范学院音乐学院音乐表演专业就读"</f>
        <v>201909-202306 洛阳师范学院音乐学院音乐表演专业就读</v>
      </c>
    </row>
    <row r="5205" spans="1:9">
      <c r="A5205" s="1" t="str">
        <f>"411302200205050101"</f>
        <v>411302200205050101</v>
      </c>
      <c r="B5205" s="1" t="str">
        <f t="shared" ref="B5205:B5212" si="2564">"群众"</f>
        <v>群众</v>
      </c>
      <c r="C5205" s="1" t="str">
        <f t="shared" ref="C5205:C5208" si="2565">"专科"</f>
        <v>专科</v>
      </c>
      <c r="D5205" s="1" t="str">
        <f>"20230701"</f>
        <v>20230701</v>
      </c>
      <c r="E5205" s="1" t="str">
        <f>"驻马店幼儿师范高等专科学校"</f>
        <v>驻马店幼儿师范高等专科学校</v>
      </c>
      <c r="F5205" s="1" t="str">
        <f>"小学教育专业"</f>
        <v>小学教育专业</v>
      </c>
      <c r="G5205" s="1" t="str">
        <f>"河南省南阳市宛城区枣林街道办事处常庄社区"</f>
        <v>河南省南阳市宛城区枣林街道办事处常庄社区</v>
      </c>
      <c r="H5205" s="1" t="str">
        <f t="shared" si="2563"/>
        <v>无</v>
      </c>
      <c r="I5205" s="1" t="str">
        <f>"202009——202307 驻马店幼儿师范高等专科学校基础教育学院小学教育专业就读
202307——至今 待业"</f>
        <v>202009——202307 驻马店幼儿师范高等专科学校基础教育学院小学教育专业就读
202307——至今 待业</v>
      </c>
    </row>
    <row r="5206" spans="1:9">
      <c r="A5206" s="1" t="str">
        <f>"411327200303202516"</f>
        <v>411327200303202516</v>
      </c>
      <c r="B5206" s="1" t="str">
        <f t="shared" si="2564"/>
        <v>群众</v>
      </c>
      <c r="C5206" s="1" t="str">
        <f t="shared" si="2565"/>
        <v>专科</v>
      </c>
      <c r="D5206" s="1" t="str">
        <f>"20220701"</f>
        <v>20220701</v>
      </c>
      <c r="E5206" s="1" t="str">
        <f>"漯河职业技术学院"</f>
        <v>漯河职业技术学院</v>
      </c>
      <c r="F5206" s="1" t="str">
        <f>"食品药品监督管理"</f>
        <v>食品药品监督管理</v>
      </c>
      <c r="G5206" s="1" t="str">
        <f>"河南省南阳市内乡县王店镇"</f>
        <v>河南省南阳市内乡县王店镇</v>
      </c>
      <c r="H5206" s="1" t="str">
        <f>"药物检验师中级"</f>
        <v>药物检验师中级</v>
      </c>
      <c r="I5206" s="1" t="str">
        <f>"20190901-20220701漯河职业技术学院食品药品监督管理专业就读，是全日制学历，2022年3月入伍的。"</f>
        <v>20190901-20220701漯河职业技术学院食品药品监督管理专业就读，是全日制学历，2022年3月入伍的。</v>
      </c>
    </row>
    <row r="5207" spans="1:9">
      <c r="A5207" s="1" t="str">
        <f>"411327199110104535"</f>
        <v>411327199110104535</v>
      </c>
      <c r="B5207" s="1" t="str">
        <f>"中共党员"</f>
        <v>中共党员</v>
      </c>
      <c r="C5207" s="1" t="str">
        <f>"本科"</f>
        <v>本科</v>
      </c>
      <c r="D5207" s="1" t="str">
        <f>"20130630"</f>
        <v>20130630</v>
      </c>
      <c r="E5207" s="1" t="str">
        <f>"河南科技大学"</f>
        <v>河南科技大学</v>
      </c>
      <c r="F5207" s="1" t="str">
        <f>"生物技术"</f>
        <v>生物技术</v>
      </c>
      <c r="G5207" s="1" t="str">
        <f>"河南省南阳市内乡县城关镇"</f>
        <v>河南省南阳市内乡县城关镇</v>
      </c>
      <c r="H5207" s="1" t="str">
        <f t="shared" ref="H5207:H5212" si="2566">"无"</f>
        <v>无</v>
      </c>
      <c r="I5207" s="1" t="str">
        <f>"2007年9月-2010年6月，就读于内乡职专。
2010年9月-2013年6月，就读于河南牧业经济学院；同时自考本科，于2013年6月取得河南科技大学本科毕业证书。
2013年9月-2014年8月，在牧原集团工作。
2014年9月-2018年1月，在内乡菊潭医院工作。
2018年1月-2020年3月，在内乡县扶贫办工作。
2020年4月-至今，在西峡县桑坪镇人民政府工作。"</f>
        <v>2007年9月-2010年6月，就读于内乡职专。
2010年9月-2013年6月，就读于河南牧业经济学院；同时自考本科，于2013年6月取得河南科技大学本科毕业证书。
2013年9月-2014年8月，在牧原集团工作。
2014年9月-2018年1月，在内乡菊潭医院工作。
2018年1月-2020年3月，在内乡县扶贫办工作。
2020年4月-至今，在西峡县桑坪镇人民政府工作。</v>
      </c>
    </row>
    <row r="5208" spans="1:9">
      <c r="A5208" s="1" t="str">
        <f>"411622200201024522"</f>
        <v>411622200201024522</v>
      </c>
      <c r="B5208" s="1" t="str">
        <f>"中共党员"</f>
        <v>中共党员</v>
      </c>
      <c r="C5208" s="1" t="str">
        <f t="shared" si="2565"/>
        <v>专科</v>
      </c>
      <c r="D5208" s="1" t="str">
        <f>"20240607"</f>
        <v>20240607</v>
      </c>
      <c r="E5208" s="1" t="str">
        <f>"新乡学院"</f>
        <v>新乡学院</v>
      </c>
      <c r="F5208" s="1" t="str">
        <f>"小学数学教育"</f>
        <v>小学数学教育</v>
      </c>
      <c r="G5208" s="1" t="str">
        <f>"河南省周口市西华县址坊镇"</f>
        <v>河南省周口市西华县址坊镇</v>
      </c>
      <c r="H5208" s="1" t="str">
        <f t="shared" si="2566"/>
        <v>无</v>
      </c>
      <c r="I5208" s="1" t="str">
        <f>"202109-202406 新乡学院小学数学教育专业就读 全日制学历
201809-202106 漯河市第四高级中学
201509-201806漯河市郾城区城关镇中学"</f>
        <v>202109-202406 新乡学院小学数学教育专业就读 全日制学历
201809-202106 漯河市第四高级中学
201509-201806漯河市郾城区城关镇中学</v>
      </c>
    </row>
    <row r="5209" spans="1:9">
      <c r="A5209" s="1" t="str">
        <f>"410325199811189937"</f>
        <v>410325199811189937</v>
      </c>
      <c r="B5209" s="1" t="str">
        <f>"共青团员"</f>
        <v>共青团员</v>
      </c>
      <c r="C5209" s="1" t="str">
        <f t="shared" ref="C5209:C5217" si="2567">"本科"</f>
        <v>本科</v>
      </c>
      <c r="D5209" s="1" t="str">
        <f>"20220620"</f>
        <v>20220620</v>
      </c>
      <c r="E5209" s="1" t="str">
        <f>"南通大学杏林学院"</f>
        <v>南通大学杏林学院</v>
      </c>
      <c r="F5209" s="1" t="str">
        <f>"会计学"</f>
        <v>会计学</v>
      </c>
      <c r="G5209" s="1" t="str">
        <f>"河南省洛阳市嵩县城关镇书院新村"</f>
        <v>河南省洛阳市嵩县城关镇书院新村</v>
      </c>
      <c r="H5209" s="1" t="str">
        <f t="shared" si="2566"/>
        <v>无</v>
      </c>
      <c r="I5209" s="1" t="str">
        <f>"201809-202206 南通大学杏林学院 会计学就读 全日制学历
202207-至今 待业"</f>
        <v>201809-202206 南通大学杏林学院 会计学就读 全日制学历
202207-至今 待业</v>
      </c>
    </row>
    <row r="5210" spans="1:9">
      <c r="A5210" s="1" t="str">
        <f>"411123200103175510"</f>
        <v>411123200103175510</v>
      </c>
      <c r="B5210" s="1" t="str">
        <f t="shared" si="2564"/>
        <v>群众</v>
      </c>
      <c r="C5210" s="1" t="str">
        <f t="shared" ref="C5210:C5212" si="2568">"专科"</f>
        <v>专科</v>
      </c>
      <c r="D5210" s="1" t="str">
        <f>"20210616"</f>
        <v>20210616</v>
      </c>
      <c r="E5210" s="1" t="str">
        <f>"石家庄铁路职业技术学院"</f>
        <v>石家庄铁路职业技术学院</v>
      </c>
      <c r="F5210" s="1" t="str">
        <f>"铁道车辆"</f>
        <v>铁道车辆</v>
      </c>
      <c r="G5210" s="1" t="str">
        <f>"河南漯河"</f>
        <v>河南漯河</v>
      </c>
      <c r="H5210" s="1" t="str">
        <f t="shared" si="2566"/>
        <v>无</v>
      </c>
      <c r="I5210" s="1" t="str">
        <f>"201809-202106 石家庄铁路职业技术学院铁道车辆全日制就读；202107-202507待业"</f>
        <v>201809-202106 石家庄铁路职业技术学院铁道车辆全日制就读；202107-202507待业</v>
      </c>
    </row>
    <row r="5211" spans="1:9">
      <c r="A5211" s="1" t="str">
        <f>"411327200307250013"</f>
        <v>411327200307250013</v>
      </c>
      <c r="B5211" s="1" t="str">
        <f t="shared" si="2564"/>
        <v>群众</v>
      </c>
      <c r="C5211" s="1" t="str">
        <f t="shared" si="2568"/>
        <v>专科</v>
      </c>
      <c r="D5211" s="1" t="str">
        <f>"20240701"</f>
        <v>20240701</v>
      </c>
      <c r="E5211" s="1" t="str">
        <f>"郑州升达经贸管理学院"</f>
        <v>郑州升达经贸管理学院</v>
      </c>
      <c r="F5211" s="1" t="str">
        <f>"大数据与会计"</f>
        <v>大数据与会计</v>
      </c>
      <c r="G5211" s="1" t="str">
        <f>"河南省南阳市内乡县城关镇软木厂"</f>
        <v>河南省南阳市内乡县城关镇软木厂</v>
      </c>
      <c r="H5211" s="1" t="str">
        <f t="shared" si="2566"/>
        <v>无</v>
      </c>
      <c r="I5211" s="1" t="str">
        <f>"202109—202407 郑州升达经贸管理学院会计学院大数据与会计专业就读"</f>
        <v>202109—202407 郑州升达经贸管理学院会计学院大数据与会计专业就读</v>
      </c>
    </row>
    <row r="5212" spans="1:9">
      <c r="A5212" s="1" t="str">
        <f>"411327199910220104"</f>
        <v>411327199910220104</v>
      </c>
      <c r="B5212" s="1" t="str">
        <f t="shared" si="2564"/>
        <v>群众</v>
      </c>
      <c r="C5212" s="1" t="str">
        <f t="shared" si="2568"/>
        <v>专科</v>
      </c>
      <c r="D5212" s="1" t="str">
        <f>"20200701"</f>
        <v>20200701</v>
      </c>
      <c r="E5212" s="1" t="str">
        <f>"三门峡职业技术学院"</f>
        <v>三门峡职业技术学院</v>
      </c>
      <c r="F5212" s="1" t="str">
        <f>"学前教育"</f>
        <v>学前教育</v>
      </c>
      <c r="G5212" s="1" t="str">
        <f>"河南省南阳市内乡县清新路"</f>
        <v>河南省南阳市内乡县清新路</v>
      </c>
      <c r="H5212" s="1" t="str">
        <f t="shared" si="2566"/>
        <v>无</v>
      </c>
      <c r="I5212" s="1" t="str">
        <f>"201709-202007三门峡职业技术学院就读。
2020至今在内乡县菊潭学校就职。
教师行业五年，具有教师资格证和普通话证。"</f>
        <v>201709-202007三门峡职业技术学院就读。
2020至今在内乡县菊潭学校就职。
教师行业五年，具有教师资格证和普通话证。</v>
      </c>
    </row>
    <row r="5213" spans="1:9">
      <c r="A5213" s="1" t="str">
        <f>"411325200211204247"</f>
        <v>411325200211204247</v>
      </c>
      <c r="B5213" s="1" t="str">
        <f>"共青团员"</f>
        <v>共青团员</v>
      </c>
      <c r="C5213" s="1" t="str">
        <f t="shared" si="2567"/>
        <v>本科</v>
      </c>
      <c r="D5213" s="1" t="str">
        <f>"20250701"</f>
        <v>20250701</v>
      </c>
      <c r="E5213" s="1" t="str">
        <f>"黄河交通学院"</f>
        <v>黄河交通学院</v>
      </c>
      <c r="F5213" s="1" t="str">
        <f>"计算机科学与技术"</f>
        <v>计算机科学与技术</v>
      </c>
      <c r="G5213" s="1" t="str">
        <f>"河南省南阳市内乡县余关镇余关街"</f>
        <v>河南省南阳市内乡县余关镇余关街</v>
      </c>
      <c r="H5213" s="1" t="str">
        <f>"网络与信息安全管理员三级、信息通信网络运行管理员三级"</f>
        <v>网络与信息安全管理员三级、信息通信网络运行管理员三级</v>
      </c>
      <c r="I5213" s="1" t="str">
        <f>"202309-202506黄河交通学院智能工程学院计算机科学与技术专业"</f>
        <v>202309-202506黄河交通学院智能工程学院计算机科学与技术专业</v>
      </c>
    </row>
    <row r="5214" spans="1:9">
      <c r="A5214" s="1" t="str">
        <f>"411327200002110642"</f>
        <v>411327200002110642</v>
      </c>
      <c r="B5214" s="1" t="str">
        <f t="shared" ref="B5214:B5219" si="2569">"群众"</f>
        <v>群众</v>
      </c>
      <c r="C5214" s="1" t="str">
        <f t="shared" si="2567"/>
        <v>本科</v>
      </c>
      <c r="D5214" s="1" t="str">
        <f>"20210701"</f>
        <v>20210701</v>
      </c>
      <c r="E5214" s="1" t="str">
        <f>"河南大学"</f>
        <v>河南大学</v>
      </c>
      <c r="F5214" s="1" t="str">
        <f>"工商管理"</f>
        <v>工商管理</v>
      </c>
      <c r="G5214" s="1" t="str">
        <f>"河南省南阳市内内乡县"</f>
        <v>河南省南阳市内内乡县</v>
      </c>
      <c r="H5214" s="1" t="str">
        <f t="shared" ref="H5214:H5226" si="2570">"无"</f>
        <v>无</v>
      </c>
      <c r="I5214" s="1" t="str">
        <f>"201709-202107 河南大学商学院工商管理专业就读，属全日制；
201409-201706 内乡县第一高级中学文科专业就读
201109-201406 内乡县实验初中就读
200509-201106 内乡县马山口镇小学就读"</f>
        <v>201709-202107 河南大学商学院工商管理专业就读，属全日制；
201409-201706 内乡县第一高级中学文科专业就读
201109-201406 内乡县实验初中就读
200509-201106 内乡县马山口镇小学就读</v>
      </c>
    </row>
    <row r="5215" spans="1:9">
      <c r="A5215" s="1" t="str">
        <f>"411302200208210043"</f>
        <v>411302200208210043</v>
      </c>
      <c r="B5215" s="1" t="str">
        <f t="shared" ref="B5215:B5220" si="2571">"中共党员"</f>
        <v>中共党员</v>
      </c>
      <c r="C5215" s="1" t="str">
        <f t="shared" si="2567"/>
        <v>本科</v>
      </c>
      <c r="D5215" s="1" t="str">
        <f>"20240701"</f>
        <v>20240701</v>
      </c>
      <c r="E5215" s="1" t="str">
        <f>"河南科技职业大学"</f>
        <v>河南科技职业大学</v>
      </c>
      <c r="F5215" s="1" t="str">
        <f>"学前教育"</f>
        <v>学前教育</v>
      </c>
      <c r="G5215" s="1" t="str">
        <f>"河南省南阳市宛城区茶庵乡袁黄庄村袁黄庄4组"</f>
        <v>河南省南阳市宛城区茶庵乡袁黄庄村袁黄庄4组</v>
      </c>
      <c r="H5215" s="1" t="str">
        <f>"高级保育师"</f>
        <v>高级保育师</v>
      </c>
      <c r="I5215" s="1" t="str">
        <f>"202009-202407河南科技职业大学教育科学学院学前教育专业全日制本科就读
202408-至今待业"</f>
        <v>202009-202407河南科技职业大学教育科学学院学前教育专业全日制本科就读
202408-至今待业</v>
      </c>
    </row>
    <row r="5216" spans="1:9">
      <c r="A5216" s="1" t="str">
        <f>"411327200206272520"</f>
        <v>411327200206272520</v>
      </c>
      <c r="B5216" s="1" t="str">
        <f>"共青团员"</f>
        <v>共青团员</v>
      </c>
      <c r="C5216" s="1" t="str">
        <f t="shared" si="2567"/>
        <v>本科</v>
      </c>
      <c r="D5216" s="1" t="str">
        <f>"20250607"</f>
        <v>20250607</v>
      </c>
      <c r="E5216" s="1" t="str">
        <f>"新乡学院"</f>
        <v>新乡学院</v>
      </c>
      <c r="F5216" s="1" t="str">
        <f>"体育教育"</f>
        <v>体育教育</v>
      </c>
      <c r="G5216" s="1" t="str">
        <f>"河南省南阳市内乡县王店镇马堂村"</f>
        <v>河南省南阳市内乡县王店镇马堂村</v>
      </c>
      <c r="H5216" s="1" t="str">
        <f t="shared" si="2570"/>
        <v>无</v>
      </c>
      <c r="I5216" s="1" t="str">
        <f>"20210901-20250607在新乡学院体育学院体育教育就读"</f>
        <v>20210901-20250607在新乡学院体育学院体育教育就读</v>
      </c>
    </row>
    <row r="5217" spans="1:9">
      <c r="A5217" s="1" t="str">
        <f>"411330199803244029"</f>
        <v>411330199803244029</v>
      </c>
      <c r="B5217" s="1" t="str">
        <f t="shared" si="2569"/>
        <v>群众</v>
      </c>
      <c r="C5217" s="1" t="str">
        <f t="shared" si="2567"/>
        <v>本科</v>
      </c>
      <c r="D5217" s="1" t="str">
        <f t="shared" ref="D5217:D5221" si="2572">"20220701"</f>
        <v>20220701</v>
      </c>
      <c r="E5217" s="1" t="str">
        <f>"信阳农林学院"</f>
        <v>信阳农林学院</v>
      </c>
      <c r="F5217" s="1" t="str">
        <f>"设施农业科学与工程"</f>
        <v>设施农业科学与工程</v>
      </c>
      <c r="G5217" s="1" t="str">
        <f>"河南省南阳市西峡县城关镇二小对面"</f>
        <v>河南省南阳市西峡县城关镇二小对面</v>
      </c>
      <c r="H5217" s="1" t="str">
        <f t="shared" si="2570"/>
        <v>无</v>
      </c>
      <c r="I5217" s="1" t="str">
        <f>"201809-202207 信阳农林学院园艺学院设施农业科学与工程专业就读
202207-202305待业
202305至今西峡县看护管理大队辅警"</f>
        <v>201809-202207 信阳农林学院园艺学院设施农业科学与工程专业就读
202207-202305待业
202305至今西峡县看护管理大队辅警</v>
      </c>
    </row>
    <row r="5218" spans="1:9">
      <c r="A5218" s="1" t="str">
        <f>"411323200008103413"</f>
        <v>411323200008103413</v>
      </c>
      <c r="B5218" s="1" t="str">
        <f t="shared" si="2571"/>
        <v>中共党员</v>
      </c>
      <c r="C5218" s="1" t="str">
        <f t="shared" ref="C5218:C5223" si="2573">"专科"</f>
        <v>专科</v>
      </c>
      <c r="D5218" s="1" t="str">
        <f>"20210618"</f>
        <v>20210618</v>
      </c>
      <c r="E5218" s="1" t="str">
        <f>"天津市职业大学"</f>
        <v>天津市职业大学</v>
      </c>
      <c r="F5218" s="1" t="str">
        <f>"环境艺术设计"</f>
        <v>环境艺术设计</v>
      </c>
      <c r="G5218" s="1" t="str">
        <f>"河南省淅川县龙城街道西湾社区"</f>
        <v>河南省淅川县龙城街道西湾社区</v>
      </c>
      <c r="H5218" s="1" t="str">
        <f t="shared" si="2570"/>
        <v>无</v>
      </c>
      <c r="I5218" s="1" t="str">
        <f>"201809--202106 天津市职业大学就读环境艺术设计专业，全日制学历。
202106--202302 天津市索菲亚集团任职全屋定制设计师岗位。
202302--至今      河南省淅川县大石桥乡任职荆巴岭村文书。"</f>
        <v>201809--202106 天津市职业大学就读环境艺术设计专业，全日制学历。
202106--202302 天津市索菲亚集团任职全屋定制设计师岗位。
202302--至今      河南省淅川县大石桥乡任职荆巴岭村文书。</v>
      </c>
    </row>
    <row r="5219" spans="1:9">
      <c r="A5219" s="1" t="str">
        <f>"410823199408010305"</f>
        <v>410823199408010305</v>
      </c>
      <c r="B5219" s="1" t="str">
        <f t="shared" si="2569"/>
        <v>群众</v>
      </c>
      <c r="C5219" s="1" t="str">
        <f t="shared" ref="C5219:C5226" si="2574">"本科"</f>
        <v>本科</v>
      </c>
      <c r="D5219" s="1" t="str">
        <f>"20180701"</f>
        <v>20180701</v>
      </c>
      <c r="E5219" s="1" t="str">
        <f>"河南科技学院新科学院"</f>
        <v>河南科技学院新科学院</v>
      </c>
      <c r="F5219" s="1" t="str">
        <f>"国际经济与贸易"</f>
        <v>国际经济与贸易</v>
      </c>
      <c r="G5219" s="1" t="str">
        <f>"河南省安阳市文峰区广厦新苑b区"</f>
        <v>河南省安阳市文峰区广厦新苑b区</v>
      </c>
      <c r="H5219" s="1" t="str">
        <f t="shared" si="2570"/>
        <v>无</v>
      </c>
      <c r="I5219" s="1" t="str">
        <f>"2014.9—2018.7  大学。 河南科技学院新科学院 经济系 国际经济与贸易专业 是全日制本科 
2018.7--至今 待就业"</f>
        <v>2014.9—2018.7  大学。 河南科技学院新科学院 经济系 国际经济与贸易专业 是全日制本科 
2018.7--至今 待就业</v>
      </c>
    </row>
    <row r="5220" spans="1:9">
      <c r="A5220" s="1" t="str">
        <f>"411302199412105114"</f>
        <v>411302199412105114</v>
      </c>
      <c r="B5220" s="1" t="str">
        <f t="shared" si="2571"/>
        <v>中共党员</v>
      </c>
      <c r="C5220" s="1" t="str">
        <f t="shared" si="2573"/>
        <v>专科</v>
      </c>
      <c r="D5220" s="1" t="str">
        <f t="shared" si="2572"/>
        <v>20220701</v>
      </c>
      <c r="E5220" s="1" t="str">
        <f>"郑州商贸旅游职业学院"</f>
        <v>郑州商贸旅游职业学院</v>
      </c>
      <c r="F5220" s="1" t="str">
        <f>"计算机应用技术"</f>
        <v>计算机应用技术</v>
      </c>
      <c r="G5220" s="1" t="str">
        <f>"河南省南阳市宛城区仲景街道银苑新村"</f>
        <v>河南省南阳市宛城区仲景街道银苑新村</v>
      </c>
      <c r="H5220" s="1" t="str">
        <f t="shared" si="2570"/>
        <v>无</v>
      </c>
      <c r="I5220" s="1" t="str">
        <f>"201909-202207 郑州商贸旅游职业学院 计算机应用技术专业全日制学历 
202200-至今 南阳市卧龙区精锐培训学校 员工"</f>
        <v>201909-202207 郑州商贸旅游职业学院 计算机应用技术专业全日制学历 
202200-至今 南阳市卧龙区精锐培训学校 员工</v>
      </c>
    </row>
    <row r="5221" spans="1:9">
      <c r="A5221" s="1" t="str">
        <f>"411502199812019611"</f>
        <v>411502199812019611</v>
      </c>
      <c r="B5221" s="1" t="str">
        <f t="shared" ref="B5221:B5231" si="2575">"群众"</f>
        <v>群众</v>
      </c>
      <c r="C5221" s="1" t="str">
        <f t="shared" si="2574"/>
        <v>本科</v>
      </c>
      <c r="D5221" s="1" t="str">
        <f t="shared" si="2572"/>
        <v>20220701</v>
      </c>
      <c r="E5221" s="1" t="str">
        <f>"河南城建学院"</f>
        <v>河南城建学院</v>
      </c>
      <c r="F5221" s="1" t="str">
        <f>"新能源科学与工程"</f>
        <v>新能源科学与工程</v>
      </c>
      <c r="G5221" s="1" t="str">
        <f>"河南省信阳市平桥区滨湖名都"</f>
        <v>河南省信阳市平桥区滨湖名都</v>
      </c>
      <c r="H5221" s="1" t="str">
        <f t="shared" si="2570"/>
        <v>无</v>
      </c>
      <c r="I5221" s="1" t="str">
        <f>"201509-201806 信阳市第六高级中学就读
201809-202207 河南城建学院就读
202209-202409 武警湖南总队怀化支队当兵
202409-202507 在家待业"</f>
        <v>201509-201806 信阳市第六高级中学就读
201809-202207 河南城建学院就读
202209-202409 武警湖南总队怀化支队当兵
202409-202507 在家待业</v>
      </c>
    </row>
    <row r="5222" spans="1:9">
      <c r="A5222" s="1" t="str">
        <f>"411424199510304516"</f>
        <v>411424199510304516</v>
      </c>
      <c r="B5222" s="1" t="str">
        <f t="shared" si="2575"/>
        <v>群众</v>
      </c>
      <c r="C5222" s="1" t="str">
        <f t="shared" si="2573"/>
        <v>专科</v>
      </c>
      <c r="D5222" s="1" t="str">
        <f>"20200701"</f>
        <v>20200701</v>
      </c>
      <c r="E5222" s="1" t="str">
        <f>"黄河水利职业技术学院"</f>
        <v>黄河水利职业技术学院</v>
      </c>
      <c r="F5222" s="1" t="str">
        <f>"机电一体化技术"</f>
        <v>机电一体化技术</v>
      </c>
      <c r="G5222" s="1" t="str">
        <f>"河南省柘城县慈圣镇塔坡村委会后刘桥"</f>
        <v>河南省柘城县慈圣镇塔坡村委会后刘桥</v>
      </c>
      <c r="H5222" s="1" t="str">
        <f t="shared" si="2570"/>
        <v>无</v>
      </c>
      <c r="I5222" s="1" t="str">
        <f>"201709-202007 黄河水利职业技术学院 机械学院机电一体化技术 就读，是全日制学历。"</f>
        <v>201709-202007 黄河水利职业技术学院 机械学院机电一体化技术 就读，是全日制学历。</v>
      </c>
    </row>
    <row r="5223" spans="1:9">
      <c r="A5223" s="1" t="str">
        <f>"411325199911042917"</f>
        <v>411325199911042917</v>
      </c>
      <c r="B5223" s="1" t="str">
        <f>"中共党员"</f>
        <v>中共党员</v>
      </c>
      <c r="C5223" s="1" t="str">
        <f t="shared" si="2573"/>
        <v>专科</v>
      </c>
      <c r="D5223" s="1" t="str">
        <f>"20200120"</f>
        <v>20200120</v>
      </c>
      <c r="E5223" s="1" t="str">
        <f>"国家开放大学"</f>
        <v>国家开放大学</v>
      </c>
      <c r="F5223" s="1" t="str">
        <f>"工商管理"</f>
        <v>工商管理</v>
      </c>
      <c r="G5223" s="1" t="str">
        <f>"南阳市宛城区建业贰号城邦"</f>
        <v>南阳市宛城区建业贰号城邦</v>
      </c>
      <c r="H5223" s="1" t="str">
        <f t="shared" si="2570"/>
        <v>无</v>
      </c>
      <c r="I5223" s="1" t="str">
        <f>"2016年9月—2021年9月   31692部队
2017年9月—2020年1月   国家开放大学毕业（非全日制）
2021年9月—2023年3月   在家待业
2023年3月—至今             南阳市公安局"</f>
        <v>2016年9月—2021年9月   31692部队
2017年9月—2020年1月   国家开放大学毕业（非全日制）
2021年9月—2023年3月   在家待业
2023年3月—至今             南阳市公安局</v>
      </c>
    </row>
    <row r="5224" spans="1:9">
      <c r="A5224" s="1" t="str">
        <f>"411325200202100702"</f>
        <v>411325200202100702</v>
      </c>
      <c r="B5224" s="1" t="str">
        <f>"共青团员"</f>
        <v>共青团员</v>
      </c>
      <c r="C5224" s="1" t="str">
        <f t="shared" si="2574"/>
        <v>本科</v>
      </c>
      <c r="D5224" s="1" t="str">
        <f>"20240701"</f>
        <v>20240701</v>
      </c>
      <c r="E5224" s="1" t="str">
        <f>"河南工程学院"</f>
        <v>河南工程学院</v>
      </c>
      <c r="F5224" s="1" t="str">
        <f>"物流管理"</f>
        <v>物流管理</v>
      </c>
      <c r="G5224" s="1" t="str">
        <f>"河南省南阳市卧龙区建设中路隆源花园东幢一单元1705"</f>
        <v>河南省南阳市卧龙区建设中路隆源花园东幢一单元1705</v>
      </c>
      <c r="H5224" s="1" t="str">
        <f t="shared" si="2570"/>
        <v>无</v>
      </c>
      <c r="I5224" s="1" t="str">
        <f>"201909-202006，河南工程学院翻译专业就读，全日制。后转专业于202009-202407，河南工程学院物流管理专业就读，全日制。因疫情原因延毕一年才修完所有学科。"</f>
        <v>201909-202006，河南工程学院翻译专业就读，全日制。后转专业于202009-202407，河南工程学院物流管理专业就读，全日制。因疫情原因延毕一年才修完所有学科。</v>
      </c>
    </row>
    <row r="5225" spans="1:9">
      <c r="A5225" s="1" t="str">
        <f>"411327200104013720"</f>
        <v>411327200104013720</v>
      </c>
      <c r="B5225" s="1" t="str">
        <f t="shared" si="2575"/>
        <v>群众</v>
      </c>
      <c r="C5225" s="1" t="str">
        <f t="shared" si="2574"/>
        <v>本科</v>
      </c>
      <c r="D5225" s="1" t="str">
        <f>"20240607"</f>
        <v>20240607</v>
      </c>
      <c r="E5225" s="1" t="str">
        <f>"南阳师范学院"</f>
        <v>南阳师范学院</v>
      </c>
      <c r="F5225" s="1" t="str">
        <f>"教育学"</f>
        <v>教育学</v>
      </c>
      <c r="G5225" s="1" t="str">
        <f>"河南省内乡县湍东镇六颗松二期12A二单元501"</f>
        <v>河南省内乡县湍东镇六颗松二期12A二单元501</v>
      </c>
      <c r="H5225" s="1" t="str">
        <f t="shared" si="2570"/>
        <v>无</v>
      </c>
      <c r="I5225" s="1" t="str">
        <f>"201909-202206在平顶山职业技术学院 数学系 数学教育专业就读，是全日制；
202209-202406在南阳师范学院 教育科学学院 教育学专业就读，是全日制；
202409-202506在郦都学校小学部任数学教师职位。"</f>
        <v>201909-202206在平顶山职业技术学院 数学系 数学教育专业就读，是全日制；
202209-202406在南阳师范学院 教育科学学院 教育学专业就读，是全日制；
202409-202506在郦都学校小学部任数学教师职位。</v>
      </c>
    </row>
    <row r="5226" ht="121.5" spans="1:9">
      <c r="A5226" s="1" t="str">
        <f>"411327199101231516"</f>
        <v>411327199101231516</v>
      </c>
      <c r="B5226" s="1" t="str">
        <f t="shared" si="2575"/>
        <v>群众</v>
      </c>
      <c r="C5226" s="1" t="str">
        <f t="shared" si="2574"/>
        <v>本科</v>
      </c>
      <c r="D5226" s="1" t="str">
        <f>"20241230"</f>
        <v>20241230</v>
      </c>
      <c r="E5226" s="1" t="str">
        <f>"河南科技大学"</f>
        <v>河南科技大学</v>
      </c>
      <c r="F5226" s="1" t="str">
        <f>"机械设计制造及其自动化"</f>
        <v>机械设计制造及其自动化</v>
      </c>
      <c r="G5226" s="1" t="str">
        <f>"内乡县湍东镇彩虹城小区5B栋一单元一楼南"</f>
        <v>内乡县湍东镇彩虹城小区5B栋一单元一楼南</v>
      </c>
      <c r="H5226" s="1" t="str">
        <f t="shared" si="2570"/>
        <v>无</v>
      </c>
      <c r="I5226" s="3" t="s">
        <v>290</v>
      </c>
    </row>
    <row r="5227" spans="1:9">
      <c r="A5227" s="1" t="str">
        <f>"411327200405212520"</f>
        <v>411327200405212520</v>
      </c>
      <c r="B5227" s="1" t="str">
        <f t="shared" si="2575"/>
        <v>群众</v>
      </c>
      <c r="C5227" s="1" t="str">
        <f>"专科"</f>
        <v>专科</v>
      </c>
      <c r="D5227" s="1" t="str">
        <f>"20250615"</f>
        <v>20250615</v>
      </c>
      <c r="E5227" s="1" t="str">
        <f>"南阳农业职业学校"</f>
        <v>南阳农业职业学校</v>
      </c>
      <c r="F5227" s="1" t="str">
        <f>"畜牧兽医"</f>
        <v>畜牧兽医</v>
      </c>
      <c r="G5227" s="1" t="str">
        <f>"河南省南阳市内乡县王店镇"</f>
        <v>河南省南阳市内乡县王店镇</v>
      </c>
      <c r="H5227" s="1" t="str">
        <f>"动物疫病防治员"</f>
        <v>动物疫病防治员</v>
      </c>
      <c r="I5227" s="1" t="str">
        <f>"202009-202506 南阳农业职业学院就读"</f>
        <v>202009-202506 南阳农业职业学院就读</v>
      </c>
    </row>
    <row r="5228" spans="1:9">
      <c r="A5228" s="1" t="str">
        <f>"411330199610250510"</f>
        <v>411330199610250510</v>
      </c>
      <c r="B5228" s="1" t="str">
        <f t="shared" si="2575"/>
        <v>群众</v>
      </c>
      <c r="C5228" s="1" t="str">
        <f t="shared" ref="C5228:C5234" si="2576">"本科"</f>
        <v>本科</v>
      </c>
      <c r="D5228" s="1" t="str">
        <f>"20200701"</f>
        <v>20200701</v>
      </c>
      <c r="E5228" s="1" t="str">
        <f>"河南城建学院"</f>
        <v>河南城建学院</v>
      </c>
      <c r="F5228" s="1" t="str">
        <f>"电气工程及其自动化"</f>
        <v>电气工程及其自动化</v>
      </c>
      <c r="G5228" s="1" t="str">
        <f>"河南省南阳市西峡县田关乡"</f>
        <v>河南省南阳市西峡县田关乡</v>
      </c>
      <c r="H5228" s="1" t="str">
        <f>"助理级工程师"</f>
        <v>助理级工程师</v>
      </c>
      <c r="I5228" s="1" t="str">
        <f>"20160901-20200701  河南城建学院就读，院系是电气与控制学院，专业电气工程及其自动化，全日制
20200701-20210815  在家待业
20210815-20220915  在长城汽车股份有限公司任技术员
20220920-至今  内乡县王店镇人民政府工作"</f>
        <v>20160901-20200701  河南城建学院就读，院系是电气与控制学院，专业电气工程及其自动化，全日制
20200701-20210815  在家待业
20210815-20220915  在长城汽车股份有限公司任技术员
20220920-至今  内乡县王店镇人民政府工作</v>
      </c>
    </row>
    <row r="5229" spans="1:9">
      <c r="A5229" s="1" t="str">
        <f>"411323199905145757"</f>
        <v>411323199905145757</v>
      </c>
      <c r="B5229" s="1" t="str">
        <f t="shared" si="2575"/>
        <v>群众</v>
      </c>
      <c r="C5229" s="1" t="str">
        <f t="shared" si="2576"/>
        <v>本科</v>
      </c>
      <c r="D5229" s="1" t="str">
        <f>"20210701"</f>
        <v>20210701</v>
      </c>
      <c r="E5229" s="1" t="str">
        <f>"郑州科技学院"</f>
        <v>郑州科技学院</v>
      </c>
      <c r="F5229" s="1" t="str">
        <f>"计算机科学与技术"</f>
        <v>计算机科学与技术</v>
      </c>
      <c r="G5229" s="1" t="str">
        <f>"河南省西峡县城关镇马家场路29号附5号"</f>
        <v>河南省西峡县城关镇马家场路29号附5号</v>
      </c>
      <c r="H5229" s="1" t="str">
        <f>"完"</f>
        <v>完</v>
      </c>
      <c r="I5229" s="1" t="str">
        <f>"2017.10-2019.07 郑州工业安全职业学院 全日制专科
2019.10-2021.07 郑州科技学院 全日制本科
2021.08-2022.07 灵活就业
2022.08-2022.12西峡县公安局重阳派出所
2023.01-2023.05.灵活就业
2023.06-2024.10西峡县公安局重阳派出所
2024.11-2025.04灵活就业
2025.05-至今 郑州特朗斯大宇宙"</f>
        <v>2017.10-2019.07 郑州工业安全职业学院 全日制专科
2019.10-2021.07 郑州科技学院 全日制本科
2021.08-2022.07 灵活就业
2022.08-2022.12西峡县公安局重阳派出所
2023.01-2023.05.灵活就业
2023.06-2024.10西峡县公安局重阳派出所
2024.11-2025.04灵活就业
2025.05-至今 郑州特朗斯大宇宙</v>
      </c>
    </row>
    <row r="5230" spans="1:9">
      <c r="A5230" s="1" t="str">
        <f>"410403200210145552"</f>
        <v>410403200210145552</v>
      </c>
      <c r="B5230" s="1" t="str">
        <f t="shared" si="2575"/>
        <v>群众</v>
      </c>
      <c r="C5230" s="1" t="str">
        <f>"专科"</f>
        <v>专科</v>
      </c>
      <c r="D5230" s="1" t="str">
        <f>"20240627"</f>
        <v>20240627</v>
      </c>
      <c r="E5230" s="1" t="str">
        <f>"湖北商贸学院"</f>
        <v>湖北商贸学院</v>
      </c>
      <c r="F5230" s="1" t="str">
        <f>"环境艺术设计"</f>
        <v>环境艺术设计</v>
      </c>
      <c r="G5230" s="1" t="str">
        <f>"河南省平顶山市卫东区"</f>
        <v>河南省平顶山市卫东区</v>
      </c>
      <c r="H5230" s="1" t="str">
        <f t="shared" ref="H5230:H5239" si="2577">"无"</f>
        <v>无</v>
      </c>
      <c r="I5230" s="1" t="str">
        <f>"202109-202406湖北商贸学院艺术与传媒学院环境艺术设计专业就读"</f>
        <v>202109-202406湖北商贸学院艺术与传媒学院环境艺术设计专业就读</v>
      </c>
    </row>
    <row r="5231" spans="1:9">
      <c r="A5231" s="1" t="str">
        <f>"411327200206220018"</f>
        <v>411327200206220018</v>
      </c>
      <c r="B5231" s="1" t="str">
        <f t="shared" si="2575"/>
        <v>群众</v>
      </c>
      <c r="C5231" s="1" t="str">
        <f t="shared" si="2576"/>
        <v>本科</v>
      </c>
      <c r="D5231" s="1" t="str">
        <f>"2025-07-01"</f>
        <v>2025-07-01</v>
      </c>
      <c r="E5231" s="1" t="str">
        <f>"重庆财经学院"</f>
        <v>重庆财经学院</v>
      </c>
      <c r="F5231" s="1" t="str">
        <f>"大数据管理与应用"</f>
        <v>大数据管理与应用</v>
      </c>
      <c r="G5231" s="1" t="str">
        <f>"河南省南阳市内乡县师苑小区"</f>
        <v>河南省南阳市内乡县师苑小区</v>
      </c>
      <c r="H5231" s="1" t="str">
        <f t="shared" si="2577"/>
        <v>无</v>
      </c>
      <c r="I5231" s="1" t="str">
        <f>"2020年09-2023年06 重庆移通学院 计算机应用技术专业就读
2023年09-2025年06 重庆财经学院 大数据管理与应用专业就读"</f>
        <v>2020年09-2023年06 重庆移通学院 计算机应用技术专业就读
2023年09-2025年06 重庆财经学院 大数据管理与应用专业就读</v>
      </c>
    </row>
    <row r="5232" spans="1:9">
      <c r="A5232" s="1" t="str">
        <f>"412727199907293065"</f>
        <v>412727199907293065</v>
      </c>
      <c r="B5232" s="1" t="str">
        <f>"共青团员"</f>
        <v>共青团员</v>
      </c>
      <c r="C5232" s="1" t="str">
        <f t="shared" si="2576"/>
        <v>本科</v>
      </c>
      <c r="D5232" s="1" t="str">
        <f>"20220701"</f>
        <v>20220701</v>
      </c>
      <c r="E5232" s="1" t="str">
        <f>"郑州财经学院"</f>
        <v>郑州财经学院</v>
      </c>
      <c r="F5232" s="1" t="str">
        <f>"酒店管理"</f>
        <v>酒店管理</v>
      </c>
      <c r="G5232" s="1" t="str">
        <f>"河南省南阳市内乡县"</f>
        <v>河南省南阳市内乡县</v>
      </c>
      <c r="H5232" s="1" t="str">
        <f t="shared" si="2577"/>
        <v>无</v>
      </c>
      <c r="I5232" s="1" t="str">
        <f>"201709-202007 郑州电子信息职业技术学院 酒店管理专业（全日制）
202009-202207 郑州财经学院 酒店管理专业 （全日制）
202207-202402 待业
202402-至今      内乡县菊潭学校小学部 教师"</f>
        <v>201709-202007 郑州电子信息职业技术学院 酒店管理专业（全日制）
202009-202207 郑州财经学院 酒店管理专业 （全日制）
202207-202402 待业
202402-至今      内乡县菊潭学校小学部 教师</v>
      </c>
    </row>
    <row r="5233" spans="1:9">
      <c r="A5233" s="1" t="str">
        <f>"41132120030117412X"</f>
        <v>41132120030117412X</v>
      </c>
      <c r="B5233" s="1" t="str">
        <f>"中共党员"</f>
        <v>中共党员</v>
      </c>
      <c r="C5233" s="1" t="str">
        <f t="shared" si="2576"/>
        <v>本科</v>
      </c>
      <c r="D5233" s="1" t="str">
        <f>"2024-07-02"</f>
        <v>2024-07-02</v>
      </c>
      <c r="E5233" s="1" t="str">
        <f>"仰恩大学"</f>
        <v>仰恩大学</v>
      </c>
      <c r="F5233" s="1" t="str">
        <f>"英语"</f>
        <v>英语</v>
      </c>
      <c r="G5233" s="1" t="str">
        <f>"河南省南阳市桐柏县金域蓝湾11号楼一单元901"</f>
        <v>河南省南阳市桐柏县金域蓝湾11号楼一单元901</v>
      </c>
      <c r="H5233" s="1" t="str">
        <f t="shared" si="2577"/>
        <v>无</v>
      </c>
      <c r="I5233" s="1" t="str">
        <f>"202009-202407 在仰恩大学外国语学院英语专业就读 全日制学历
202407-至今      在河南省南阳市桐柏县待业"</f>
        <v>202009-202407 在仰恩大学外国语学院英语专业就读 全日制学历
202407-至今      在河南省南阳市桐柏县待业</v>
      </c>
    </row>
    <row r="5234" spans="1:9">
      <c r="A5234" s="1" t="str">
        <f>"411327200203180014"</f>
        <v>411327200203180014</v>
      </c>
      <c r="B5234" s="1" t="str">
        <f>"中共党员"</f>
        <v>中共党员</v>
      </c>
      <c r="C5234" s="1" t="str">
        <f t="shared" si="2576"/>
        <v>本科</v>
      </c>
      <c r="D5234" s="1" t="str">
        <f>"20240701"</f>
        <v>20240701</v>
      </c>
      <c r="E5234" s="1" t="str">
        <f>"大连艺术学院"</f>
        <v>大连艺术学院</v>
      </c>
      <c r="F5234" s="1" t="str">
        <f>"环境设计"</f>
        <v>环境设计</v>
      </c>
      <c r="G5234" s="1" t="str">
        <f>"河南省南阳市内乡县宏达南路"</f>
        <v>河南省南阳市内乡县宏达南路</v>
      </c>
      <c r="H5234" s="1" t="str">
        <f t="shared" si="2577"/>
        <v>无</v>
      </c>
      <c r="I5234" s="1" t="str">
        <f>"202009-202407 大连艺术学院 艺术设计学院 环境设计专业就读 为全日制本科
202407-至今 待业"</f>
        <v>202009-202407 大连艺术学院 艺术设计学院 环境设计专业就读 为全日制本科
202407-至今 待业</v>
      </c>
    </row>
    <row r="5235" spans="1:9">
      <c r="A5235" s="1" t="str">
        <f>"411322199203260316"</f>
        <v>411322199203260316</v>
      </c>
      <c r="B5235" s="1" t="str">
        <f t="shared" ref="B5235:B5238" si="2578">"群众"</f>
        <v>群众</v>
      </c>
      <c r="C5235" s="1" t="str">
        <f>"专科"</f>
        <v>专科</v>
      </c>
      <c r="D5235" s="1" t="str">
        <f>"2014-07-01"</f>
        <v>2014-07-01</v>
      </c>
      <c r="E5235" s="1" t="str">
        <f>"郑州轻工业学院"</f>
        <v>郑州轻工业学院</v>
      </c>
      <c r="F5235" s="1" t="str">
        <f>"计算机网络技术"</f>
        <v>计算机网络技术</v>
      </c>
      <c r="G5235" s="1" t="str">
        <f>"河南省方城县七峰路191号"</f>
        <v>河南省方城县七峰路191号</v>
      </c>
      <c r="H5235" s="1" t="str">
        <f t="shared" si="2577"/>
        <v>无</v>
      </c>
      <c r="I5235" s="1" t="str">
        <f>"2011.9.1-2014.7.1在郑州轻工业学院计算机系计算机网络技术专业就读，全日制学历
2014年至今待业"</f>
        <v>2011.9.1-2014.7.1在郑州轻工业学院计算机系计算机网络技术专业就读，全日制学历
2014年至今待业</v>
      </c>
    </row>
    <row r="5236" spans="1:9">
      <c r="A5236" s="1" t="str">
        <f>"410923200102154833"</f>
        <v>410923200102154833</v>
      </c>
      <c r="B5236" s="1" t="str">
        <f>"共青团员"</f>
        <v>共青团员</v>
      </c>
      <c r="C5236" s="1" t="str">
        <f t="shared" ref="C5236:C5240" si="2579">"本科"</f>
        <v>本科</v>
      </c>
      <c r="D5236" s="1" t="str">
        <f>"20230701"</f>
        <v>20230701</v>
      </c>
      <c r="E5236" s="1" t="str">
        <f>"郑州财经学院"</f>
        <v>郑州财经学院</v>
      </c>
      <c r="F5236" s="1" t="str">
        <f>"视觉传达设计"</f>
        <v>视觉传达设计</v>
      </c>
      <c r="G5236" s="1" t="str">
        <f>"河南省濮阳市南乐县都市华庭小区"</f>
        <v>河南省濮阳市南乐县都市华庭小区</v>
      </c>
      <c r="H5236" s="1" t="str">
        <f t="shared" si="2577"/>
        <v>无</v>
      </c>
      <c r="I5236" s="1" t="str">
        <f>"201909-202307在郑州财经学院 艺术设计学院 视觉传达设计专业就读 全日制本科学历
202307-至今 待业"</f>
        <v>201909-202307在郑州财经学院 艺术设计学院 视觉传达设计专业就读 全日制本科学历
202307-至今 待业</v>
      </c>
    </row>
    <row r="5237" spans="1:9">
      <c r="A5237" s="1" t="str">
        <f>"411325199908041526"</f>
        <v>411325199908041526</v>
      </c>
      <c r="B5237" s="1" t="str">
        <f t="shared" si="2578"/>
        <v>群众</v>
      </c>
      <c r="C5237" s="1" t="str">
        <f>"专科"</f>
        <v>专科</v>
      </c>
      <c r="D5237" s="1" t="str">
        <f>"20210701"</f>
        <v>20210701</v>
      </c>
      <c r="E5237" s="1" t="str">
        <f>"焦作工贸职业学院"</f>
        <v>焦作工贸职业学院</v>
      </c>
      <c r="F5237" s="1" t="str">
        <f>"会计"</f>
        <v>会计</v>
      </c>
      <c r="G5237" s="1" t="str">
        <f>"河南省南阳市内乡县湍东镇"</f>
        <v>河南省南阳市内乡县湍东镇</v>
      </c>
      <c r="H5237" s="1" t="str">
        <f t="shared" si="2577"/>
        <v>无</v>
      </c>
      <c r="I5237" s="1" t="str">
        <f>"201909-202107焦作工贸职业学院经济管理学院就读，全日制学历。"</f>
        <v>201909-202107焦作工贸职业学院经济管理学院就读，全日制学历。</v>
      </c>
    </row>
    <row r="5238" spans="1:9">
      <c r="A5238" s="1" t="str">
        <f>"632126199405061418"</f>
        <v>632126199405061418</v>
      </c>
      <c r="B5238" s="1" t="str">
        <f t="shared" si="2578"/>
        <v>群众</v>
      </c>
      <c r="C5238" s="1" t="str">
        <f t="shared" si="2579"/>
        <v>本科</v>
      </c>
      <c r="D5238" s="1" t="str">
        <f>"2016.06.28"</f>
        <v>2016.06.28</v>
      </c>
      <c r="E5238" s="1" t="str">
        <f>"青岛科技大学"</f>
        <v>青岛科技大学</v>
      </c>
      <c r="F5238" s="1" t="str">
        <f>"热能与能力工程"</f>
        <v>热能与能力工程</v>
      </c>
      <c r="G5238" s="1" t="str">
        <f>"河南省南阳市内乡县永馨花苑"</f>
        <v>河南省南阳市内乡县永馨花苑</v>
      </c>
      <c r="H5238" s="1" t="str">
        <f t="shared" si="2577"/>
        <v>无</v>
      </c>
      <c r="I5238" s="1" t="str">
        <f>"2012.09-2016.06，青岛科技大学热能与动力工程就读。
2016.08-2021.03，任职于中国电建集团核电工程有限公司，主要为火电、核电基建安装。
2021.04-至今，任职于浙江华业电力工程股份有限公司，内乡电厂检修维护。"</f>
        <v>2012.09-2016.06，青岛科技大学热能与动力工程就读。
2016.08-2021.03，任职于中国电建集团核电工程有限公司，主要为火电、核电基建安装。
2021.04-至今，任职于浙江华业电力工程股份有限公司，内乡电厂检修维护。</v>
      </c>
    </row>
    <row r="5239" spans="1:9">
      <c r="A5239" s="1" t="str">
        <f>"411327200403270014"</f>
        <v>411327200403270014</v>
      </c>
      <c r="B5239" s="1" t="str">
        <f t="shared" ref="B5239:B5244" si="2580">"共青团员"</f>
        <v>共青团员</v>
      </c>
      <c r="C5239" s="1" t="str">
        <f t="shared" si="2579"/>
        <v>本科</v>
      </c>
      <c r="D5239" s="1" t="str">
        <f>"20260701"</f>
        <v>20260701</v>
      </c>
      <c r="E5239" s="1" t="str">
        <f>"湖北经济学院法商学院"</f>
        <v>湖北经济学院法商学院</v>
      </c>
      <c r="F5239" s="1" t="str">
        <f>"金融学"</f>
        <v>金融学</v>
      </c>
      <c r="G5239" s="1" t="str">
        <f>"河南省南阳市内乡县城关镇"</f>
        <v>河南省南阳市内乡县城关镇</v>
      </c>
      <c r="H5239" s="1" t="str">
        <f t="shared" si="2577"/>
        <v>无</v>
      </c>
      <c r="I5239" s="1" t="str">
        <f>"202209-202607 在湖北经济学院法商学院金融学专业就读"</f>
        <v>202209-202607 在湖北经济学院法商学院金融学专业就读</v>
      </c>
    </row>
    <row r="5240" spans="1:9">
      <c r="A5240" s="1" t="str">
        <f>"411327200208240020"</f>
        <v>411327200208240020</v>
      </c>
      <c r="B5240" s="1" t="str">
        <f>"中共党员"</f>
        <v>中共党员</v>
      </c>
      <c r="C5240" s="1" t="str">
        <f t="shared" si="2579"/>
        <v>本科</v>
      </c>
      <c r="D5240" s="1" t="str">
        <f>"20250605"</f>
        <v>20250605</v>
      </c>
      <c r="E5240" s="1" t="str">
        <f>"信阳师范大学"</f>
        <v>信阳师范大学</v>
      </c>
      <c r="F5240" s="1" t="str">
        <f>"会计学"</f>
        <v>会计学</v>
      </c>
      <c r="G5240" s="1" t="str">
        <f>"河南省内乡县梨园山庄桂苑小区"</f>
        <v>河南省内乡县梨园山庄桂苑小区</v>
      </c>
      <c r="H5240" s="1" t="str">
        <f>"英语四级 普通话二级甲等"</f>
        <v>英语四级 普通话二级甲等</v>
      </c>
      <c r="I5240" s="1" t="str">
        <f>"2021-2025 信阳师范大学国际教育学院会计学专业就读"</f>
        <v>2021-2025 信阳师范大学国际教育学院会计学专业就读</v>
      </c>
    </row>
    <row r="5241" spans="1:9">
      <c r="A5241" s="1" t="str">
        <f>"411327199303211513"</f>
        <v>411327199303211513</v>
      </c>
      <c r="B5241" s="1" t="str">
        <f t="shared" ref="B5241:B5246" si="2581">"群众"</f>
        <v>群众</v>
      </c>
      <c r="C5241" s="1" t="str">
        <f>"专科"</f>
        <v>专科</v>
      </c>
      <c r="D5241" s="1" t="str">
        <f>"20140701"</f>
        <v>20140701</v>
      </c>
      <c r="E5241" s="1" t="str">
        <f>"新乡学院"</f>
        <v>新乡学院</v>
      </c>
      <c r="F5241" s="1" t="str">
        <f>"园林技术"</f>
        <v>园林技术</v>
      </c>
      <c r="G5241" s="1" t="str">
        <f>"河南省内乡县湍东镇五里堡村"</f>
        <v>河南省内乡县湍东镇五里堡村</v>
      </c>
      <c r="H5241" s="1" t="str">
        <f>"花卉园艺师"</f>
        <v>花卉园艺师</v>
      </c>
      <c r="I5241" s="1" t="str">
        <f>"201108-201406 新乡学院 就读，是全日制学历。
201407-201612 河南新封生态环境工程股份有限公司
201701-201708 河南省内乡县湍东镇五里堡村张营待业
201709-202507 内乡县马山口镇中心学校"</f>
        <v>201108-201406 新乡学院 就读，是全日制学历。
201407-201612 河南新封生态环境工程股份有限公司
201701-201708 河南省内乡县湍东镇五里堡村张营待业
201709-202507 内乡县马山口镇中心学校</v>
      </c>
    </row>
    <row r="5242" spans="1:9">
      <c r="A5242" s="1" t="str">
        <f>"411327200301280027"</f>
        <v>411327200301280027</v>
      </c>
      <c r="B5242" s="1" t="str">
        <f t="shared" si="2580"/>
        <v>共青团员</v>
      </c>
      <c r="C5242" s="1" t="str">
        <f t="shared" ref="C5242:C5246" si="2582">"本科"</f>
        <v>本科</v>
      </c>
      <c r="D5242" s="1" t="str">
        <f>"20250619"</f>
        <v>20250619</v>
      </c>
      <c r="E5242" s="1" t="str">
        <f>"中原工学院"</f>
        <v>中原工学院</v>
      </c>
      <c r="F5242" s="1" t="str">
        <f>"金融学"</f>
        <v>金融学</v>
      </c>
      <c r="G5242" s="1" t="str">
        <f>"河南省南阳市内乡县湍东镇"</f>
        <v>河南省南阳市内乡县湍东镇</v>
      </c>
      <c r="H5242" s="1" t="str">
        <f t="shared" ref="H5242:H5246" si="2583">"无"</f>
        <v>无</v>
      </c>
      <c r="I5242" s="1" t="str">
        <f>"202109-202506在中原工学院经济管理学院金融学专业就读，是全日制学历"</f>
        <v>202109-202506在中原工学院经济管理学院金融学专业就读，是全日制学历</v>
      </c>
    </row>
    <row r="5243" spans="1:9">
      <c r="A5243" s="1" t="str">
        <f>"410183199901090052"</f>
        <v>410183199901090052</v>
      </c>
      <c r="B5243" s="1" t="str">
        <f t="shared" si="2580"/>
        <v>共青团员</v>
      </c>
      <c r="C5243" s="1" t="str">
        <f>"硕士研究生"</f>
        <v>硕士研究生</v>
      </c>
      <c r="D5243" s="1" t="str">
        <f>"20240701"</f>
        <v>20240701</v>
      </c>
      <c r="E5243" s="1" t="str">
        <f>"华北水利水电大学"</f>
        <v>华北水利水电大学</v>
      </c>
      <c r="F5243" s="1" t="str">
        <f>"农业"</f>
        <v>农业</v>
      </c>
      <c r="G5243" s="1" t="str">
        <f>"13849102850"</f>
        <v>13849102850</v>
      </c>
      <c r="H5243" s="1" t="str">
        <f t="shared" si="2583"/>
        <v>无</v>
      </c>
      <c r="I5243" s="1" t="str">
        <f>"201709-202106  福建农林大学风景园林就读 全日制本科
202106-202109  待业
202109-202409  华北水利水电大学农业就读 全日制硕士
202409至今     待业
"</f>
        <v>201709-202106  福建农林大学风景园林就读 全日制本科
202106-202109  待业
202109-202409  华北水利水电大学农业就读 全日制硕士
202409至今     待业
</v>
      </c>
    </row>
    <row r="5244" spans="1:9">
      <c r="A5244" s="1" t="str">
        <f>"411327200107310034"</f>
        <v>411327200107310034</v>
      </c>
      <c r="B5244" s="1" t="str">
        <f t="shared" si="2580"/>
        <v>共青团员</v>
      </c>
      <c r="C5244" s="1" t="str">
        <f t="shared" si="2582"/>
        <v>本科</v>
      </c>
      <c r="D5244" s="1" t="str">
        <f>"20230701"</f>
        <v>20230701</v>
      </c>
      <c r="E5244" s="1" t="str">
        <f>"沈阳建筑大学"</f>
        <v>沈阳建筑大学</v>
      </c>
      <c r="F5244" s="1" t="str">
        <f>"建筑环境与能源应用工程"</f>
        <v>建筑环境与能源应用工程</v>
      </c>
      <c r="G5244" s="1" t="str">
        <f>"内乡县机井队旁"</f>
        <v>内乡县机井队旁</v>
      </c>
      <c r="H5244" s="1" t="str">
        <f t="shared" si="2583"/>
        <v>无</v>
      </c>
      <c r="I5244" s="1" t="str">
        <f>"201909-202307 沈阳建筑大学就读全日制本科"</f>
        <v>201909-202307 沈阳建筑大学就读全日制本科</v>
      </c>
    </row>
    <row r="5245" spans="1:9">
      <c r="A5245" s="1" t="str">
        <f>"441623199202262465"</f>
        <v>441623199202262465</v>
      </c>
      <c r="B5245" s="1" t="str">
        <f t="shared" si="2581"/>
        <v>群众</v>
      </c>
      <c r="C5245" s="1" t="str">
        <f t="shared" si="2582"/>
        <v>本科</v>
      </c>
      <c r="D5245" s="1" t="str">
        <f>"20130706"</f>
        <v>20130706</v>
      </c>
      <c r="E5245" s="1" t="str">
        <f>"上海海洋大学"</f>
        <v>上海海洋大学</v>
      </c>
      <c r="F5245" s="1" t="str">
        <f>"日语"</f>
        <v>日语</v>
      </c>
      <c r="G5245" s="1" t="str">
        <f>"河南省南阳市内乡县二工局小区"</f>
        <v>河南省南阳市内乡县二工局小区</v>
      </c>
      <c r="H5245" s="1" t="str">
        <f t="shared" si="2583"/>
        <v>无</v>
      </c>
      <c r="I5245" s="1" t="str">
        <f>"200909-201307 上海海洋大学
201307-201707 上海市奉贤区奉浦街道
201707-201809 河南省南阳市内乡县待业
201809-201907 河南省南阳市马山口镇实验小学代课老
201907-202303 内乡县人民检察院
202303-202405 上海市崇明区交通执法大队
202405-至今 河南省南阳市内乡县待业  
"</f>
        <v>200909-201307 上海海洋大学
201307-201707 上海市奉贤区奉浦街道
201707-201809 河南省南阳市内乡县待业
201809-201907 河南省南阳市马山口镇实验小学代课老
201907-202303 内乡县人民检察院
202303-202405 上海市崇明区交通执法大队
202405-至今 河南省南阳市内乡县待业  
</v>
      </c>
    </row>
    <row r="5246" spans="1:9">
      <c r="A5246" s="1" t="str">
        <f>"411327199911060333"</f>
        <v>411327199911060333</v>
      </c>
      <c r="B5246" s="1" t="str">
        <f t="shared" si="2581"/>
        <v>群众</v>
      </c>
      <c r="C5246" s="1" t="str">
        <f t="shared" si="2582"/>
        <v>本科</v>
      </c>
      <c r="D5246" s="1" t="str">
        <f>"20220701"</f>
        <v>20220701</v>
      </c>
      <c r="E5246" s="1" t="str">
        <f>"郑州工业应用技术学院"</f>
        <v>郑州工业应用技术学院</v>
      </c>
      <c r="F5246" s="1" t="str">
        <f>"电子商务"</f>
        <v>电子商务</v>
      </c>
      <c r="G5246" s="1" t="str">
        <f>"河南省南阳市内乡县城关镇艾康源"</f>
        <v>河南省南阳市内乡县城关镇艾康源</v>
      </c>
      <c r="H5246" s="1" t="str">
        <f t="shared" si="2583"/>
        <v>无</v>
      </c>
      <c r="I5246" s="1" t="str">
        <f>"201709-202007 黄河交通学院 管理系 市场营销 （全日制）
202009-202207 郑州工业应用技术学院 信息工程系 电子商务 （全日制）"</f>
        <v>201709-202007 黄河交通学院 管理系 市场营销 （全日制）
202009-202207 郑州工业应用技术学院 信息工程系 电子商务 （全日制）</v>
      </c>
    </row>
    <row r="5247" spans="1:9">
      <c r="A5247" s="1" t="str">
        <f>"411327199802022039"</f>
        <v>411327199802022039</v>
      </c>
      <c r="B5247" s="1" t="str">
        <f>"中共党员"</f>
        <v>中共党员</v>
      </c>
      <c r="C5247" s="1" t="str">
        <f t="shared" ref="C5247:C5251" si="2584">"专科"</f>
        <v>专科</v>
      </c>
      <c r="D5247" s="1" t="str">
        <f>"20220630"</f>
        <v>20220630</v>
      </c>
      <c r="E5247" s="1" t="str">
        <f>"平顶山职业技术学院"</f>
        <v>平顶山职业技术学院</v>
      </c>
      <c r="F5247" s="1" t="str">
        <f>"会计"</f>
        <v>会计</v>
      </c>
      <c r="G5247" s="1" t="str">
        <f>"河南省南阳市内乡县东城水岸小区"</f>
        <v>河南省南阳市内乡县东城水岸小区</v>
      </c>
      <c r="H5247" s="1" t="str">
        <f>"初级会计证"</f>
        <v>初级会计证</v>
      </c>
      <c r="I5247" s="1" t="str">
        <f>"201909-202206平顶山职业技术学院财经系会计专业 就读 全日制
202206-202212内乡待业
202301-202412南阳源泉工程建设有限公司 工作
202501-至今内乡县待业"</f>
        <v>201909-202206平顶山职业技术学院财经系会计专业 就读 全日制
202206-202212内乡待业
202301-202412南阳源泉工程建设有限公司 工作
202501-至今内乡县待业</v>
      </c>
    </row>
    <row r="5248" spans="1:9">
      <c r="A5248" s="1" t="str">
        <f>"411327199204212916"</f>
        <v>411327199204212916</v>
      </c>
      <c r="B5248" s="1" t="str">
        <f>"中共党员"</f>
        <v>中共党员</v>
      </c>
      <c r="C5248" s="1" t="str">
        <f t="shared" ref="C5248:C5254" si="2585">"本科"</f>
        <v>本科</v>
      </c>
      <c r="D5248" s="1" t="str">
        <f>"20150630"</f>
        <v>20150630</v>
      </c>
      <c r="E5248" s="1" t="str">
        <f>"武汉体育学院"</f>
        <v>武汉体育学院</v>
      </c>
      <c r="F5248" s="1" t="str">
        <f>"体育教育"</f>
        <v>体育教育</v>
      </c>
      <c r="G5248" s="1" t="str">
        <f>"河南省内乡县瓦亭镇袁营村李坡东14号"</f>
        <v>河南省内乡县瓦亭镇袁营村李坡东14号</v>
      </c>
      <c r="H5248" s="1" t="str">
        <f t="shared" ref="H5248:H5250" si="2586">"无"</f>
        <v>无</v>
      </c>
      <c r="I5248" s="1" t="str">
        <f>"2011.09-2015.06武汉体育学院
2015.06-2015.09待业
2015.09-2023.09武警北京总队
2023.09-2024.06待业
2024.06-至今南阳中誉实业发展有限公司"</f>
        <v>2011.09-2015.06武汉体育学院
2015.06-2015.09待业
2015.09-2023.09武警北京总队
2023.09-2024.06待业
2024.06-至今南阳中誉实业发展有限公司</v>
      </c>
    </row>
    <row r="5249" spans="1:9">
      <c r="A5249" s="1" t="str">
        <f>"411327199304220024"</f>
        <v>411327199304220024</v>
      </c>
      <c r="B5249" s="1" t="str">
        <f t="shared" ref="B5249:B5254" si="2587">"群众"</f>
        <v>群众</v>
      </c>
      <c r="C5249" s="1" t="str">
        <f t="shared" si="2584"/>
        <v>专科</v>
      </c>
      <c r="D5249" s="1" t="str">
        <f>"20150131"</f>
        <v>20150131</v>
      </c>
      <c r="E5249" s="1" t="str">
        <f>"山东交通学院"</f>
        <v>山东交通学院</v>
      </c>
      <c r="F5249" s="1" t="str">
        <f>"道路桥梁工程技术"</f>
        <v>道路桥梁工程技术</v>
      </c>
      <c r="G5249" s="1" t="str">
        <f>"河南省南阳市内乡县党员警示教育基地"</f>
        <v>河南省南阳市内乡县党员警示教育基地</v>
      </c>
      <c r="H5249" s="1" t="str">
        <f t="shared" si="2586"/>
        <v>无</v>
      </c>
      <c r="I5249" s="1" t="str">
        <f>"20120301-20150131 山东交通学院道路桥梁工程技术函授；
20150201至今 内乡县农村公路管理所技术员；"</f>
        <v>20120301-20150131 山东交通学院道路桥梁工程技术函授；
20150201至今 内乡县农村公路管理所技术员；</v>
      </c>
    </row>
    <row r="5250" spans="1:9">
      <c r="A5250" s="1" t="str">
        <f>"410326200306067543"</f>
        <v>410326200306067543</v>
      </c>
      <c r="B5250" s="1" t="str">
        <f t="shared" ref="B5250:B5252" si="2588">"共青团员"</f>
        <v>共青团员</v>
      </c>
      <c r="C5250" s="1" t="str">
        <f t="shared" si="2585"/>
        <v>本科</v>
      </c>
      <c r="D5250" s="1" t="str">
        <f>"20250605"</f>
        <v>20250605</v>
      </c>
      <c r="E5250" s="1" t="str">
        <f>"新乡工程学院"</f>
        <v>新乡工程学院</v>
      </c>
      <c r="F5250" s="1" t="str">
        <f t="shared" ref="F5250:F5253" si="2589">"旅游管理"</f>
        <v>旅游管理</v>
      </c>
      <c r="G5250" s="1" t="str">
        <f>"河南省洛阳市汝阳县城关镇杜康社区鑫鑫小区"</f>
        <v>河南省洛阳市汝阳县城关镇杜康社区鑫鑫小区</v>
      </c>
      <c r="H5250" s="1" t="str">
        <f t="shared" si="2586"/>
        <v>无</v>
      </c>
      <c r="I5250" s="1" t="str">
        <f>"202109-202506 新乡工程学院食品工程学院旅游管理专业就读，全日制学历"</f>
        <v>202109-202506 新乡工程学院食品工程学院旅游管理专业就读，全日制学历</v>
      </c>
    </row>
    <row r="5251" spans="1:9">
      <c r="A5251" s="1" t="str">
        <f>"411323199510303044"</f>
        <v>411323199510303044</v>
      </c>
      <c r="B5251" s="1" t="str">
        <f t="shared" si="2588"/>
        <v>共青团员</v>
      </c>
      <c r="C5251" s="1" t="str">
        <f t="shared" si="2584"/>
        <v>专科</v>
      </c>
      <c r="D5251" s="1" t="str">
        <f>"20160701"</f>
        <v>20160701</v>
      </c>
      <c r="E5251" s="1" t="str">
        <f>"郑州轻工业学院"</f>
        <v>郑州轻工业学院</v>
      </c>
      <c r="F5251" s="1" t="str">
        <f t="shared" si="2589"/>
        <v>旅游管理</v>
      </c>
      <c r="G5251" s="1" t="str">
        <f>"河南省淅川县金河镇一桥橡胶坝对面"</f>
        <v>河南省淅川县金河镇一桥橡胶坝对面</v>
      </c>
      <c r="H5251" s="1" t="str">
        <f>"初级会计专业技术资格"</f>
        <v>初级会计专业技术资格</v>
      </c>
      <c r="I5251" s="1" t="str">
        <f>"201309-201607在郑州轻工业学院经济管理系旅游管理专业就读。是全日制学历"</f>
        <v>201309-201607在郑州轻工业学院经济管理系旅游管理专业就读。是全日制学历</v>
      </c>
    </row>
    <row r="5252" spans="1:9">
      <c r="A5252" s="1" t="str">
        <f>"411327200109173520"</f>
        <v>411327200109173520</v>
      </c>
      <c r="B5252" s="1" t="str">
        <f t="shared" si="2588"/>
        <v>共青团员</v>
      </c>
      <c r="C5252" s="1" t="str">
        <f t="shared" si="2585"/>
        <v>本科</v>
      </c>
      <c r="D5252" s="1" t="str">
        <f>"20230607"</f>
        <v>20230607</v>
      </c>
      <c r="E5252" s="1" t="str">
        <f>"郑州工业应用技术学院"</f>
        <v>郑州工业应用技术学院</v>
      </c>
      <c r="F5252" s="1" t="str">
        <f>"会计学"</f>
        <v>会计学</v>
      </c>
      <c r="G5252" s="1" t="str">
        <f>"河南省南阳市内乡县板厂乡符庄村"</f>
        <v>河南省南阳市内乡县板厂乡符庄村</v>
      </c>
      <c r="H5252" s="1" t="str">
        <f>"初级会计证书"</f>
        <v>初级会计证书</v>
      </c>
      <c r="I5252" s="1" t="str">
        <f>"201909-202306 郑州工业应用技术学院 商学院 会计学 就读
202306-202507在家待业"</f>
        <v>201909-202306 郑州工业应用技术学院 商学院 会计学 就读
202306-202507在家待业</v>
      </c>
    </row>
    <row r="5253" spans="1:9">
      <c r="A5253" s="1" t="str">
        <f>"411330200202161549"</f>
        <v>411330200202161549</v>
      </c>
      <c r="B5253" s="1" t="str">
        <f t="shared" si="2587"/>
        <v>群众</v>
      </c>
      <c r="C5253" s="1" t="str">
        <f t="shared" si="2585"/>
        <v>本科</v>
      </c>
      <c r="D5253" s="1" t="str">
        <f>"20250630"</f>
        <v>20250630</v>
      </c>
      <c r="E5253" s="1" t="str">
        <f>"中原科技学院"</f>
        <v>中原科技学院</v>
      </c>
      <c r="F5253" s="1" t="str">
        <f t="shared" si="2589"/>
        <v>旅游管理</v>
      </c>
      <c r="G5253" s="1" t="str">
        <f>"河南省南阳市西峡县白羽街道城关镇门口"</f>
        <v>河南省南阳市西峡县白羽街道城关镇门口</v>
      </c>
      <c r="H5253" s="1" t="str">
        <f t="shared" ref="H5253:H5267" si="2590">"无"</f>
        <v>无</v>
      </c>
      <c r="I5253" s="1" t="str">
        <f>"202109-202506在中原科技学院管理学院旅游管理专业就读，是全日制学历。"</f>
        <v>202109-202506在中原科技学院管理学院旅游管理专业就读，是全日制学历。</v>
      </c>
    </row>
    <row r="5254" spans="1:9">
      <c r="A5254" s="1" t="str">
        <f>"411323200203080528"</f>
        <v>411323200203080528</v>
      </c>
      <c r="B5254" s="1" t="str">
        <f t="shared" si="2587"/>
        <v>群众</v>
      </c>
      <c r="C5254" s="1" t="str">
        <f t="shared" si="2585"/>
        <v>本科</v>
      </c>
      <c r="D5254" s="1" t="str">
        <f>"20240701"</f>
        <v>20240701</v>
      </c>
      <c r="E5254" s="1" t="str">
        <f>"新乡医学院三全学院"</f>
        <v>新乡医学院三全学院</v>
      </c>
      <c r="F5254" s="1" t="str">
        <f>"假肢矫形工程"</f>
        <v>假肢矫形工程</v>
      </c>
      <c r="G5254" s="1" t="str">
        <f>"河南省南阳市淅川县上集镇韦岭村韦沟组104号"</f>
        <v>河南省南阳市淅川县上集镇韦岭村韦沟组104号</v>
      </c>
      <c r="H5254" s="1" t="str">
        <f t="shared" si="2590"/>
        <v>无</v>
      </c>
      <c r="I5254" s="1" t="str">
        <f>"202009-202407新乡医学院三全学院就读康复医学院假肢矫形工程专业，全日制本科"</f>
        <v>202009-202407新乡医学院三全学院就读康复医学院假肢矫形工程专业，全日制本科</v>
      </c>
    </row>
    <row r="5255" spans="1:9">
      <c r="A5255" s="1" t="str">
        <f>"411327199908204922"</f>
        <v>411327199908204922</v>
      </c>
      <c r="B5255" s="1" t="str">
        <f>"共青团员"</f>
        <v>共青团员</v>
      </c>
      <c r="C5255" s="1" t="str">
        <f>"专科"</f>
        <v>专科</v>
      </c>
      <c r="D5255" s="1" t="str">
        <f>"20190701"</f>
        <v>20190701</v>
      </c>
      <c r="E5255" s="1" t="str">
        <f>"南阳师范学院"</f>
        <v>南阳师范学院</v>
      </c>
      <c r="F5255" s="1" t="str">
        <f>"学前教育"</f>
        <v>学前教育</v>
      </c>
      <c r="G5255" s="1" t="str">
        <f>"内乡县天春苑小区"</f>
        <v>内乡县天春苑小区</v>
      </c>
      <c r="H5255" s="1" t="str">
        <f t="shared" si="2590"/>
        <v>无</v>
      </c>
      <c r="I5255" s="1" t="str">
        <f>"201409-201907南阳师范学院就读
"</f>
        <v>201409-201907南阳师范学院就读
</v>
      </c>
    </row>
    <row r="5256" spans="1:9">
      <c r="A5256" s="1" t="str">
        <f>"411327200209212013"</f>
        <v>411327200209212013</v>
      </c>
      <c r="B5256" s="1" t="str">
        <f>"群众"</f>
        <v>群众</v>
      </c>
      <c r="C5256" s="1" t="str">
        <f t="shared" ref="C5256:C5259" si="2591">"本科"</f>
        <v>本科</v>
      </c>
      <c r="D5256" s="1" t="str">
        <f t="shared" ref="D5256:D5259" si="2592">"20250701"</f>
        <v>20250701</v>
      </c>
      <c r="E5256" s="1" t="str">
        <f>"新乡学院"</f>
        <v>新乡学院</v>
      </c>
      <c r="F5256" s="1" t="str">
        <f>"城乡规划"</f>
        <v>城乡规划</v>
      </c>
      <c r="G5256" s="1" t="str">
        <f>"河南省南阳市内乡县师岗镇张沟村贾沟组前南14号"</f>
        <v>河南省南阳市内乡县师岗镇张沟村贾沟组前南14号</v>
      </c>
      <c r="H5256" s="1" t="str">
        <f t="shared" si="2590"/>
        <v>无</v>
      </c>
      <c r="I5256" s="1" t="str">
        <f>"202109-202507在新乡学院土木工程与建筑学院城乡规划专业就读，是全日制学历"</f>
        <v>202109-202507在新乡学院土木工程与建筑学院城乡规划专业就读，是全日制学历</v>
      </c>
    </row>
    <row r="5257" spans="1:9">
      <c r="A5257" s="1" t="str">
        <f>"411327200111190047"</f>
        <v>411327200111190047</v>
      </c>
      <c r="B5257" s="1" t="str">
        <f t="shared" ref="B5257:B5260" si="2593">"中共党员"</f>
        <v>中共党员</v>
      </c>
      <c r="C5257" s="1" t="str">
        <f t="shared" si="2591"/>
        <v>本科</v>
      </c>
      <c r="D5257" s="1" t="str">
        <f>"202507"</f>
        <v>202507</v>
      </c>
      <c r="E5257" s="1" t="str">
        <f>"武汉科技大学"</f>
        <v>武汉科技大学</v>
      </c>
      <c r="F5257" s="1" t="str">
        <f>"环境工程"</f>
        <v>环境工程</v>
      </c>
      <c r="G5257" s="1" t="str">
        <f>"河南省南阳市内乡县城关镇"</f>
        <v>河南省南阳市内乡县城关镇</v>
      </c>
      <c r="H5257" s="1" t="str">
        <f t="shared" si="2590"/>
        <v>无</v>
      </c>
      <c r="I5257" s="1" t="str">
        <f>"2019年6月至2022年7月在河南建筑职业技术学院设备工程系环境监测与控制技术专业就读，是全日制学历；
2023年3月至2025年7月在武汉科技大学环境工程专业就读，否全日制学历；
2022年11月至今内乡矿产资源交易中心工作。"</f>
        <v>2019年6月至2022年7月在河南建筑职业技术学院设备工程系环境监测与控制技术专业就读，是全日制学历；
2023年3月至2025年7月在武汉科技大学环境工程专业就读，否全日制学历；
2022年11月至今内乡矿产资源交易中心工作。</v>
      </c>
    </row>
    <row r="5258" spans="1:9">
      <c r="A5258" s="1" t="str">
        <f>"412825199906086729"</f>
        <v>412825199906086729</v>
      </c>
      <c r="B5258" s="1" t="str">
        <f>"共青团员"</f>
        <v>共青团员</v>
      </c>
      <c r="C5258" s="1" t="str">
        <f>"硕士研究生"</f>
        <v>硕士研究生</v>
      </c>
      <c r="D5258" s="1" t="str">
        <f t="shared" si="2592"/>
        <v>20250701</v>
      </c>
      <c r="E5258" s="1" t="str">
        <f>"江西农业大学"</f>
        <v>江西农业大学</v>
      </c>
      <c r="F5258" s="1" t="str">
        <f>"农村发展"</f>
        <v>农村发展</v>
      </c>
      <c r="G5258" s="1" t="str">
        <f>"河南省驻马店市上蔡县韩寨乡何庄村7组"</f>
        <v>河南省驻马店市上蔡县韩寨乡何庄村7组</v>
      </c>
      <c r="H5258" s="1" t="str">
        <f t="shared" si="2590"/>
        <v>无</v>
      </c>
      <c r="I5258" s="1" t="str">
        <f>"20180901-20220701 江西农业大学 经济管理学院 农林经济管理专业 全日制就读
20220901-20250701 江西农业大学 经济管理学院 农村发展专业 全日制就读"</f>
        <v>20180901-20220701 江西农业大学 经济管理学院 农林经济管理专业 全日制就读
20220901-20250701 江西农业大学 经济管理学院 农村发展专业 全日制就读</v>
      </c>
    </row>
    <row r="5259" spans="1:9">
      <c r="A5259" s="1" t="str">
        <f>"411324200009212714"</f>
        <v>411324200009212714</v>
      </c>
      <c r="B5259" s="1" t="str">
        <f t="shared" si="2593"/>
        <v>中共党员</v>
      </c>
      <c r="C5259" s="1" t="str">
        <f t="shared" si="2591"/>
        <v>本科</v>
      </c>
      <c r="D5259" s="1" t="str">
        <f t="shared" si="2592"/>
        <v>20250701</v>
      </c>
      <c r="E5259" s="1" t="str">
        <f>"南阳师范学院"</f>
        <v>南阳师范学院</v>
      </c>
      <c r="F5259" s="1" t="str">
        <f>"播音与主持艺术"</f>
        <v>播音与主持艺术</v>
      </c>
      <c r="G5259" s="1" t="str">
        <f>"河南省镇平县寺山乡上河村曹坪30号"</f>
        <v>河南省镇平县寺山乡上河村曹坪30号</v>
      </c>
      <c r="H5259" s="1" t="str">
        <f t="shared" si="2590"/>
        <v>无</v>
      </c>
      <c r="I5259" s="1" t="str">
        <f>"202109-202507 南阳师范学院 新闻与传播学院 播音与主持艺术专业 全日制"</f>
        <v>202109-202507 南阳师范学院 新闻与传播学院 播音与主持艺术专业 全日制</v>
      </c>
    </row>
    <row r="5260" spans="1:9">
      <c r="A5260" s="1" t="str">
        <f>"411327200202084928"</f>
        <v>411327200202084928</v>
      </c>
      <c r="B5260" s="1" t="str">
        <f t="shared" si="2593"/>
        <v>中共党员</v>
      </c>
      <c r="C5260" s="1" t="str">
        <f>"专科"</f>
        <v>专科</v>
      </c>
      <c r="D5260" s="1" t="str">
        <f>"20230630"</f>
        <v>20230630</v>
      </c>
      <c r="E5260" s="1" t="str">
        <f>"许昌职业技术学院"</f>
        <v>许昌职业技术学院</v>
      </c>
      <c r="F5260" s="1" t="str">
        <f>"食品加工技术"</f>
        <v>食品加工技术</v>
      </c>
      <c r="G5260" s="1" t="str">
        <f>"河南省南阳市内乡县湍东镇大成相府"</f>
        <v>河南省南阳市内乡县湍东镇大成相府</v>
      </c>
      <c r="H5260" s="1" t="str">
        <f t="shared" si="2590"/>
        <v>无</v>
      </c>
      <c r="I5260" s="1" t="str">
        <f>"202009-202306，就读于许昌职业技术学院20级食品加工技术专业，属于全日制学历。"</f>
        <v>202009-202306，就读于许昌职业技术学院20级食品加工技术专业，属于全日制学历。</v>
      </c>
    </row>
    <row r="5261" spans="1:9">
      <c r="A5261" s="1" t="str">
        <f>"411327199602030624"</f>
        <v>411327199602030624</v>
      </c>
      <c r="B5261" s="1" t="str">
        <f t="shared" ref="B5261:B5265" si="2594">"群众"</f>
        <v>群众</v>
      </c>
      <c r="C5261" s="1" t="str">
        <f t="shared" ref="C5261:C5266" si="2595">"本科"</f>
        <v>本科</v>
      </c>
      <c r="D5261" s="1" t="str">
        <f>"20200701"</f>
        <v>20200701</v>
      </c>
      <c r="E5261" s="1" t="str">
        <f>"中原工学院信息商务学院"</f>
        <v>中原工学院信息商务学院</v>
      </c>
      <c r="F5261" s="1" t="str">
        <f>"工商管理"</f>
        <v>工商管理</v>
      </c>
      <c r="G5261" s="1" t="str">
        <f>"河南省南阳市内乡县马山口镇新华街"</f>
        <v>河南省南阳市内乡县马山口镇新华街</v>
      </c>
      <c r="H5261" s="1" t="str">
        <f t="shared" si="2590"/>
        <v>无</v>
      </c>
      <c r="I5261" s="1" t="str">
        <f>"201509-201807 南阳理工学院会计专业就读 全日制大专
201809-202007 中原工学院信息商务学院工商管理专业就读 全日制本科"</f>
        <v>201509-201807 南阳理工学院会计专业就读 全日制大专
201809-202007 中原工学院信息商务学院工商管理专业就读 全日制本科</v>
      </c>
    </row>
    <row r="5262" spans="1:9">
      <c r="A5262" s="1" t="str">
        <f>"410521200011125047"</f>
        <v>410521200011125047</v>
      </c>
      <c r="B5262" s="1" t="str">
        <f>"共青团员"</f>
        <v>共青团员</v>
      </c>
      <c r="C5262" s="1" t="str">
        <f t="shared" si="2595"/>
        <v>本科</v>
      </c>
      <c r="D5262" s="1" t="str">
        <f>"20230630"</f>
        <v>20230630</v>
      </c>
      <c r="E5262" s="1" t="str">
        <f>"郑州西亚斯学院"</f>
        <v>郑州西亚斯学院</v>
      </c>
      <c r="F5262" s="1" t="str">
        <f>"工商管理专业"</f>
        <v>工商管理专业</v>
      </c>
      <c r="G5262" s="1" t="str">
        <f>"河南省林州市采桑镇付东沟村"</f>
        <v>河南省林州市采桑镇付东沟村</v>
      </c>
      <c r="H5262" s="1" t="str">
        <f t="shared" si="2590"/>
        <v>无</v>
      </c>
      <c r="I5262" s="1" t="str">
        <f>"201909-20230630 郑州西亚斯学院，就读于工商管理专业，全日制大学本科"</f>
        <v>201909-20230630 郑州西亚斯学院，就读于工商管理专业，全日制大学本科</v>
      </c>
    </row>
    <row r="5263" spans="1:9">
      <c r="A5263" s="1" t="str">
        <f>"411327200304230092"</f>
        <v>411327200304230092</v>
      </c>
      <c r="B5263" s="1" t="str">
        <f t="shared" si="2594"/>
        <v>群众</v>
      </c>
      <c r="C5263" s="1" t="str">
        <f t="shared" si="2595"/>
        <v>本科</v>
      </c>
      <c r="D5263" s="1" t="str">
        <f>"20250630"</f>
        <v>20250630</v>
      </c>
      <c r="E5263" s="1" t="str">
        <f>"长春科技学院"</f>
        <v>长春科技学院</v>
      </c>
      <c r="F5263" s="1" t="str">
        <f>"环境设计"</f>
        <v>环境设计</v>
      </c>
      <c r="G5263" s="1" t="str">
        <f>"河南省南阳市内乡县教育路1号"</f>
        <v>河南省南阳市内乡县教育路1号</v>
      </c>
      <c r="H5263" s="1" t="str">
        <f t="shared" si="2590"/>
        <v>无</v>
      </c>
      <c r="I5263" s="1" t="str">
        <f>"202109-202506 长春科技学院视觉艺术学院环境设计专业就读 "</f>
        <v>202109-202506 长春科技学院视觉艺术学院环境设计专业就读 </v>
      </c>
    </row>
    <row r="5264" spans="1:9">
      <c r="A5264" s="1" t="str">
        <f>"411327200307164529"</f>
        <v>411327200307164529</v>
      </c>
      <c r="B5264" s="1" t="str">
        <f>"中共党员"</f>
        <v>中共党员</v>
      </c>
      <c r="C5264" s="1" t="str">
        <f t="shared" si="2595"/>
        <v>本科</v>
      </c>
      <c r="D5264" s="1" t="str">
        <f>"20250612"</f>
        <v>20250612</v>
      </c>
      <c r="E5264" s="1" t="str">
        <f>"上海杉达学院"</f>
        <v>上海杉达学院</v>
      </c>
      <c r="F5264" s="1" t="str">
        <f>"国际经济与贸易"</f>
        <v>国际经济与贸易</v>
      </c>
      <c r="G5264" s="1" t="str">
        <f>"河南省南阳市内乡县郦都大道新都花苑"</f>
        <v>河南省南阳市内乡县郦都大道新都花苑</v>
      </c>
      <c r="H5264" s="1" t="str">
        <f t="shared" si="2590"/>
        <v>无</v>
      </c>
      <c r="I5264" s="1" t="str">
        <f>"202109-202506 上海杉达学院就读 是全日制学历"</f>
        <v>202109-202506 上海杉达学院就读 是全日制学历</v>
      </c>
    </row>
    <row r="5265" spans="1:9">
      <c r="A5265" s="1" t="str">
        <f>"360732199802182638"</f>
        <v>360732199802182638</v>
      </c>
      <c r="B5265" s="1" t="str">
        <f t="shared" si="2594"/>
        <v>群众</v>
      </c>
      <c r="C5265" s="1" t="str">
        <f t="shared" si="2595"/>
        <v>本科</v>
      </c>
      <c r="D5265" s="1" t="str">
        <f>"20210630"</f>
        <v>20210630</v>
      </c>
      <c r="E5265" s="1" t="str">
        <f>"华北电力大学"</f>
        <v>华北电力大学</v>
      </c>
      <c r="F5265" s="1" t="str">
        <f>"能源与动力工程"</f>
        <v>能源与动力工程</v>
      </c>
      <c r="G5265" s="1" t="str">
        <f>"江西省赣州市兴国县龙口镇富民新区"</f>
        <v>江西省赣州市兴国县龙口镇富民新区</v>
      </c>
      <c r="H5265" s="1" t="str">
        <f t="shared" si="2590"/>
        <v>无</v>
      </c>
      <c r="I5265" s="1" t="str">
        <f>"201709-202106 华北电力大学能源动力与机械工程学院能源与动力工程专业就读 全日制
202106-至今 江西省赣州市兴国县待业"</f>
        <v>201709-202106 华北电力大学能源动力与机械工程学院能源与动力工程专业就读 全日制
202106-至今 江西省赣州市兴国县待业</v>
      </c>
    </row>
    <row r="5266" spans="1:9">
      <c r="A5266" s="1" t="str">
        <f>"41132719991219152X"</f>
        <v>41132719991219152X</v>
      </c>
      <c r="B5266" s="1" t="str">
        <f t="shared" ref="B5266:B5270" si="2596">"共青团员"</f>
        <v>共青团员</v>
      </c>
      <c r="C5266" s="1" t="str">
        <f t="shared" si="2595"/>
        <v>本科</v>
      </c>
      <c r="D5266" s="1" t="str">
        <f>"20220701"</f>
        <v>20220701</v>
      </c>
      <c r="E5266" s="1" t="str">
        <f>"周口师范学院"</f>
        <v>周口师范学院</v>
      </c>
      <c r="F5266" s="1" t="str">
        <f>"生物科学"</f>
        <v>生物科学</v>
      </c>
      <c r="G5266" s="1" t="str">
        <f>"河南省南阳市内乡县湍东镇老牛埔村"</f>
        <v>河南省南阳市内乡县湍东镇老牛埔村</v>
      </c>
      <c r="H5266" s="1" t="str">
        <f t="shared" si="2590"/>
        <v>无</v>
      </c>
      <c r="I5266" s="1" t="str">
        <f>"201809-202207 周口师范学院生命科学学院生物科学就读。
202209-202302 在家待业。
202302-202507 内乡县郦都学校就业。"</f>
        <v>201809-202207 周口师范学院生命科学学院生物科学就读。
202209-202302 在家待业。
202302-202507 内乡县郦都学校就业。</v>
      </c>
    </row>
    <row r="5267" spans="1:9">
      <c r="A5267" s="1" t="str">
        <f>"411324200311295514"</f>
        <v>411324200311295514</v>
      </c>
      <c r="B5267" s="1" t="str">
        <f>"群众"</f>
        <v>群众</v>
      </c>
      <c r="C5267" s="1" t="str">
        <f>"专科"</f>
        <v>专科</v>
      </c>
      <c r="D5267" s="1" t="str">
        <f>"20250630"</f>
        <v>20250630</v>
      </c>
      <c r="E5267" s="1" t="str">
        <f>"南阳医学高等专科学校"</f>
        <v>南阳医学高等专科学校</v>
      </c>
      <c r="F5267" s="1" t="str">
        <f>"口腔医学"</f>
        <v>口腔医学</v>
      </c>
      <c r="G5267" s="1" t="str">
        <f>"河南省南阳市镇平县"</f>
        <v>河南省南阳市镇平县</v>
      </c>
      <c r="H5267" s="1" t="str">
        <f t="shared" si="2590"/>
        <v>无</v>
      </c>
      <c r="I5267" s="1" t="str">
        <f>"20220901-20250630南阳医学高等专科学校，口腔医学系全日制"</f>
        <v>20220901-20250630南阳医学高等专科学校，口腔医学系全日制</v>
      </c>
    </row>
    <row r="5268" spans="1:9">
      <c r="A5268" s="1" t="str">
        <f>"411327200105160052"</f>
        <v>411327200105160052</v>
      </c>
      <c r="B5268" s="1" t="str">
        <f t="shared" si="2596"/>
        <v>共青团员</v>
      </c>
      <c r="C5268" s="1" t="str">
        <f t="shared" ref="C5268:C5270" si="2597">"本科"</f>
        <v>本科</v>
      </c>
      <c r="D5268" s="1" t="str">
        <f>"20250614"</f>
        <v>20250614</v>
      </c>
      <c r="E5268" s="1" t="str">
        <f>"信阳农林学校"</f>
        <v>信阳农林学校</v>
      </c>
      <c r="F5268" s="1" t="str">
        <f>"植物保护"</f>
        <v>植物保护</v>
      </c>
      <c r="G5268" s="1" t="str">
        <f>"河南省南阳市内乡县城关镇范蠡大街师范组"</f>
        <v>河南省南阳市内乡县城关镇范蠡大街师范组</v>
      </c>
      <c r="H5268" s="1" t="str">
        <f>"农作物植保员 三级/高级工"</f>
        <v>农作物植保员 三级/高级工</v>
      </c>
      <c r="I5268" s="1" t="str">
        <f>"202009-202306 三门峡职业技术学院 就读 全日制
202309-202506 信阳农林信阳 就读 全日制"</f>
        <v>202009-202306 三门峡职业技术学院 就读 全日制
202309-202506 信阳农林信阳 就读 全日制</v>
      </c>
    </row>
    <row r="5269" spans="1:9">
      <c r="A5269" s="1" t="str">
        <f>"41132720031003002X"</f>
        <v>41132720031003002X</v>
      </c>
      <c r="B5269" s="1" t="str">
        <f>"中共党员"</f>
        <v>中共党员</v>
      </c>
      <c r="C5269" s="1" t="str">
        <f t="shared" si="2597"/>
        <v>本科</v>
      </c>
      <c r="D5269" s="1" t="str">
        <f>"20250701"</f>
        <v>20250701</v>
      </c>
      <c r="E5269" s="1" t="str">
        <f>"河南中医药大学"</f>
        <v>河南中医药大学</v>
      </c>
      <c r="F5269" s="1" t="str">
        <f>"公共事业管理"</f>
        <v>公共事业管理</v>
      </c>
      <c r="G5269" s="1" t="str">
        <f>"河南省南阳市内乡县赵店乡"</f>
        <v>河南省南阳市内乡县赵店乡</v>
      </c>
      <c r="H5269" s="1" t="str">
        <f t="shared" ref="H5269:H5273" si="2598">"无"</f>
        <v>无</v>
      </c>
      <c r="I5269" s="1" t="str">
        <f>"202109-202507 河南中医药大学 就读
202206-202509 内乡县青年志愿者协会"</f>
        <v>202109-202507 河南中医药大学 就读
202206-202509 内乡县青年志愿者协会</v>
      </c>
    </row>
    <row r="5270" spans="1:9">
      <c r="A5270" s="1" t="str">
        <f>"410581200207119139"</f>
        <v>410581200207119139</v>
      </c>
      <c r="B5270" s="1" t="str">
        <f t="shared" si="2596"/>
        <v>共青团员</v>
      </c>
      <c r="C5270" s="1" t="str">
        <f t="shared" si="2597"/>
        <v>本科</v>
      </c>
      <c r="D5270" s="1" t="str">
        <f>"20250611"</f>
        <v>20250611</v>
      </c>
      <c r="E5270" s="1" t="str">
        <f>"安阳学院"</f>
        <v>安阳学院</v>
      </c>
      <c r="F5270" s="1" t="str">
        <f>"网络工程"</f>
        <v>网络工程</v>
      </c>
      <c r="G5270" s="1" t="str">
        <f>"河南省安阳市林州市凤鸣街2号"</f>
        <v>河南省安阳市林州市凤鸣街2号</v>
      </c>
      <c r="H5270" s="1" t="str">
        <f>"网络与信息安全管理员  三级      互联网信息审核员   三级"</f>
        <v>网络与信息安全管理员  三级      互联网信息审核员   三级</v>
      </c>
      <c r="I5270" s="1" t="str">
        <f>"202009-202307河南轻工职业学院传媒系虚拟现实应用技术专业就读，是全日制学历。
202309-202506安阳学院计算机科学与数学学院网络工程专业就读，是全日制本科。
"</f>
        <v>202009-202307河南轻工职业学院传媒系虚拟现实应用技术专业就读，是全日制学历。
202309-202506安阳学院计算机科学与数学学院网络工程专业就读，是全日制本科。
</v>
      </c>
    </row>
    <row r="5271" spans="1:9">
      <c r="A5271" s="1" t="str">
        <f>"411327199707141523"</f>
        <v>411327199707141523</v>
      </c>
      <c r="B5271" s="1" t="str">
        <f t="shared" ref="B5271:B5274" si="2599">"群众"</f>
        <v>群众</v>
      </c>
      <c r="C5271" s="1" t="str">
        <f>"专科"</f>
        <v>专科</v>
      </c>
      <c r="D5271" s="1" t="str">
        <f>"20190701"</f>
        <v>20190701</v>
      </c>
      <c r="E5271" s="1" t="str">
        <f>"商丘工学院"</f>
        <v>商丘工学院</v>
      </c>
      <c r="F5271" s="1" t="str">
        <f>"护理"</f>
        <v>护理</v>
      </c>
      <c r="G5271" s="1" t="str">
        <f>"内乡县江园村"</f>
        <v>内乡县江园村</v>
      </c>
      <c r="H5271" s="1" t="str">
        <f>"卫生专业技术资格"</f>
        <v>卫生专业技术资格</v>
      </c>
      <c r="I5271" s="1" t="str">
        <f>"201609-201907商丘工学院就读，全日制学历；
201907-202005待业在家；
202005-至今内乡县中医院护士
"</f>
        <v>201609-201907商丘工学院就读，全日制学历；
201907-202005待业在家；
202005-至今内乡县中医院护士
</v>
      </c>
    </row>
    <row r="5272" spans="1:9">
      <c r="A5272" s="1" t="str">
        <f>"411323200310010031"</f>
        <v>411323200310010031</v>
      </c>
      <c r="B5272" s="1" t="str">
        <f t="shared" ref="B5272:B5276" si="2600">"共青团员"</f>
        <v>共青团员</v>
      </c>
      <c r="C5272" s="1" t="str">
        <f t="shared" ref="C5272:C5276" si="2601">"本科"</f>
        <v>本科</v>
      </c>
      <c r="D5272" s="1" t="str">
        <f>"20250618"</f>
        <v>20250618</v>
      </c>
      <c r="E5272" s="1" t="str">
        <f>"华东交通大学"</f>
        <v>华东交通大学</v>
      </c>
      <c r="F5272" s="1" t="str">
        <f>"人工智能"</f>
        <v>人工智能</v>
      </c>
      <c r="G5272" s="1" t="str">
        <f>"河南省南阳市淅川县山水宜城"</f>
        <v>河南省南阳市淅川县山水宜城</v>
      </c>
      <c r="H5272" s="1" t="str">
        <f t="shared" si="2598"/>
        <v>无</v>
      </c>
      <c r="I5272" s="1" t="str">
        <f>"202109-202506华东交通大学信息与软件工程学院人工智能专业就读，是全日制学历"</f>
        <v>202109-202506华东交通大学信息与软件工程学院人工智能专业就读，是全日制学历</v>
      </c>
    </row>
    <row r="5273" spans="1:9">
      <c r="A5273" s="1" t="str">
        <f>"41132419980503401X"</f>
        <v>41132419980503401X</v>
      </c>
      <c r="B5273" s="1" t="str">
        <f t="shared" si="2599"/>
        <v>群众</v>
      </c>
      <c r="C5273" s="1" t="str">
        <f t="shared" si="2601"/>
        <v>本科</v>
      </c>
      <c r="D5273" s="1" t="str">
        <f>"20220701"</f>
        <v>20220701</v>
      </c>
      <c r="E5273" s="1" t="str">
        <f>"郑州工程技术学院"</f>
        <v>郑州工程技术学院</v>
      </c>
      <c r="F5273" s="1" t="str">
        <f>"土木工程专业"</f>
        <v>土木工程专业</v>
      </c>
      <c r="G5273" s="1" t="str">
        <f>"河南省南阳市镇平县贾宋镇薛关村徐营"</f>
        <v>河南省南阳市镇平县贾宋镇薛关村徐营</v>
      </c>
      <c r="H5273" s="1" t="str">
        <f t="shared" si="2598"/>
        <v>无</v>
      </c>
      <c r="I5273" s="1" t="str">
        <f>"201709-202006在河南工业职业技术学院土木工程系建筑设计专业就读，是全日制学历：202009-202206在郑州工程技术学院土木工程系土木工程专业就读，是全日制学历"</f>
        <v>201709-202006在河南工业职业技术学院土木工程系建筑设计专业就读，是全日制学历：202009-202206在郑州工程技术学院土木工程系土木工程专业就读，是全日制学历</v>
      </c>
    </row>
    <row r="5274" spans="1:9">
      <c r="A5274" s="1" t="str">
        <f>"411322200108145374"</f>
        <v>411322200108145374</v>
      </c>
      <c r="B5274" s="1" t="str">
        <f t="shared" si="2599"/>
        <v>群众</v>
      </c>
      <c r="C5274" s="1" t="str">
        <f t="shared" si="2601"/>
        <v>本科</v>
      </c>
      <c r="D5274" s="1" t="str">
        <f>"20240701"</f>
        <v>20240701</v>
      </c>
      <c r="E5274" s="1" t="str">
        <f>"商丘工学院"</f>
        <v>商丘工学院</v>
      </c>
      <c r="F5274" s="1" t="str">
        <f>"环境设计"</f>
        <v>环境设计</v>
      </c>
      <c r="G5274" s="1" t="str">
        <f>"河南省平顶山市舞钢市垭口仁和花园"</f>
        <v>河南省平顶山市舞钢市垭口仁和花园</v>
      </c>
      <c r="H5274" s="1" t="str">
        <f>"c1驾驶证"</f>
        <v>c1驾驶证</v>
      </c>
      <c r="I5274" s="1" t="str">
        <f>"201809——202109   商丘工学院 教育与现代艺术学院 环境设计就读 全日制本科。
202109——202309   武警北京总队执勤第九支队执勤十一中队服役 
202309——202406  商丘工学院 教育与现代艺术学院 环境设计就读 全日制本科。
202406——至今       待业"</f>
        <v>201809——202109   商丘工学院 教育与现代艺术学院 环境设计就读 全日制本科。
202109——202309   武警北京总队执勤第九支队执勤十一中队服役 
202309——202406  商丘工学院 教育与现代艺术学院 环境设计就读 全日制本科。
202406——至今       待业</v>
      </c>
    </row>
    <row r="5275" spans="1:9">
      <c r="A5275" s="1" t="str">
        <f>"411327199901051548"</f>
        <v>411327199901051548</v>
      </c>
      <c r="B5275" s="1" t="str">
        <f t="shared" si="2600"/>
        <v>共青团员</v>
      </c>
      <c r="C5275" s="1" t="str">
        <f t="shared" si="2601"/>
        <v>本科</v>
      </c>
      <c r="D5275" s="1" t="str">
        <f>"20170607"</f>
        <v>20170607</v>
      </c>
      <c r="E5275" s="1" t="str">
        <f>"信阳师范大学"</f>
        <v>信阳师范大学</v>
      </c>
      <c r="F5275" s="1" t="str">
        <f>"旅游管理"</f>
        <v>旅游管理</v>
      </c>
      <c r="G5275" s="1" t="str">
        <f>"河南省南阳市内乡县湍东镇"</f>
        <v>河南省南阳市内乡县湍东镇</v>
      </c>
      <c r="H5275" s="1" t="str">
        <f t="shared" ref="H5275:H5279" si="2602">"无"</f>
        <v>无</v>
      </c>
      <c r="I5275" s="1" t="str">
        <f>"201309-201706 信阳师范大学学校 旅游管理专业  就读 全日制本科"</f>
        <v>201309-201706 信阳师范大学学校 旅游管理专业  就读 全日制本科</v>
      </c>
    </row>
    <row r="5276" spans="1:9">
      <c r="A5276" s="1" t="str">
        <f>"410526200209100197"</f>
        <v>410526200209100197</v>
      </c>
      <c r="B5276" s="1" t="str">
        <f t="shared" si="2600"/>
        <v>共青团员</v>
      </c>
      <c r="C5276" s="1" t="str">
        <f t="shared" si="2601"/>
        <v>本科</v>
      </c>
      <c r="D5276" s="1" t="str">
        <f>"20240607"</f>
        <v>20240607</v>
      </c>
      <c r="E5276" s="1" t="str">
        <f>"华北水利水电大学"</f>
        <v>华北水利水电大学</v>
      </c>
      <c r="F5276" s="1" t="str">
        <f>"土木工程"</f>
        <v>土木工程</v>
      </c>
      <c r="G5276" s="1" t="str">
        <f>"河南省安阳市滑县道口镇人和巷1号"</f>
        <v>河南省安阳市滑县道口镇人和巷1号</v>
      </c>
      <c r="H5276" s="1" t="str">
        <f t="shared" si="2602"/>
        <v>无</v>
      </c>
      <c r="I5276" s="1" t="str">
        <f>"202009-202406 华北水利水电大学 就读 全日制本科"</f>
        <v>202009-202406 华北水利水电大学 就读 全日制本科</v>
      </c>
    </row>
    <row r="5277" spans="1:9">
      <c r="A5277" s="1" t="str">
        <f>"411302200412200117"</f>
        <v>411302200412200117</v>
      </c>
      <c r="B5277" s="1" t="str">
        <f t="shared" ref="B5277:B5282" si="2603">"群众"</f>
        <v>群众</v>
      </c>
      <c r="C5277" s="1" t="str">
        <f>"专科"</f>
        <v>专科</v>
      </c>
      <c r="D5277" s="1" t="str">
        <f>"20250628"</f>
        <v>20250628</v>
      </c>
      <c r="E5277" s="1" t="str">
        <f>"河南工业职业技术学院"</f>
        <v>河南工业职业技术学院</v>
      </c>
      <c r="F5277" s="1" t="str">
        <f>"工业机器人技术"</f>
        <v>工业机器人技术</v>
      </c>
      <c r="G5277" s="1" t="str">
        <f>"河南省南阳市宛城区汉冢乡三组"</f>
        <v>河南省南阳市宛城区汉冢乡三组</v>
      </c>
      <c r="H5277" s="1" t="str">
        <f t="shared" si="2602"/>
        <v>无</v>
      </c>
      <c r="I5277" s="1" t="str">
        <f>"202209-202506在河南工业职业技术学院自动化工程学院工业机器人人技术专业就读全日制大专学历目前在家待业"</f>
        <v>202209-202506在河南工业职业技术学院自动化工程学院工业机器人人技术专业就读全日制大专学历目前在家待业</v>
      </c>
    </row>
    <row r="5278" spans="1:9">
      <c r="A5278" s="1" t="str">
        <f>"412702199607021423"</f>
        <v>412702199607021423</v>
      </c>
      <c r="B5278" s="1" t="str">
        <f t="shared" si="2603"/>
        <v>群众</v>
      </c>
      <c r="C5278" s="1" t="str">
        <f t="shared" ref="C5278:C5286" si="2604">"本科"</f>
        <v>本科</v>
      </c>
      <c r="D5278" s="1" t="str">
        <f>"202107"</f>
        <v>202107</v>
      </c>
      <c r="E5278" s="1" t="str">
        <f>"郑州航空工业管理学院"</f>
        <v>郑州航空工业管理学院</v>
      </c>
      <c r="F5278" s="1" t="str">
        <f>"人力资源管理"</f>
        <v>人力资源管理</v>
      </c>
      <c r="G5278" s="1" t="str">
        <f>"河南省项城市范集乡赵庄村"</f>
        <v>河南省项城市范集乡赵庄村</v>
      </c>
      <c r="H5278" s="1" t="str">
        <f t="shared" si="2602"/>
        <v>无</v>
      </c>
      <c r="I5278" s="1" t="str">
        <f>"201009-202107 郑州航空工业管理学院 人力资源管理 全日制
202109-至今 待业"</f>
        <v>201009-202107 郑州航空工业管理学院 人力资源管理 全日制
202109-至今 待业</v>
      </c>
    </row>
    <row r="5279" spans="1:9">
      <c r="A5279" s="1" t="str">
        <f>"411321200111030029"</f>
        <v>411321200111030029</v>
      </c>
      <c r="B5279" s="1" t="str">
        <f t="shared" si="2603"/>
        <v>群众</v>
      </c>
      <c r="C5279" s="1" t="str">
        <f t="shared" si="2604"/>
        <v>本科</v>
      </c>
      <c r="D5279" s="1" t="str">
        <f>"2024-06-20"</f>
        <v>2024-06-20</v>
      </c>
      <c r="E5279" s="1" t="str">
        <f>"河南财政金融学院"</f>
        <v>河南财政金融学院</v>
      </c>
      <c r="F5279" s="1" t="str">
        <f>"视觉传达设计专业"</f>
        <v>视觉传达设计专业</v>
      </c>
      <c r="G5279" s="1" t="str">
        <f>"河南省南阳市桐柏县城关镇民主路154号"</f>
        <v>河南省南阳市桐柏县城关镇民主路154号</v>
      </c>
      <c r="H5279" s="1" t="str">
        <f t="shared" si="2602"/>
        <v>无</v>
      </c>
      <c r="I5279" s="1" t="str">
        <f>"2020年9月至2024年6月在河南财政金融学院艺术设计学院视觉传达设计专业就读。"</f>
        <v>2020年9月至2024年6月在河南财政金融学院艺术设计学院视觉传达设计专业就读。</v>
      </c>
    </row>
    <row r="5280" spans="1:9">
      <c r="A5280" s="1" t="str">
        <f>"41122419970528143X"</f>
        <v>41122419970528143X</v>
      </c>
      <c r="B5280" s="1" t="str">
        <f t="shared" si="2603"/>
        <v>群众</v>
      </c>
      <c r="C5280" s="1" t="str">
        <f t="shared" si="2604"/>
        <v>本科</v>
      </c>
      <c r="D5280" s="1" t="str">
        <f>"2020.07"</f>
        <v>2020.07</v>
      </c>
      <c r="E5280" s="1" t="str">
        <f>"黄河交通学院"</f>
        <v>黄河交通学院</v>
      </c>
      <c r="F5280" s="1" t="str">
        <f>"土木工程"</f>
        <v>土木工程</v>
      </c>
      <c r="G5280" s="1" t="str">
        <f>"河南省三门峡市卢氏县东城小区D区"</f>
        <v>河南省三门峡市卢氏县东城小区D区</v>
      </c>
      <c r="H5280" s="1" t="str">
        <f>"助理工程师"</f>
        <v>助理工程师</v>
      </c>
      <c r="I5280" s="1" t="str">
        <f>"201609-202007在黄河交通学院交通工程系土木工程专业就读，全日制本科。
202007-202104在河南科建建设工程有限公司任质检员一职。
202105-202502在上海公路桥梁（集团）有限公司先后任安全员、施工员、技术员职位。
202503-至今在河南省三门峡市卢氏县待业。"</f>
        <v>201609-202007在黄河交通学院交通工程系土木工程专业就读，全日制本科。
202007-202104在河南科建建设工程有限公司任质检员一职。
202105-202502在上海公路桥梁（集团）有限公司先后任安全员、施工员、技术员职位。
202503-至今在河南省三门峡市卢氏县待业。</v>
      </c>
    </row>
    <row r="5281" spans="1:9">
      <c r="A5281" s="1" t="str">
        <f>"411327199002050015"</f>
        <v>411327199002050015</v>
      </c>
      <c r="B5281" s="1" t="str">
        <f t="shared" si="2603"/>
        <v>群众</v>
      </c>
      <c r="C5281" s="1" t="str">
        <f t="shared" si="2604"/>
        <v>本科</v>
      </c>
      <c r="D5281" s="1" t="str">
        <f>"20130630"</f>
        <v>20130630</v>
      </c>
      <c r="E5281" s="1" t="str">
        <f>"河南工业技师学院"</f>
        <v>河南工业技师学院</v>
      </c>
      <c r="F5281" s="1" t="str">
        <f>"机电一体化"</f>
        <v>机电一体化</v>
      </c>
      <c r="G5281" s="1" t="str">
        <f>"河南省南阳市内乡县城关镇县衙路48号"</f>
        <v>河南省南阳市内乡县城关镇县衙路48号</v>
      </c>
      <c r="H5281" s="1" t="str">
        <f t="shared" ref="H5281:H5292" si="2605">"无"</f>
        <v>无</v>
      </c>
      <c r="I5281" s="1" t="str">
        <f>"200909-20130630 河南工业技师学院 就读。"</f>
        <v>200909-20130630 河南工业技师学院 就读。</v>
      </c>
    </row>
    <row r="5282" spans="1:9">
      <c r="A5282" s="1" t="str">
        <f>"411327199906010091"</f>
        <v>411327199906010091</v>
      </c>
      <c r="B5282" s="1" t="str">
        <f t="shared" si="2603"/>
        <v>群众</v>
      </c>
      <c r="C5282" s="1" t="str">
        <f t="shared" si="2604"/>
        <v>本科</v>
      </c>
      <c r="D5282" s="1" t="str">
        <f>"20240701"</f>
        <v>20240701</v>
      </c>
      <c r="E5282" s="1" t="str">
        <f>"南阳理工学院"</f>
        <v>南阳理工学院</v>
      </c>
      <c r="F5282" s="1" t="str">
        <f>"计算机科学与技术"</f>
        <v>计算机科学与技术</v>
      </c>
      <c r="G5282" s="1" t="str">
        <f>"河南省南阳市内乡县城关镇清心路183号"</f>
        <v>河南省南阳市内乡县城关镇清心路183号</v>
      </c>
      <c r="H5282" s="1" t="str">
        <f t="shared" si="2605"/>
        <v>无</v>
      </c>
      <c r="I5282" s="1" t="str">
        <f>"201909-202407 于南阳理工学院 计算机与软件学院 计算机科学与技术就读"</f>
        <v>201909-202407 于南阳理工学院 计算机与软件学院 计算机科学与技术就读</v>
      </c>
    </row>
    <row r="5283" spans="1:9">
      <c r="A5283" s="1" t="str">
        <f>"411325200012294526"</f>
        <v>411325200012294526</v>
      </c>
      <c r="B5283" s="1" t="str">
        <f>"共青团员"</f>
        <v>共青团员</v>
      </c>
      <c r="C5283" s="1" t="str">
        <f t="shared" si="2604"/>
        <v>本科</v>
      </c>
      <c r="D5283" s="1" t="str">
        <f>"2023-07-01"</f>
        <v>2023-07-01</v>
      </c>
      <c r="E5283" s="1" t="str">
        <f>"商丘师范学院"</f>
        <v>商丘师范学院</v>
      </c>
      <c r="F5283" s="1" t="str">
        <f>"投资学"</f>
        <v>投资学</v>
      </c>
      <c r="G5283" s="1" t="str">
        <f>"河南省南阳市内乡县菊潭大街鼎荣华府小区北区"</f>
        <v>河南省南阳市内乡县菊潭大街鼎荣华府小区北区</v>
      </c>
      <c r="H5283" s="1" t="str">
        <f t="shared" si="2605"/>
        <v>无</v>
      </c>
      <c r="I5283" s="1" t="str">
        <f>"2019.09-2023.07 商丘师范学院经济管理学院投资学专业就读 全日制学历
2023.08-2023.12 北京世纪康养科技有限公司 人事专员
2024.01-2024.08 在家待业
2024.09-至今 内乡菊潭学校 八年级数学老师"</f>
        <v>2019.09-2023.07 商丘师范学院经济管理学院投资学专业就读 全日制学历
2023.08-2023.12 北京世纪康养科技有限公司 人事专员
2024.01-2024.08 在家待业
2024.09-至今 内乡菊潭学校 八年级数学老师</v>
      </c>
    </row>
    <row r="5284" spans="1:9">
      <c r="A5284" s="1" t="str">
        <f>"411327200111020013"</f>
        <v>411327200111020013</v>
      </c>
      <c r="B5284" s="1" t="str">
        <f t="shared" ref="B5284:B5289" si="2606">"群众"</f>
        <v>群众</v>
      </c>
      <c r="C5284" s="1" t="str">
        <f t="shared" si="2604"/>
        <v>本科</v>
      </c>
      <c r="D5284" s="1" t="str">
        <f>"20230620"</f>
        <v>20230620</v>
      </c>
      <c r="E5284" s="1" t="str">
        <f>"南京航空航天大学"</f>
        <v>南京航空航天大学</v>
      </c>
      <c r="F5284" s="1" t="str">
        <f>"信息管理与信息系统"</f>
        <v>信息管理与信息系统</v>
      </c>
      <c r="G5284" s="1" t="str">
        <f>"河南省南阳市内乡县城关镇郦都大道西12巷"</f>
        <v>河南省南阳市内乡县城关镇郦都大道西12巷</v>
      </c>
      <c r="H5284" s="1" t="str">
        <f t="shared" si="2605"/>
        <v>无</v>
      </c>
      <c r="I5284" s="1" t="str">
        <f>"201909-202306 南京航空航天大学信息管理与信息系统专业就读，全日制学历
202306-202507 待业"</f>
        <v>201909-202306 南京航空航天大学信息管理与信息系统专业就读，全日制学历
202306-202507 待业</v>
      </c>
    </row>
    <row r="5285" spans="1:9">
      <c r="A5285" s="1" t="str">
        <f>"411302200310110102"</f>
        <v>411302200310110102</v>
      </c>
      <c r="B5285" s="1" t="str">
        <f>"中共党员"</f>
        <v>中共党员</v>
      </c>
      <c r="C5285" s="1" t="str">
        <f t="shared" si="2604"/>
        <v>本科</v>
      </c>
      <c r="D5285" s="1" t="str">
        <f>"20250701"</f>
        <v>20250701</v>
      </c>
      <c r="E5285" s="1" t="str">
        <f>"郑州财经学院"</f>
        <v>郑州财经学院</v>
      </c>
      <c r="F5285" s="1" t="str">
        <f>"小学教育（师范）"</f>
        <v>小学教育（师范）</v>
      </c>
      <c r="G5285" s="1" t="str">
        <f>"河南省南阳市卧龙区七里园街龙都臻品5号楼1单元403"</f>
        <v>河南省南阳市卧龙区七里园街龙都臻品5号楼1单元403</v>
      </c>
      <c r="H5285" s="1" t="str">
        <f t="shared" si="2605"/>
        <v>无</v>
      </c>
      <c r="I5285" s="1" t="str">
        <f>"2001009-202507 郑州财经学院 就读于小学教育（师范）专业，全日制学历。"</f>
        <v>2001009-202507 郑州财经学院 就读于小学教育（师范）专业，全日制学历。</v>
      </c>
    </row>
    <row r="5286" spans="1:9">
      <c r="A5286" s="1" t="str">
        <f>"412821199703174029"</f>
        <v>412821199703174029</v>
      </c>
      <c r="B5286" s="1" t="str">
        <f t="shared" si="2606"/>
        <v>群众</v>
      </c>
      <c r="C5286" s="1" t="str">
        <f t="shared" si="2604"/>
        <v>本科</v>
      </c>
      <c r="D5286" s="1" t="str">
        <f>"20200710"</f>
        <v>20200710</v>
      </c>
      <c r="E5286" s="1" t="str">
        <f>"沈阳工学院"</f>
        <v>沈阳工学院</v>
      </c>
      <c r="F5286" s="1" t="str">
        <f>"人力资源管理"</f>
        <v>人力资源管理</v>
      </c>
      <c r="G5286" s="1" t="str">
        <f>"河南省确山县普会寺镇"</f>
        <v>河南省确山县普会寺镇</v>
      </c>
      <c r="H5286" s="1" t="str">
        <f t="shared" si="2605"/>
        <v>无</v>
      </c>
      <c r="I5286" s="1" t="str">
        <f>"201609-202007 沈阳工学院 就读
202008-202104 确山县 待业
202105-202306 确山县人社局 公益性岗位
202307-至今      确山县 待业"</f>
        <v>201609-202007 沈阳工学院 就读
202008-202104 确山县 待业
202105-202306 确山县人社局 公益性岗位
202307-至今      确山县 待业</v>
      </c>
    </row>
    <row r="5287" spans="1:9">
      <c r="A5287" s="1" t="str">
        <f>"411381200305220310"</f>
        <v>411381200305220310</v>
      </c>
      <c r="B5287" s="1" t="str">
        <f t="shared" si="2606"/>
        <v>群众</v>
      </c>
      <c r="C5287" s="1" t="str">
        <f>"专科"</f>
        <v>专科</v>
      </c>
      <c r="D5287" s="1" t="str">
        <f>"20240701"</f>
        <v>20240701</v>
      </c>
      <c r="E5287" s="1" t="str">
        <f>"三门峡职业技术学院"</f>
        <v>三门峡职业技术学院</v>
      </c>
      <c r="F5287" s="1" t="str">
        <f>"医学影像技术"</f>
        <v>医学影像技术</v>
      </c>
      <c r="G5287" s="1" t="str">
        <f>"邓州市新华东路"</f>
        <v>邓州市新华东路</v>
      </c>
      <c r="H5287" s="1" t="str">
        <f t="shared" si="2605"/>
        <v>无</v>
      </c>
      <c r="I5287" s="1" t="str">
        <f>"202109—202407 三门峡职业技术学院医护学院医学影像技术专业就读  是全日制学历"</f>
        <v>202109—202407 三门峡职业技术学院医护学院医学影像技术专业就读  是全日制学历</v>
      </c>
    </row>
    <row r="5288" spans="1:9">
      <c r="A5288" s="1" t="str">
        <f>"411327199804080013"</f>
        <v>411327199804080013</v>
      </c>
      <c r="B5288" s="1" t="str">
        <f t="shared" si="2606"/>
        <v>群众</v>
      </c>
      <c r="C5288" s="1" t="str">
        <f t="shared" ref="C5288:C5299" si="2607">"本科"</f>
        <v>本科</v>
      </c>
      <c r="D5288" s="1" t="str">
        <f>"20200630"</f>
        <v>20200630</v>
      </c>
      <c r="E5288" s="1" t="str">
        <f>"吉林警察学院"</f>
        <v>吉林警察学院</v>
      </c>
      <c r="F5288" s="1" t="str">
        <f>"法学"</f>
        <v>法学</v>
      </c>
      <c r="G5288" s="1" t="str">
        <f>"河南省南阳市内乡县城关镇"</f>
        <v>河南省南阳市内乡县城关镇</v>
      </c>
      <c r="H5288" s="1" t="str">
        <f t="shared" si="2605"/>
        <v>无</v>
      </c>
      <c r="I5288" s="1" t="str">
        <f>"201609-202006  吉林警察学院法学专业，全日制本科
202006-202110  在内乡县待业
202110至今  内乡县人社局公益岗"</f>
        <v>201609-202006  吉林警察学院法学专业，全日制本科
202006-202110  在内乡县待业
202110至今  内乡县人社局公益岗</v>
      </c>
    </row>
    <row r="5289" spans="1:9">
      <c r="A5289" s="1" t="str">
        <f>"411327199211122521"</f>
        <v>411327199211122521</v>
      </c>
      <c r="B5289" s="1" t="str">
        <f t="shared" si="2606"/>
        <v>群众</v>
      </c>
      <c r="C5289" s="1" t="str">
        <f>"专科"</f>
        <v>专科</v>
      </c>
      <c r="D5289" s="1" t="str">
        <f>"20140701"</f>
        <v>20140701</v>
      </c>
      <c r="E5289" s="1" t="str">
        <f>"河南教育学院"</f>
        <v>河南教育学院</v>
      </c>
      <c r="F5289" s="1" t="str">
        <f>"国际经济与贸易"</f>
        <v>国际经济与贸易</v>
      </c>
      <c r="G5289" s="1" t="str">
        <f>"河南省南阳市内乡县城关镇"</f>
        <v>河南省南阳市内乡县城关镇</v>
      </c>
      <c r="H5289" s="1" t="str">
        <f t="shared" si="2605"/>
        <v>无</v>
      </c>
      <c r="I5289" s="1" t="str">
        <f>"201109-201406   河南教育学院 法律与经济系  国际经济与贸易班就读   全日制大专
201406-201807    待业
201807-201904    内乡县统计局   经济普查专员
201904-至今          岞曲镇人民政府政府购岗  "</f>
        <v>201109-201406   河南教育学院 法律与经济系  国际经济与贸易班就读   全日制大专
201406-201807    待业
201807-201904    内乡县统计局   经济普查专员
201904-至今          岞曲镇人民政府政府购岗  </v>
      </c>
    </row>
    <row r="5290" spans="1:9">
      <c r="A5290" s="1" t="str">
        <f>"410923200002283064"</f>
        <v>410923200002283064</v>
      </c>
      <c r="B5290" s="1" t="str">
        <f t="shared" ref="B5290:B5294" si="2608">"共青团员"</f>
        <v>共青团员</v>
      </c>
      <c r="C5290" s="1" t="str">
        <f>"硕士研究生"</f>
        <v>硕士研究生</v>
      </c>
      <c r="D5290" s="1" t="str">
        <f>"20230620"</f>
        <v>20230620</v>
      </c>
      <c r="E5290" s="1" t="str">
        <f>"河南财经政法大学"</f>
        <v>河南财经政法大学</v>
      </c>
      <c r="F5290" s="1" t="str">
        <f>"应用统计"</f>
        <v>应用统计</v>
      </c>
      <c r="G5290" s="1" t="str">
        <f>"河南省开封市龙亭区五大街伟宏天境小区8号楼2单元503室"</f>
        <v>河南省开封市龙亭区五大街伟宏天境小区8号楼2单元503室</v>
      </c>
      <c r="H5290" s="1" t="str">
        <f t="shared" si="2605"/>
        <v>无</v>
      </c>
      <c r="I5290" s="1" t="str">
        <f>"201709-202107 河南财经政法大学 统计与大数据学院 应用统计学专业 就读 全日制学历；
202109-202306 河南财经政法大学  统计与大数据学院 应用统计专业就读 全日制学历；
202307-202309 中国建设银行股份有限公司河南省分行 工作；
202310-202402 信阳航空职业学院 工作；
202403-202407 在南阳市待业；
202408-202507 商丘学院应用科技学院 工作。"</f>
        <v>201709-202107 河南财经政法大学 统计与大数据学院 应用统计学专业 就读 全日制学历；
202109-202306 河南财经政法大学  统计与大数据学院 应用统计专业就读 全日制学历；
202307-202309 中国建设银行股份有限公司河南省分行 工作；
202310-202402 信阳航空职业学院 工作；
202403-202407 在南阳市待业；
202408-202507 商丘学院应用科技学院 工作。</v>
      </c>
    </row>
    <row r="5291" spans="1:9">
      <c r="A5291" s="1" t="str">
        <f>"411327199908212527"</f>
        <v>411327199908212527</v>
      </c>
      <c r="B5291" s="1" t="str">
        <f t="shared" si="2608"/>
        <v>共青团员</v>
      </c>
      <c r="C5291" s="1" t="str">
        <f t="shared" si="2607"/>
        <v>本科</v>
      </c>
      <c r="D5291" s="1" t="str">
        <f>"2023-7-01"</f>
        <v>2023-7-01</v>
      </c>
      <c r="E5291" s="1" t="str">
        <f>"河南科技学院"</f>
        <v>河南科技学院</v>
      </c>
      <c r="F5291" s="1" t="str">
        <f>"园艺"</f>
        <v>园艺</v>
      </c>
      <c r="G5291" s="1" t="str">
        <f>"河南省南阳市内乡县王店镇石桥村"</f>
        <v>河南省南阳市内乡县王店镇石桥村</v>
      </c>
      <c r="H5291" s="1" t="str">
        <f t="shared" si="2605"/>
        <v>无</v>
      </c>
      <c r="I5291" s="1" t="str">
        <f>"201909-202307    在河南科技学院就读园艺园林学院园艺专业
是全日制本科"</f>
        <v>201909-202307    在河南科技学院就读园艺园林学院园艺专业
是全日制本科</v>
      </c>
    </row>
    <row r="5292" spans="1:9">
      <c r="A5292" s="1" t="str">
        <f>"412825199212129130"</f>
        <v>412825199212129130</v>
      </c>
      <c r="B5292" s="1" t="str">
        <f>"中共党员"</f>
        <v>中共党员</v>
      </c>
      <c r="C5292" s="1" t="str">
        <f t="shared" si="2607"/>
        <v>本科</v>
      </c>
      <c r="D5292" s="1" t="str">
        <f>"20250701"</f>
        <v>20250701</v>
      </c>
      <c r="E5292" s="1" t="str">
        <f>"河南财经政法大学"</f>
        <v>河南财经政法大学</v>
      </c>
      <c r="F5292" s="1" t="str">
        <f>"工商管理"</f>
        <v>工商管理</v>
      </c>
      <c r="G5292" s="1" t="str">
        <f>"青海省玉树州玉树市"</f>
        <v>青海省玉树州玉树市</v>
      </c>
      <c r="H5292" s="1" t="str">
        <f t="shared" si="2605"/>
        <v>无</v>
      </c>
      <c r="I5292" s="1" t="str">
        <f>"20200301-20220701  郑州工业应用技术学院  专科就读  非全日制
20230301-20250701  河南财经政法大学  本科就读  非全日制"</f>
        <v>20200301-20220701  郑州工业应用技术学院  专科就读  非全日制
20230301-20250701  河南财经政法大学  本科就读  非全日制</v>
      </c>
    </row>
    <row r="5293" spans="1:9">
      <c r="A5293" s="1" t="str">
        <f>"411327200401264518"</f>
        <v>411327200401264518</v>
      </c>
      <c r="B5293" s="1" t="str">
        <f>"群众"</f>
        <v>群众</v>
      </c>
      <c r="C5293" s="1" t="str">
        <f t="shared" si="2607"/>
        <v>本科</v>
      </c>
      <c r="D5293" s="1" t="str">
        <f>"20250701"</f>
        <v>20250701</v>
      </c>
      <c r="E5293" s="1" t="str">
        <f>"黄河交通学院"</f>
        <v>黄河交通学院</v>
      </c>
      <c r="F5293" s="1" t="str">
        <f>"汽车服务工程"</f>
        <v>汽车服务工程</v>
      </c>
      <c r="G5293" s="1" t="str">
        <f>"河南省南阳市内乡县城关镇渚阳大街南二十五巷9号"</f>
        <v>河南省南阳市内乡县城关镇渚阳大街南二十五巷9号</v>
      </c>
      <c r="H5293" s="1" t="str">
        <f>"汽车电器维修工三级证"</f>
        <v>汽车电器维修工三级证</v>
      </c>
      <c r="I5293" s="1" t="str">
        <f>"202109-202507在黄河交通学院汽车工程学院汽车服务工程专业就读，是全日制本科"</f>
        <v>202109-202507在黄河交通学院汽车工程学院汽车服务工程专业就读，是全日制本科</v>
      </c>
    </row>
    <row r="5294" spans="1:9">
      <c r="A5294" s="1" t="str">
        <f>"41130220021004008X"</f>
        <v>41130220021004008X</v>
      </c>
      <c r="B5294" s="1" t="str">
        <f t="shared" si="2608"/>
        <v>共青团员</v>
      </c>
      <c r="C5294" s="1" t="str">
        <f t="shared" si="2607"/>
        <v>本科</v>
      </c>
      <c r="D5294" s="1" t="str">
        <f>"2024-06-30"</f>
        <v>2024-06-30</v>
      </c>
      <c r="E5294" s="1" t="str">
        <f>"郑州西亚斯学院"</f>
        <v>郑州西亚斯学院</v>
      </c>
      <c r="F5294" s="1" t="str">
        <f>"财务管理"</f>
        <v>财务管理</v>
      </c>
      <c r="G5294" s="1" t="str">
        <f>"河南省南阳市宛城区美丽佳苑小区"</f>
        <v>河南省南阳市宛城区美丽佳苑小区</v>
      </c>
      <c r="H5294" s="1" t="str">
        <f t="shared" ref="H5294:H5296" si="2609">"无"</f>
        <v>无</v>
      </c>
      <c r="I5294" s="1" t="str">
        <f>"202009-202406 郑州西亚斯学院 管理学院 财务管理专业就读，是全日制学历
202407至今，南阳市待业"</f>
        <v>202009-202406 郑州西亚斯学院 管理学院 财务管理专业就读，是全日制学历
202407至今，南阳市待业</v>
      </c>
    </row>
    <row r="5295" spans="1:9">
      <c r="A5295" s="1" t="str">
        <f>"411327200103274515"</f>
        <v>411327200103274515</v>
      </c>
      <c r="B5295" s="1" t="str">
        <f>"中共党员"</f>
        <v>中共党员</v>
      </c>
      <c r="C5295" s="1" t="str">
        <f t="shared" si="2607"/>
        <v>本科</v>
      </c>
      <c r="D5295" s="1" t="str">
        <f>"20230701"</f>
        <v>20230701</v>
      </c>
      <c r="E5295" s="1" t="str">
        <f>"河南牧业经济学院"</f>
        <v>河南牧业经济学院</v>
      </c>
      <c r="F5295" s="1" t="str">
        <f>"动物科学"</f>
        <v>动物科学</v>
      </c>
      <c r="G5295" s="1" t="str">
        <f>"河南省南阳市内乡县赵店乡张庄村张营西组"</f>
        <v>河南省南阳市内乡县赵店乡张庄村张营西组</v>
      </c>
      <c r="H5295" s="1" t="str">
        <f t="shared" si="2609"/>
        <v>无</v>
      </c>
      <c r="I5295" s="1" t="str">
        <f>"201909-202307于河南牧业经济学院动物科技学院动物科学专业就读全日制本科并获得学士学位；202307-202401于上海链家任职房地产置业顾问；202402-202410任职于美的公司担任客服代表一职；202411-202507任职于牧业物业从事物业工作。"</f>
        <v>201909-202307于河南牧业经济学院动物科技学院动物科学专业就读全日制本科并获得学士学位；202307-202401于上海链家任职房地产置业顾问；202402-202410任职于美的公司担任客服代表一职；202411-202507任职于牧业物业从事物业工作。</v>
      </c>
    </row>
    <row r="5296" spans="1:9">
      <c r="A5296" s="1" t="str">
        <f>"411327200211193114"</f>
        <v>411327200211193114</v>
      </c>
      <c r="B5296" s="1" t="str">
        <f t="shared" ref="B5296:B5298" si="2610">"共青团员"</f>
        <v>共青团员</v>
      </c>
      <c r="C5296" s="1" t="str">
        <f t="shared" si="2607"/>
        <v>本科</v>
      </c>
      <c r="D5296" s="1" t="str">
        <f>"20250602"</f>
        <v>20250602</v>
      </c>
      <c r="E5296" s="1" t="str">
        <f>"周口师范学院"</f>
        <v>周口师范学院</v>
      </c>
      <c r="F5296" s="1" t="str">
        <f>"电子信息工程"</f>
        <v>电子信息工程</v>
      </c>
      <c r="G5296" s="1" t="str">
        <f>"河南省南阳市内乡县"</f>
        <v>河南省南阳市内乡县</v>
      </c>
      <c r="H5296" s="1" t="str">
        <f t="shared" si="2609"/>
        <v>无</v>
      </c>
      <c r="I5296" s="1" t="str">
        <f>"202009-202307河南工业职业技术学院电子信息工程学院物联网应用技术专业就读；全日制专科
202309-202506周口师范学院物理与电信工程学院电子信息工程专业就读；全日制本科"</f>
        <v>202009-202307河南工业职业技术学院电子信息工程学院物联网应用技术专业就读；全日制专科
202309-202506周口师范学院物理与电信工程学院电子信息工程专业就读；全日制本科</v>
      </c>
    </row>
    <row r="5297" spans="1:9">
      <c r="A5297" s="1" t="str">
        <f>"411326200207063425"</f>
        <v>411326200207063425</v>
      </c>
      <c r="B5297" s="1" t="str">
        <f t="shared" si="2610"/>
        <v>共青团员</v>
      </c>
      <c r="C5297" s="1" t="str">
        <f t="shared" si="2607"/>
        <v>本科</v>
      </c>
      <c r="D5297" s="1" t="str">
        <f>"20240701"</f>
        <v>20240701</v>
      </c>
      <c r="E5297" s="1" t="str">
        <f>"河南师范大学"</f>
        <v>河南师范大学</v>
      </c>
      <c r="F5297" s="1" t="str">
        <f>"法学"</f>
        <v>法学</v>
      </c>
      <c r="G5297" s="1" t="str">
        <f>"河南省南阳市淅川县国税局家属楼"</f>
        <v>河南省南阳市淅川县国税局家属楼</v>
      </c>
      <c r="H5297" s="1" t="str">
        <f>"计算机二级证书"</f>
        <v>计算机二级证书</v>
      </c>
      <c r="I5297" s="1" t="str">
        <f>"202009-202407 河南师范大学 法学专业 全日制学历
202407-202505 待业
202505-至今 河南内乡农村商业银行股份有限公司"</f>
        <v>202009-202407 河南师范大学 法学专业 全日制学历
202407-202505 待业
202505-至今 河南内乡农村商业银行股份有限公司</v>
      </c>
    </row>
    <row r="5298" spans="1:9">
      <c r="A5298" s="1" t="str">
        <f>"411327199807260044"</f>
        <v>411327199807260044</v>
      </c>
      <c r="B5298" s="1" t="str">
        <f t="shared" si="2610"/>
        <v>共青团员</v>
      </c>
      <c r="C5298" s="1" t="str">
        <f t="shared" si="2607"/>
        <v>本科</v>
      </c>
      <c r="D5298" s="1" t="str">
        <f>"20200628"</f>
        <v>20200628</v>
      </c>
      <c r="E5298" s="1" t="str">
        <f>"厦门工学院"</f>
        <v>厦门工学院</v>
      </c>
      <c r="F5298" s="1" t="str">
        <f>"市场营销"</f>
        <v>市场营销</v>
      </c>
      <c r="G5298" s="1" t="str">
        <f>"河南省南阳市内乡县"</f>
        <v>河南省南阳市内乡县</v>
      </c>
      <c r="H5298" s="1" t="str">
        <f t="shared" ref="H5298:H5303" si="2611">"无"</f>
        <v>无</v>
      </c>
      <c r="I5298" s="1" t="str">
        <f>"2016.09-2020.07 厦门工学院 市场营销专业 全日制就读
2020.07-2020.09 厦门冉光知识产权有限公司
2020.10-2021.05 待业
2021.05-至今       南阳卧龙综合保税区"</f>
        <v>2016.09-2020.07 厦门工学院 市场营销专业 全日制就读
2020.07-2020.09 厦门冉光知识产权有限公司
2020.10-2021.05 待业
2021.05-至今       南阳卧龙综合保税区</v>
      </c>
    </row>
    <row r="5299" spans="1:9">
      <c r="A5299" s="1" t="str">
        <f>"411327199709053121"</f>
        <v>411327199709053121</v>
      </c>
      <c r="B5299" s="1" t="str">
        <f>"群众"</f>
        <v>群众</v>
      </c>
      <c r="C5299" s="1" t="str">
        <f t="shared" si="2607"/>
        <v>本科</v>
      </c>
      <c r="D5299" s="1" t="str">
        <f>"20190701"</f>
        <v>20190701</v>
      </c>
      <c r="E5299" s="1" t="str">
        <f>"郑州工业应用技术学院"</f>
        <v>郑州工业应用技术学院</v>
      </c>
      <c r="F5299" s="1" t="str">
        <f>"财务管理"</f>
        <v>财务管理</v>
      </c>
      <c r="G5299" s="1" t="str">
        <f>"河南省南阳市内乡县夏馆镇"</f>
        <v>河南省南阳市内乡县夏馆镇</v>
      </c>
      <c r="H5299" s="1" t="str">
        <f t="shared" si="2611"/>
        <v>无</v>
      </c>
      <c r="I5299" s="1" t="str">
        <f>"201509–201907 郑州工业应用技术学院就读 全日制
201209–201506 内乡实验高中就读 全日制
201907–201908 重庆待业
201909–202008就职于保利物业重庆分公司
202009–202010 河南待业
202011–202101就职于 内乡牧原综合体
202102–202105 河南待业
202106–202409 就职于重庆融创物业
202410–至今 河南待业"</f>
        <v>201509–201907 郑州工业应用技术学院就读 全日制
201209–201506 内乡实验高中就读 全日制
201907–201908 重庆待业
201909–202008就职于保利物业重庆分公司
202009–202010 河南待业
202011–202101就职于 内乡牧原综合体
202102–202105 河南待业
202106–202409 就职于重庆融创物业
202410–至今 河南待业</v>
      </c>
    </row>
    <row r="5300" spans="1:9">
      <c r="A5300" s="1" t="str">
        <f>"341224199007280415"</f>
        <v>341224199007280415</v>
      </c>
      <c r="B5300" s="1" t="str">
        <f>"群众"</f>
        <v>群众</v>
      </c>
      <c r="C5300" s="1" t="str">
        <f t="shared" ref="C5300:C5305" si="2612">"专科"</f>
        <v>专科</v>
      </c>
      <c r="D5300" s="1" t="str">
        <f>"20220615"</f>
        <v>20220615</v>
      </c>
      <c r="E5300" s="1" t="str">
        <f>"亳州学院"</f>
        <v>亳州学院</v>
      </c>
      <c r="F5300" s="1" t="str">
        <f>"药品质量与安全"</f>
        <v>药品质量与安全</v>
      </c>
      <c r="G5300" s="1" t="str">
        <f>"蒙城县庄周办事处永兴路永兴小区1期2幢1单元202室"</f>
        <v>蒙城县庄周办事处永兴路永兴小区1期2幢1单元202室</v>
      </c>
      <c r="H5300" s="1" t="str">
        <f t="shared" si="2611"/>
        <v>无</v>
      </c>
      <c r="I5300" s="1" t="str">
        <f>"201909-202206 在亳州学院中药学院药品质量与安全专业就读（全日制学历）
202206-至今 待业"</f>
        <v>201909-202206 在亳州学院中药学院药品质量与安全专业就读（全日制学历）
202206-至今 待业</v>
      </c>
    </row>
    <row r="5301" spans="1:9">
      <c r="A5301" s="1" t="str">
        <f>"411303200207290113"</f>
        <v>411303200207290113</v>
      </c>
      <c r="B5301" s="1" t="str">
        <f t="shared" ref="B5301:B5304" si="2613">"共青团员"</f>
        <v>共青团员</v>
      </c>
      <c r="C5301" s="1" t="str">
        <f t="shared" ref="C5301:C5304" si="2614">"本科"</f>
        <v>本科</v>
      </c>
      <c r="D5301" s="1" t="str">
        <f>"20250606"</f>
        <v>20250606</v>
      </c>
      <c r="E5301" s="1" t="str">
        <f>"信阳学院"</f>
        <v>信阳学院</v>
      </c>
      <c r="F5301" s="1" t="str">
        <f>"工程造价"</f>
        <v>工程造价</v>
      </c>
      <c r="G5301" s="1" t="str">
        <f>"河南省南阳市卧龙区武侯路钢材市场家属院"</f>
        <v>河南省南阳市卧龙区武侯路钢材市场家属院</v>
      </c>
      <c r="H5301" s="1" t="str">
        <f t="shared" si="2611"/>
        <v>无</v>
      </c>
      <c r="I5301" s="1" t="str">
        <f>"202009-202307 商丘学院  就读。建筑工程技术专业就读 全日制学历                        202309-202506 信阳学院  就读。工程造价专业就读 全日制学历"</f>
        <v>202009-202307 商丘学院  就读。建筑工程技术专业就读 全日制学历                        202309-202506 信阳学院  就读。工程造价专业就读 全日制学历</v>
      </c>
    </row>
    <row r="5302" spans="1:9">
      <c r="A5302" s="1" t="str">
        <f>"411327199708123124"</f>
        <v>411327199708123124</v>
      </c>
      <c r="B5302" s="1" t="str">
        <f t="shared" si="2613"/>
        <v>共青团员</v>
      </c>
      <c r="C5302" s="1" t="str">
        <f t="shared" si="2612"/>
        <v>专科</v>
      </c>
      <c r="D5302" s="1" t="str">
        <f>"20180701"</f>
        <v>20180701</v>
      </c>
      <c r="E5302" s="1" t="str">
        <f>"周口师范学院"</f>
        <v>周口师范学院</v>
      </c>
      <c r="F5302" s="1" t="str">
        <f>"数字媒体应用技术"</f>
        <v>数字媒体应用技术</v>
      </c>
      <c r="G5302" s="1" t="str">
        <f>"河南省南阳市内乡县湍东镇张岗村"</f>
        <v>河南省南阳市内乡县湍东镇张岗村</v>
      </c>
      <c r="H5302" s="1" t="str">
        <f t="shared" si="2611"/>
        <v>无</v>
      </c>
      <c r="I5302" s="1" t="str">
        <f>"20220301——20240701    就读于南阳师范学院教育学（非全日制）
20160901——20180701    就读于周口师范学院数字媒体应用技术{全日制}
20130901——20160701     就读于内乡三高"</f>
        <v>20220301——20240701    就读于南阳师范学院教育学（非全日制）
20160901——20180701    就读于周口师范学院数字媒体应用技术{全日制}
20130901——20160701     就读于内乡三高</v>
      </c>
    </row>
    <row r="5303" spans="1:9">
      <c r="A5303" s="1" t="str">
        <f>"62242419990902281X"</f>
        <v>62242419990902281X</v>
      </c>
      <c r="B5303" s="1" t="str">
        <f>"中共党员"</f>
        <v>中共党员</v>
      </c>
      <c r="C5303" s="1" t="str">
        <f t="shared" si="2614"/>
        <v>本科</v>
      </c>
      <c r="D5303" s="1" t="str">
        <f>"20230701"</f>
        <v>20230701</v>
      </c>
      <c r="E5303" s="1" t="str">
        <f>"郑州师范学院"</f>
        <v>郑州师范学院</v>
      </c>
      <c r="F5303" s="1" t="str">
        <f>"化学"</f>
        <v>化学</v>
      </c>
      <c r="G5303" s="1" t="str">
        <f>"甘肃省兰州市皋兰县三汇沁园小区"</f>
        <v>甘肃省兰州市皋兰县三汇沁园小区</v>
      </c>
      <c r="H5303" s="1" t="str">
        <f t="shared" si="2611"/>
        <v>无</v>
      </c>
      <c r="I5303" s="1" t="str">
        <f>"201909-202307 郑州师范学院 化学化工学院化学专业 全日制就读
202307-202410 浙江药领医药科技有限公司上班
202410-202507 待业"</f>
        <v>201909-202307 郑州师范学院 化学化工学院化学专业 全日制就读
202307-202410 浙江药领医药科技有限公司上班
202410-202507 待业</v>
      </c>
    </row>
    <row r="5304" spans="1:9">
      <c r="A5304" s="1" t="str">
        <f>"412726200107121256"</f>
        <v>412726200107121256</v>
      </c>
      <c r="B5304" s="1" t="str">
        <f t="shared" si="2613"/>
        <v>共青团员</v>
      </c>
      <c r="C5304" s="1" t="str">
        <f t="shared" si="2614"/>
        <v>本科</v>
      </c>
      <c r="D5304" s="1" t="str">
        <f>"20240701"</f>
        <v>20240701</v>
      </c>
      <c r="E5304" s="1" t="str">
        <f>"华北水利水电大学"</f>
        <v>华北水利水电大学</v>
      </c>
      <c r="F5304" s="1" t="str">
        <f>"国际经济与贸易"</f>
        <v>国际经济与贸易</v>
      </c>
      <c r="G5304" s="1" t="str">
        <f>"河南省周口市郸城县虎岗乡虎岗村"</f>
        <v>河南省周口市郸城县虎岗乡虎岗村</v>
      </c>
      <c r="H5304" s="1" t="str">
        <f>"教师资格证"</f>
        <v>教师资格证</v>
      </c>
      <c r="I5304" s="1" t="str">
        <f>"202009-202407 华北水利水电大学管理与经济学院国际经济与贸易专业就读 全日制学历"</f>
        <v>202009-202407 华北水利水电大学管理与经济学院国际经济与贸易专业就读 全日制学历</v>
      </c>
    </row>
    <row r="5305" spans="1:9">
      <c r="A5305" s="1" t="str">
        <f>"411327200004020106"</f>
        <v>411327200004020106</v>
      </c>
      <c r="B5305" s="1" t="str">
        <f t="shared" ref="B5305:B5308" si="2615">"群众"</f>
        <v>群众</v>
      </c>
      <c r="C5305" s="1" t="str">
        <f t="shared" si="2612"/>
        <v>专科</v>
      </c>
      <c r="D5305" s="1" t="str">
        <f>"20190607"</f>
        <v>20190607</v>
      </c>
      <c r="E5305" s="1" t="str">
        <f>"顺德职业技术学院"</f>
        <v>顺德职业技术学院</v>
      </c>
      <c r="F5305" s="1" t="str">
        <f>"应用英语"</f>
        <v>应用英语</v>
      </c>
      <c r="G5305" s="1" t="str">
        <f>"474350"</f>
        <v>474350</v>
      </c>
      <c r="H5305" s="1" t="str">
        <f>"英语四六级"</f>
        <v>英语四六级</v>
      </c>
      <c r="I5305" s="1" t="str">
        <f>"2019年9到2022年6月是全日制"</f>
        <v>2019年9到2022年6月是全日制</v>
      </c>
    </row>
    <row r="5306" spans="1:9">
      <c r="A5306" s="1" t="str">
        <f>"410221200210266073"</f>
        <v>410221200210266073</v>
      </c>
      <c r="B5306" s="1" t="str">
        <f>"共青团员"</f>
        <v>共青团员</v>
      </c>
      <c r="C5306" s="1" t="str">
        <f t="shared" ref="C5306:C5310" si="2616">"本科"</f>
        <v>本科</v>
      </c>
      <c r="D5306" s="1" t="str">
        <f>"20250606"</f>
        <v>20250606</v>
      </c>
      <c r="E5306" s="1" t="str">
        <f>"安阳师范学院"</f>
        <v>安阳师范学院</v>
      </c>
      <c r="F5306" s="1" t="str">
        <f>"国际经济与贸易"</f>
        <v>国际经济与贸易</v>
      </c>
      <c r="G5306" s="1" t="str">
        <f>"河南省开封市杞县高阳镇曹李王村七组184号"</f>
        <v>河南省开封市杞县高阳镇曹李王村七组184号</v>
      </c>
      <c r="H5306" s="1" t="str">
        <f t="shared" ref="H5306:H5313" si="2617">"无"</f>
        <v>无</v>
      </c>
      <c r="I5306" s="1" t="str">
        <f>"202109-202506于安阳师范学院就读经济学院国际经济与贸易专业
全日制学历"</f>
        <v>202109-202506于安阳师范学院就读经济学院国际经济与贸易专业
全日制学历</v>
      </c>
    </row>
    <row r="5307" spans="1:9">
      <c r="A5307" s="1" t="str">
        <f>"411323199001016477"</f>
        <v>411323199001016477</v>
      </c>
      <c r="B5307" s="1" t="str">
        <f t="shared" si="2615"/>
        <v>群众</v>
      </c>
      <c r="C5307" s="1" t="str">
        <f t="shared" si="2616"/>
        <v>本科</v>
      </c>
      <c r="D5307" s="1" t="str">
        <f>"20220701"</f>
        <v>20220701</v>
      </c>
      <c r="E5307" s="1" t="str">
        <f>"南阳师范学院"</f>
        <v>南阳师范学院</v>
      </c>
      <c r="F5307" s="1" t="str">
        <f>"工商管理"</f>
        <v>工商管理</v>
      </c>
      <c r="G5307" s="1" t="str">
        <f>"淅川县城关镇冬青一组"</f>
        <v>淅川县城关镇冬青一组</v>
      </c>
      <c r="H5307" s="1" t="str">
        <f t="shared" si="2617"/>
        <v>无</v>
      </c>
      <c r="I5307" s="1" t="str">
        <f>"2009.09-2012.07周口科技职业学院，经济管理系，物流管理专业，全日制。2012.07-2015.07林吉特科技有公司员工，2015.08-2019.01在家待业2019.02-至今淅川县公安局辅警（其中2022.03-2022.07在南阳师范学院，经济管理系，工商管理专业，函授本科，非全日制）。"</f>
        <v>2009.09-2012.07周口科技职业学院，经济管理系，物流管理专业，全日制。2012.07-2015.07林吉特科技有公司员工，2015.08-2019.01在家待业2019.02-至今淅川县公安局辅警（其中2022.03-2022.07在南阳师范学院，经济管理系，工商管理专业，函授本科，非全日制）。</v>
      </c>
    </row>
    <row r="5308" spans="1:9">
      <c r="A5308" s="1" t="str">
        <f>"411325200209052029"</f>
        <v>411325200209052029</v>
      </c>
      <c r="B5308" s="1" t="str">
        <f t="shared" si="2615"/>
        <v>群众</v>
      </c>
      <c r="C5308" s="1" t="str">
        <f>"专科"</f>
        <v>专科</v>
      </c>
      <c r="D5308" s="1" t="str">
        <f>"20240607"</f>
        <v>20240607</v>
      </c>
      <c r="E5308" s="1" t="str">
        <f>"商丘医学高等专科学校"</f>
        <v>商丘医学高等专科学校</v>
      </c>
      <c r="F5308" s="1" t="str">
        <f>"医学影像技术"</f>
        <v>医学影像技术</v>
      </c>
      <c r="G5308" s="1" t="str">
        <f>"河南省南阳市内乡县"</f>
        <v>河南省南阳市内乡县</v>
      </c>
      <c r="H5308" s="1" t="str">
        <f t="shared" si="2617"/>
        <v>无</v>
      </c>
      <c r="I5308" s="1" t="str">
        <f>"202109–202406于商丘医学高等专科学校系医学影像技术专业就读，是全日制学历。"</f>
        <v>202109–202406于商丘医学高等专科学校系医学影像技术专业就读，是全日制学历。</v>
      </c>
    </row>
    <row r="5309" spans="1:9">
      <c r="A5309" s="1" t="str">
        <f>"411327200005070017"</f>
        <v>411327200005070017</v>
      </c>
      <c r="B5309" s="1" t="str">
        <f t="shared" ref="B5309:B5315" si="2618">"共青团员"</f>
        <v>共青团员</v>
      </c>
      <c r="C5309" s="1" t="str">
        <f t="shared" si="2616"/>
        <v>本科</v>
      </c>
      <c r="D5309" s="1" t="str">
        <f>"20230701"</f>
        <v>20230701</v>
      </c>
      <c r="E5309" s="1" t="str">
        <f>"郑州商学院"</f>
        <v>郑州商学院</v>
      </c>
      <c r="F5309" s="1" t="str">
        <f>"网络工程"</f>
        <v>网络工程</v>
      </c>
      <c r="G5309" s="1" t="str">
        <f>"河南省南阳市内乡县"</f>
        <v>河南省南阳市内乡县</v>
      </c>
      <c r="H5309" s="1" t="str">
        <f t="shared" si="2617"/>
        <v>无</v>
      </c>
      <c r="I5309" s="1" t="str">
        <f>"201909-202307 郑州商学院 网络工程  全日制"</f>
        <v>201909-202307 郑州商学院 网络工程  全日制</v>
      </c>
    </row>
    <row r="5310" spans="1:9">
      <c r="A5310" s="1" t="str">
        <f>"411381199804144847"</f>
        <v>411381199804144847</v>
      </c>
      <c r="B5310" s="1" t="str">
        <f>"群众"</f>
        <v>群众</v>
      </c>
      <c r="C5310" s="1" t="str">
        <f t="shared" si="2616"/>
        <v>本科</v>
      </c>
      <c r="D5310" s="1" t="str">
        <f>"20210701"</f>
        <v>20210701</v>
      </c>
      <c r="E5310" s="1" t="str">
        <f>"郑州财经学院"</f>
        <v>郑州财经学院</v>
      </c>
      <c r="F5310" s="1" t="str">
        <f>"市场营销专业"</f>
        <v>市场营销专业</v>
      </c>
      <c r="G5310" s="1" t="str">
        <f>"河南省平顶山市郏县水岸阳光小区0栋512"</f>
        <v>河南省平顶山市郏县水岸阳光小区0栋512</v>
      </c>
      <c r="H5310" s="1" t="str">
        <f t="shared" si="2617"/>
        <v>无</v>
      </c>
      <c r="I5310" s="1" t="str">
        <f>"201709-202106 郑州财经学院 电子商务学院市场营销专业就读 是全日制学历"</f>
        <v>201709-202106 郑州财经学院 电子商务学院市场营销专业就读 是全日制学历</v>
      </c>
    </row>
    <row r="5311" spans="1:9">
      <c r="A5311" s="1" t="str">
        <f>"411522200003260019"</f>
        <v>411522200003260019</v>
      </c>
      <c r="B5311" s="1" t="str">
        <f>"群众"</f>
        <v>群众</v>
      </c>
      <c r="C5311" s="1" t="str">
        <f>"专科"</f>
        <v>专科</v>
      </c>
      <c r="D5311" s="1" t="str">
        <f>"20220701"</f>
        <v>20220701</v>
      </c>
      <c r="E5311" s="1" t="str">
        <f>"河南应用职业技术学院"</f>
        <v>河南应用职业技术学院</v>
      </c>
      <c r="F5311" s="1" t="str">
        <f>"机电一体化技术"</f>
        <v>机电一体化技术</v>
      </c>
      <c r="G5311" s="1" t="str">
        <f>"河南省信阳市新县金源山庄"</f>
        <v>河南省信阳市新县金源山庄</v>
      </c>
      <c r="H5311" s="1" t="str">
        <f t="shared" si="2617"/>
        <v>无</v>
      </c>
      <c r="I5311" s="1" t="str">
        <f>"201910—20227河南应用技术职业学院机电工程学院机电一体化技术专业，全日制学历"</f>
        <v>201910—20227河南应用技术职业学院机电工程学院机电一体化技术专业，全日制学历</v>
      </c>
    </row>
    <row r="5312" spans="1:9">
      <c r="A5312" s="1" t="str">
        <f>"411324199911111525"</f>
        <v>411324199911111525</v>
      </c>
      <c r="B5312" s="1" t="str">
        <f t="shared" si="2618"/>
        <v>共青团员</v>
      </c>
      <c r="C5312" s="1" t="str">
        <f t="shared" ref="C5312:C5317" si="2619">"本科"</f>
        <v>本科</v>
      </c>
      <c r="D5312" s="1" t="str">
        <f>"2024-06-07"</f>
        <v>2024-06-07</v>
      </c>
      <c r="E5312" s="1" t="str">
        <f>"南阳师范学院"</f>
        <v>南阳师范学院</v>
      </c>
      <c r="F5312" s="1" t="str">
        <f>"环境设计"</f>
        <v>环境设计</v>
      </c>
      <c r="G5312" s="1" t="str">
        <f>"河南省南阳市镇平县雪枫街道 207国道新城广场五号楼三单元"</f>
        <v>河南省南阳市镇平县雪枫街道 207国道新城广场五号楼三单元</v>
      </c>
      <c r="H5312" s="1" t="str">
        <f t="shared" si="2617"/>
        <v>无</v>
      </c>
      <c r="I5312" s="1" t="str">
        <f>"202209–202406南阳师范就读"</f>
        <v>202209–202406南阳师范就读</v>
      </c>
    </row>
    <row r="5313" spans="1:9">
      <c r="A5313" s="1" t="str">
        <f>"411082200309293023"</f>
        <v>411082200309293023</v>
      </c>
      <c r="B5313" s="1" t="str">
        <f t="shared" si="2618"/>
        <v>共青团员</v>
      </c>
      <c r="C5313" s="1" t="str">
        <f t="shared" si="2619"/>
        <v>本科</v>
      </c>
      <c r="D5313" s="1" t="str">
        <f>"20250701"</f>
        <v>20250701</v>
      </c>
      <c r="E5313" s="1" t="str">
        <f>"信阳农林学院"</f>
        <v>信阳农林学院</v>
      </c>
      <c r="F5313" s="1" t="str">
        <f>"环境设计"</f>
        <v>环境设计</v>
      </c>
      <c r="G5313" s="1" t="str">
        <f>"河南省许昌市长葛市老城镇菜李村四组"</f>
        <v>河南省许昌市长葛市老城镇菜李村四组</v>
      </c>
      <c r="H5313" s="1" t="str">
        <f t="shared" si="2617"/>
        <v>无</v>
      </c>
      <c r="I5313" s="1" t="str">
        <f>"20210901-20250701信阳农林学院就读"</f>
        <v>20210901-20250701信阳农林学院就读</v>
      </c>
    </row>
    <row r="5314" spans="1:9">
      <c r="A5314" s="1" t="str">
        <f>"411327199910200322"</f>
        <v>411327199910200322</v>
      </c>
      <c r="B5314" s="1" t="str">
        <f t="shared" si="2618"/>
        <v>共青团员</v>
      </c>
      <c r="C5314" s="1" t="str">
        <f>"专科"</f>
        <v>专科</v>
      </c>
      <c r="D5314" s="1" t="str">
        <f>"20210701"</f>
        <v>20210701</v>
      </c>
      <c r="E5314" s="1" t="str">
        <f>"上海中侨职业技术大学"</f>
        <v>上海中侨职业技术大学</v>
      </c>
      <c r="F5314" s="1" t="str">
        <f>"国际商务"</f>
        <v>国际商务</v>
      </c>
      <c r="G5314" s="1" t="str">
        <f>"河南省南阳市内乡县大桥乡"</f>
        <v>河南省南阳市内乡县大桥乡</v>
      </c>
      <c r="H5314" s="1" t="str">
        <f>"钢琴十级证书"</f>
        <v>钢琴十级证书</v>
      </c>
      <c r="I5314" s="1" t="str">
        <f>"201809-202107在上海中侨职业技术大学经济与管理学院国际商务就读是全日制"</f>
        <v>201809-202107在上海中侨职业技术大学经济与管理学院国际商务就读是全日制</v>
      </c>
    </row>
    <row r="5315" spans="1:9">
      <c r="A5315" s="1" t="str">
        <f>"410324200104160616"</f>
        <v>410324200104160616</v>
      </c>
      <c r="B5315" s="1" t="str">
        <f t="shared" si="2618"/>
        <v>共青团员</v>
      </c>
      <c r="C5315" s="1" t="str">
        <f t="shared" si="2619"/>
        <v>本科</v>
      </c>
      <c r="D5315" s="1" t="str">
        <f>"2023-07-01"</f>
        <v>2023-07-01</v>
      </c>
      <c r="E5315" s="1" t="str">
        <f>"河南科技学院新科学院"</f>
        <v>河南科技学院新科学院</v>
      </c>
      <c r="F5315" s="1" t="str">
        <f>"城乡规划"</f>
        <v>城乡规划</v>
      </c>
      <c r="G5315" s="1" t="str">
        <f>"洛阳市栾川县大南沟社区一组"</f>
        <v>洛阳市栾川县大南沟社区一组</v>
      </c>
      <c r="H5315" s="1" t="str">
        <f t="shared" ref="H5315:H5318" si="2620">"无"</f>
        <v>无</v>
      </c>
      <c r="I5315" s="1" t="str">
        <f>"201909-202307 河南科技学院新科学院生物工程学院城乡规划专业 就读。"</f>
        <v>201909-202307 河南科技学院新科学院生物工程学院城乡规划专业 就读。</v>
      </c>
    </row>
    <row r="5316" spans="1:9">
      <c r="A5316" s="1" t="str">
        <f>"622429200108100715"</f>
        <v>622429200108100715</v>
      </c>
      <c r="B5316" s="1" t="str">
        <f t="shared" ref="B5316:B5318" si="2621">"群众"</f>
        <v>群众</v>
      </c>
      <c r="C5316" s="1" t="str">
        <f t="shared" si="2619"/>
        <v>本科</v>
      </c>
      <c r="D5316" s="1" t="str">
        <f>"2022-06-15"</f>
        <v>2022-06-15</v>
      </c>
      <c r="E5316" s="1" t="str">
        <f>"兰州交通大学"</f>
        <v>兰州交通大学</v>
      </c>
      <c r="F5316" s="1" t="str">
        <f>"能源与动力工程"</f>
        <v>能源与动力工程</v>
      </c>
      <c r="G5316" s="1" t="str">
        <f>"甘肃省定西市岷县梅川镇西坝村"</f>
        <v>甘肃省定西市岷县梅川镇西坝村</v>
      </c>
      <c r="H5316" s="1" t="str">
        <f t="shared" si="2620"/>
        <v>无</v>
      </c>
      <c r="I5316" s="1" t="str">
        <f>"201807-202206 兰州交通大学 机电工程学院能源与动力工程系就读，全日制学历；202207-202305 中铁三局第三工程有限公司 浑源抽水蓄能项目工程部技术员；202306-202507 待业"</f>
        <v>201807-202206 兰州交通大学 机电工程学院能源与动力工程系就读，全日制学历；202207-202305 中铁三局第三工程有限公司 浑源抽水蓄能项目工程部技术员；202306-202507 待业</v>
      </c>
    </row>
    <row r="5317" spans="1:9">
      <c r="A5317" s="1" t="str">
        <f>"410811199105020017"</f>
        <v>410811199105020017</v>
      </c>
      <c r="B5317" s="1" t="str">
        <f t="shared" si="2621"/>
        <v>群众</v>
      </c>
      <c r="C5317" s="1" t="str">
        <f t="shared" si="2619"/>
        <v>本科</v>
      </c>
      <c r="D5317" s="1" t="str">
        <f>"20130701"</f>
        <v>20130701</v>
      </c>
      <c r="E5317" s="1" t="str">
        <f>"河南理工大学"</f>
        <v>河南理工大学</v>
      </c>
      <c r="F5317" s="1" t="str">
        <f>"土木工程"</f>
        <v>土木工程</v>
      </c>
      <c r="G5317" s="1" t="str">
        <f>"河南省焦作市山阳区"</f>
        <v>河南省焦作市山阳区</v>
      </c>
      <c r="H5317" s="1" t="str">
        <f>"二级建造师"</f>
        <v>二级建造师</v>
      </c>
      <c r="I5317" s="1" t="str">
        <f>"201009-201307河南理工大学万方科技学院建筑与测绘工程系建筑工程技术专业就读 为全日制
201409-201607河南理工大学土木工程学院土木工程专业就读 为非全日制
201308-201804焦作市建筑工程安全管理协会任副秘书长
201806-今中国建筑第七工程有限公司工作"</f>
        <v>201009-201307河南理工大学万方科技学院建筑与测绘工程系建筑工程技术专业就读 为全日制
201409-201607河南理工大学土木工程学院土木工程专业就读 为非全日制
201308-201804焦作市建筑工程安全管理协会任副秘书长
201806-今中国建筑第七工程有限公司工作</v>
      </c>
    </row>
    <row r="5318" spans="1:9">
      <c r="A5318" s="1" t="str">
        <f>"411327199502110010"</f>
        <v>411327199502110010</v>
      </c>
      <c r="B5318" s="1" t="str">
        <f t="shared" si="2621"/>
        <v>群众</v>
      </c>
      <c r="C5318" s="1" t="str">
        <f>"专科"</f>
        <v>专科</v>
      </c>
      <c r="D5318" s="1" t="str">
        <f>"20150701"</f>
        <v>20150701</v>
      </c>
      <c r="E5318" s="1" t="str">
        <f>"河南司法警官职业学院"</f>
        <v>河南司法警官职业学院</v>
      </c>
      <c r="F5318" s="1" t="str">
        <f>"法律事务"</f>
        <v>法律事务</v>
      </c>
      <c r="G5318" s="1" t="str">
        <f>"河南省内乡县城关镇"</f>
        <v>河南省内乡县城关镇</v>
      </c>
      <c r="H5318" s="1" t="str">
        <f t="shared" si="2620"/>
        <v>无</v>
      </c>
      <c r="I5318" s="1" t="str">
        <f>"2010年9月至2015年7月，在河南省司法警官职业学院学习;
2015年8月至2017年2月在家待业:
2017年3月至今，被河南省内乡县公安局招录为辅警，现在内乡县公安局刑警大队工作。"</f>
        <v>2010年9月至2015年7月，在河南省司法警官职业学院学习;
2015年8月至2017年2月在家待业:
2017年3月至今，被河南省内乡县公安局招录为辅警，现在内乡县公安局刑警大队工作。</v>
      </c>
    </row>
    <row r="5319" spans="1:9">
      <c r="A5319" s="1" t="str">
        <f>"411327200301131144"</f>
        <v>411327200301131144</v>
      </c>
      <c r="B5319" s="1" t="str">
        <f t="shared" ref="B5319:B5324" si="2622">"中共党员"</f>
        <v>中共党员</v>
      </c>
      <c r="C5319" s="1" t="str">
        <f t="shared" ref="C5319:C5327" si="2623">"本科"</f>
        <v>本科</v>
      </c>
      <c r="D5319" s="1" t="str">
        <f>"20240701"</f>
        <v>20240701</v>
      </c>
      <c r="E5319" s="1" t="str">
        <f>"郑州工商学院"</f>
        <v>郑州工商学院</v>
      </c>
      <c r="F5319" s="1" t="str">
        <f>"会计学"</f>
        <v>会计学</v>
      </c>
      <c r="G5319" s="1" t="str">
        <f>"河南省南阳市内乡县赤眉镇鱼贯口村曹营"</f>
        <v>河南省南阳市内乡县赤眉镇鱼贯口村曹营</v>
      </c>
      <c r="H5319" s="1" t="str">
        <f>"初级会计专业技术资格证书"</f>
        <v>初级会计专业技术资格证书</v>
      </c>
      <c r="I5319" s="1" t="str">
        <f>"202009-202406就读于郑州工商学院财税学院会计学专业（全日制本科）                                                                                                                  202407-至今工作于仲景食品股份有限公司会计岗位"</f>
        <v>202009-202406就读于郑州工商学院财税学院会计学专业（全日制本科）                                                                                                                  202407-至今工作于仲景食品股份有限公司会计岗位</v>
      </c>
    </row>
    <row r="5320" spans="1:9">
      <c r="A5320" s="1" t="str">
        <f>"411330200105120016"</f>
        <v>411330200105120016</v>
      </c>
      <c r="B5320" s="1" t="str">
        <f>"共青团员"</f>
        <v>共青团员</v>
      </c>
      <c r="C5320" s="1" t="str">
        <f t="shared" si="2623"/>
        <v>本科</v>
      </c>
      <c r="D5320" s="1" t="str">
        <f>"20240701"</f>
        <v>20240701</v>
      </c>
      <c r="E5320" s="1" t="str">
        <f>"郑州升达经贸管理学院"</f>
        <v>郑州升达经贸管理学院</v>
      </c>
      <c r="F5320" s="1" t="str">
        <f>"审计学"</f>
        <v>审计学</v>
      </c>
      <c r="G5320" s="1" t="str">
        <f>"河南省南阳市西峡县丹水镇"</f>
        <v>河南省南阳市西峡县丹水镇</v>
      </c>
      <c r="H5320" s="1" t="str">
        <f t="shared" ref="H5320:H5326" si="2624">"无"</f>
        <v>无</v>
      </c>
      <c r="I5320" s="1" t="str">
        <f>"202009-202406 郑州升达经贸管理学院  会计学院 审计学专业就读 全日制学历。 "</f>
        <v>202009-202406 郑州升达经贸管理学院  会计学院 审计学专业就读 全日制学历。 </v>
      </c>
    </row>
    <row r="5321" spans="1:9">
      <c r="A5321" s="1" t="str">
        <f>"370124199604300014"</f>
        <v>370124199604300014</v>
      </c>
      <c r="B5321" s="1" t="str">
        <f t="shared" ref="B5321:B5326" si="2625">"群众"</f>
        <v>群众</v>
      </c>
      <c r="C5321" s="1" t="str">
        <f t="shared" si="2623"/>
        <v>本科</v>
      </c>
      <c r="D5321" s="1" t="str">
        <f>"20190620"</f>
        <v>20190620</v>
      </c>
      <c r="E5321" s="1" t="str">
        <f>"长沙师范学院"</f>
        <v>长沙师范学院</v>
      </c>
      <c r="F5321" s="1" t="str">
        <f>"动画"</f>
        <v>动画</v>
      </c>
      <c r="G5321" s="1" t="str">
        <f>"湖北省襄阳市谷城县粉水路阳关花园"</f>
        <v>湖北省襄阳市谷城县粉水路阳关花园</v>
      </c>
      <c r="H5321" s="1" t="str">
        <f t="shared" si="2624"/>
        <v>无</v>
      </c>
      <c r="I5321" s="1" t="str">
        <f>"201509-201906 长沙师范学院 动画 全日制本科"</f>
        <v>201509-201906 长沙师范学院 动画 全日制本科</v>
      </c>
    </row>
    <row r="5322" spans="1:9">
      <c r="A5322" s="1" t="str">
        <f>"411330200001181527"</f>
        <v>411330200001181527</v>
      </c>
      <c r="B5322" s="1" t="str">
        <f t="shared" si="2622"/>
        <v>中共党员</v>
      </c>
      <c r="C5322" s="1" t="str">
        <f t="shared" si="2623"/>
        <v>本科</v>
      </c>
      <c r="D5322" s="1" t="str">
        <f>"2022-06-01"</f>
        <v>2022-06-01</v>
      </c>
      <c r="E5322" s="1" t="str">
        <f>"湖北工程学院新技术学院"</f>
        <v>湖北工程学院新技术学院</v>
      </c>
      <c r="F5322" s="1" t="str">
        <f>"经济学"</f>
        <v>经济学</v>
      </c>
      <c r="G5322" s="1" t="str">
        <f>"河南省西峡县五里桥镇大桥村李营"</f>
        <v>河南省西峡县五里桥镇大桥村李营</v>
      </c>
      <c r="H5322" s="1" t="str">
        <f t="shared" si="2624"/>
        <v>无</v>
      </c>
      <c r="I5322" s="1" t="str">
        <f>"2018.9-2022.6 湖北工程学院新技术学院 经济学
2022.6-2023.5 待业
2023.5-2024.5 西峡县公安局辅警
2024.6- 至今 待业"</f>
        <v>2018.9-2022.6 湖北工程学院新技术学院 经济学
2022.6-2023.5 待业
2023.5-2024.5 西峡县公安局辅警
2024.6- 至今 待业</v>
      </c>
    </row>
    <row r="5323" spans="1:9">
      <c r="A5323" s="1" t="str">
        <f>"411327200111283112"</f>
        <v>411327200111283112</v>
      </c>
      <c r="B5323" s="1" t="str">
        <f t="shared" si="2625"/>
        <v>群众</v>
      </c>
      <c r="C5323" s="1" t="str">
        <f t="shared" si="2623"/>
        <v>本科</v>
      </c>
      <c r="D5323" s="1" t="str">
        <f>"20230607"</f>
        <v>20230607</v>
      </c>
      <c r="E5323" s="1" t="str">
        <f>"辽东学院"</f>
        <v>辽东学院</v>
      </c>
      <c r="F5323" s="1" t="str">
        <f>"税收学"</f>
        <v>税收学</v>
      </c>
      <c r="G5323" s="1" t="str">
        <f>"河南省南阳市内乡县夏馆镇"</f>
        <v>河南省南阳市内乡县夏馆镇</v>
      </c>
      <c r="H5323" s="1" t="str">
        <f t="shared" si="2624"/>
        <v>无</v>
      </c>
      <c r="I5323" s="1" t="str">
        <f>"201909-202306 辽东学院就读 全日制学历"</f>
        <v>201909-202306 辽东学院就读 全日制学历</v>
      </c>
    </row>
    <row r="5324" spans="1:9">
      <c r="A5324" s="1" t="str">
        <f>"411423199911132018"</f>
        <v>411423199911132018</v>
      </c>
      <c r="B5324" s="1" t="str">
        <f t="shared" si="2622"/>
        <v>中共党员</v>
      </c>
      <c r="C5324" s="1" t="str">
        <f t="shared" si="2623"/>
        <v>本科</v>
      </c>
      <c r="D5324" s="1" t="str">
        <f>"20230701"</f>
        <v>20230701</v>
      </c>
      <c r="E5324" s="1" t="str">
        <f>"郑州财经学院"</f>
        <v>郑州财经学院</v>
      </c>
      <c r="F5324" s="1" t="str">
        <f>"酒店管理"</f>
        <v>酒店管理</v>
      </c>
      <c r="G5324" s="1" t="str">
        <f>"河南省商丘市宁陵县华堡镇"</f>
        <v>河南省商丘市宁陵县华堡镇</v>
      </c>
      <c r="H5324" s="1" t="str">
        <f t="shared" si="2624"/>
        <v>无</v>
      </c>
      <c r="I5324" s="1" t="str">
        <f>"201909-202307  郑州财经学院管理学院酒店管理专业就读  全日制本科学历
202307-202403   待业
202403-至今   洛阳市城乡一体化示范区李村街道办事处   劳务派遣"</f>
        <v>201909-202307  郑州财经学院管理学院酒店管理专业就读  全日制本科学历
202307-202403   待业
202403-至今   洛阳市城乡一体化示范区李村街道办事处   劳务派遣</v>
      </c>
    </row>
    <row r="5325" spans="1:9">
      <c r="A5325" s="1" t="str">
        <f>"410423200103060014"</f>
        <v>410423200103060014</v>
      </c>
      <c r="B5325" s="1" t="str">
        <f t="shared" si="2625"/>
        <v>群众</v>
      </c>
      <c r="C5325" s="1" t="str">
        <f t="shared" si="2623"/>
        <v>本科</v>
      </c>
      <c r="D5325" s="1" t="str">
        <f>"20230701"</f>
        <v>20230701</v>
      </c>
      <c r="E5325" s="1" t="str">
        <f>"华北水利水电大学"</f>
        <v>华北水利水电大学</v>
      </c>
      <c r="F5325" s="1" t="str">
        <f>"能源与动力工程（热动）"</f>
        <v>能源与动力工程（热动）</v>
      </c>
      <c r="G5325" s="1" t="str">
        <f>"河南省平顶山市鲁山县印刷厂家属院四栋二楼西"</f>
        <v>河南省平顶山市鲁山县印刷厂家属院四栋二楼西</v>
      </c>
      <c r="H5325" s="1" t="str">
        <f t="shared" si="2624"/>
        <v>无</v>
      </c>
      <c r="I5325" s="1" t="str">
        <f>"201909-202307华北水利水电大学能动学院能源与动力工程（热动） 就读，全日制本科"</f>
        <v>201909-202307华北水利水电大学能动学院能源与动力工程（热动） 就读，全日制本科</v>
      </c>
    </row>
    <row r="5326" spans="1:9">
      <c r="A5326" s="1" t="str">
        <f>"411327200307041529"</f>
        <v>411327200307041529</v>
      </c>
      <c r="B5326" s="1" t="str">
        <f t="shared" si="2625"/>
        <v>群众</v>
      </c>
      <c r="C5326" s="1" t="str">
        <f t="shared" si="2623"/>
        <v>本科</v>
      </c>
      <c r="D5326" s="1" t="str">
        <f>"20250605"</f>
        <v>20250605</v>
      </c>
      <c r="E5326" s="1" t="str">
        <f>"新乡工程学院"</f>
        <v>新乡工程学院</v>
      </c>
      <c r="F5326" s="1" t="str">
        <f>"通信工程"</f>
        <v>通信工程</v>
      </c>
      <c r="G5326" s="1" t="str">
        <f>"河南省南阳市内乡县湍东镇"</f>
        <v>河南省南阳市内乡县湍东镇</v>
      </c>
      <c r="H5326" s="1" t="str">
        <f t="shared" si="2624"/>
        <v>无</v>
      </c>
      <c r="I5326" s="1" t="str">
        <f>"20210901-20230701就读于河南工业大学软件学院软件技术专业，是全日制学历
20230904-20250605就读于新乡工程学院信息工程学院通信工程专业，是全日制学历"</f>
        <v>20210901-20230701就读于河南工业大学软件学院软件技术专业，是全日制学历
20230904-20250605就读于新乡工程学院信息工程学院通信工程专业，是全日制学历</v>
      </c>
    </row>
    <row r="5327" spans="1:9">
      <c r="A5327" s="1" t="str">
        <f>"410324199203227526"</f>
        <v>410324199203227526</v>
      </c>
      <c r="B5327" s="1" t="str">
        <f>"共青团员"</f>
        <v>共青团员</v>
      </c>
      <c r="C5327" s="1" t="str">
        <f t="shared" si="2623"/>
        <v>本科</v>
      </c>
      <c r="D5327" s="1" t="str">
        <f>"20150630"</f>
        <v>20150630</v>
      </c>
      <c r="E5327" s="1" t="str">
        <f>"河南财经政法大学"</f>
        <v>河南财经政法大学</v>
      </c>
      <c r="F5327" s="1" t="str">
        <f>"工商企业管理"</f>
        <v>工商企业管理</v>
      </c>
      <c r="G5327" s="1" t="str">
        <f>"河南省洛阳市栾川县"</f>
        <v>河南省洛阳市栾川县</v>
      </c>
      <c r="H5327" s="1" t="str">
        <f>"计算机应用技术证书"</f>
        <v>计算机应用技术证书</v>
      </c>
      <c r="I5327" s="1" t="str">
        <f>"201209-201506在河南财经政法大学管理系就读，专业是工商企业管理，不是全日制，但是在学校也是全天上课，还有早晚自习，在校期间成绩优异。
201509-202006在栾川县第三实验小学代课。
202009-202506在栾川县第一实验小学代课。
"</f>
        <v>201209-201506在河南财经政法大学管理系就读，专业是工商企业管理，不是全日制，但是在学校也是全天上课，还有早晚自习，在校期间成绩优异。
201509-202006在栾川县第三实验小学代课。
202009-202506在栾川县第一实验小学代课。
</v>
      </c>
    </row>
    <row r="5328" spans="1:9">
      <c r="A5328" s="1" t="str">
        <f>"410325200103065023"</f>
        <v>410325200103065023</v>
      </c>
      <c r="B5328" s="1" t="str">
        <f t="shared" ref="B5328:B5333" si="2626">"中共党员"</f>
        <v>中共党员</v>
      </c>
      <c r="C5328" s="1" t="str">
        <f t="shared" ref="C5328:C5333" si="2627">"专科"</f>
        <v>专科</v>
      </c>
      <c r="D5328" s="1" t="str">
        <f>"20230615"</f>
        <v>20230615</v>
      </c>
      <c r="E5328" s="1" t="str">
        <f>"焦作大学"</f>
        <v>焦作大学</v>
      </c>
      <c r="F5328" s="1" t="str">
        <f>"财务管理"</f>
        <v>财务管理</v>
      </c>
      <c r="G5328" s="1" t="str">
        <f>"河南省洛阳市嵩县白河镇"</f>
        <v>河南省洛阳市嵩县白河镇</v>
      </c>
      <c r="H5328" s="1" t="str">
        <f>"初级会计资格证书"</f>
        <v>初级会计资格证书</v>
      </c>
      <c r="I5328" s="1" t="str">
        <f>"202010-202306 在焦作大学 会计学院  财务管理专业 就读  是全日制学历
202306-202504   在家待就业
202504-至今  在白河镇人民政府上班"</f>
        <v>202010-202306 在焦作大学 会计学院  财务管理专业 就读  是全日制学历
202306-202504   在家待就业
202504-至今  在白河镇人民政府上班</v>
      </c>
    </row>
    <row r="5329" spans="1:9">
      <c r="A5329" s="1" t="str">
        <f>"411327200203054915"</f>
        <v>411327200203054915</v>
      </c>
      <c r="B5329" s="1" t="str">
        <f>"共青团员"</f>
        <v>共青团员</v>
      </c>
      <c r="C5329" s="1" t="str">
        <f t="shared" ref="C5329:C5332" si="2628">"本科"</f>
        <v>本科</v>
      </c>
      <c r="D5329" s="1" t="str">
        <f>"20250620"</f>
        <v>20250620</v>
      </c>
      <c r="E5329" s="1" t="str">
        <f>"哈尔滨金融学院"</f>
        <v>哈尔滨金融学院</v>
      </c>
      <c r="F5329" s="1" t="str">
        <f>"信用管理"</f>
        <v>信用管理</v>
      </c>
      <c r="G5329" s="1" t="str">
        <f>"河南省南阳市内乡县灌张镇陈营符冢"</f>
        <v>河南省南阳市内乡县灌张镇陈营符冢</v>
      </c>
      <c r="H5329" s="1" t="str">
        <f t="shared" ref="H5329:H5332" si="2629">"无"</f>
        <v>无</v>
      </c>
      <c r="I5329" s="1" t="str">
        <f>"202109-202506在哈尔滨金融学院金融系信用管理专业就读，是全日制学历。"</f>
        <v>202109-202506在哈尔滨金融学院金融系信用管理专业就读，是全日制学历。</v>
      </c>
    </row>
    <row r="5330" spans="1:9">
      <c r="A5330" s="1" t="str">
        <f>"411327199506060022"</f>
        <v>411327199506060022</v>
      </c>
      <c r="B5330" s="1" t="str">
        <f t="shared" si="2626"/>
        <v>中共党员</v>
      </c>
      <c r="C5330" s="1" t="str">
        <f t="shared" si="2628"/>
        <v>本科</v>
      </c>
      <c r="D5330" s="1" t="str">
        <f>"20170701"</f>
        <v>20170701</v>
      </c>
      <c r="E5330" s="1" t="str">
        <f>"许昌学院"</f>
        <v>许昌学院</v>
      </c>
      <c r="F5330" s="1" t="str">
        <f>"工商管理（会计方向）"</f>
        <v>工商管理（会计方向）</v>
      </c>
      <c r="G5330" s="1" t="str">
        <f>"内乡县大成东路白云小区西巷二排六号"</f>
        <v>内乡县大成东路白云小区西巷二排六号</v>
      </c>
      <c r="H5330" s="1" t="str">
        <f>"工商企业管理师（中级）"</f>
        <v>工商企业管理师（中级）</v>
      </c>
      <c r="I5330" s="1" t="str">
        <f>"2013.09-2017.07  许昌学院国际教育学院工商管理（会计方向）专业就读；2017.08-2018.03  待业；2018.03-2019.08  内乡县人民防空办公室科员；2019.08-至今  内乡县职业中等专业学校 德育中心科员"</f>
        <v>2013.09-2017.07  许昌学院国际教育学院工商管理（会计方向）专业就读；2017.08-2018.03  待业；2018.03-2019.08  内乡县人民防空办公室科员；2019.08-至今  内乡县职业中等专业学校 德育中心科员</v>
      </c>
    </row>
    <row r="5331" ht="121.5" spans="1:9">
      <c r="A5331" s="1" t="str">
        <f>"411381199008290624"</f>
        <v>411381199008290624</v>
      </c>
      <c r="B5331" s="1" t="str">
        <f t="shared" ref="B5331:B5337" si="2630">"群众"</f>
        <v>群众</v>
      </c>
      <c r="C5331" s="1" t="str">
        <f t="shared" si="2627"/>
        <v>专科</v>
      </c>
      <c r="D5331" s="1" t="str">
        <f>"20120701"</f>
        <v>20120701</v>
      </c>
      <c r="E5331" s="1" t="str">
        <f>"河南工业大学"</f>
        <v>河南工业大学</v>
      </c>
      <c r="F5331" s="1" t="str">
        <f>"计算机信息管理"</f>
        <v>计算机信息管理</v>
      </c>
      <c r="G5331" s="1" t="str">
        <f>"河南省邓州市店子口北古城宾馆院内"</f>
        <v>河南省邓州市店子口北古城宾馆院内</v>
      </c>
      <c r="H5331" s="1" t="str">
        <f t="shared" si="2629"/>
        <v>无</v>
      </c>
      <c r="I5331" s="3" t="s">
        <v>291</v>
      </c>
    </row>
    <row r="5332" spans="1:9">
      <c r="A5332" s="1" t="str">
        <f>"411327200303150648"</f>
        <v>411327200303150648</v>
      </c>
      <c r="B5332" s="1" t="str">
        <f t="shared" si="2630"/>
        <v>群众</v>
      </c>
      <c r="C5332" s="1" t="str">
        <f t="shared" si="2628"/>
        <v>本科</v>
      </c>
      <c r="D5332" s="1" t="str">
        <f>"20250701"</f>
        <v>20250701</v>
      </c>
      <c r="E5332" s="1" t="str">
        <f>"郑州科技学院"</f>
        <v>郑州科技学院</v>
      </c>
      <c r="F5332" s="1" t="str">
        <f>"学前教育(师范）"</f>
        <v>学前教育(师范）</v>
      </c>
      <c r="G5332" s="1" t="str">
        <f>"河南省内乡县马山口镇河西村学东35号"</f>
        <v>河南省内乡县马山口镇河西村学东35号</v>
      </c>
      <c r="H5332" s="1" t="str">
        <f t="shared" si="2629"/>
        <v>无</v>
      </c>
      <c r="I5332" s="1" t="str">
        <f>"202109-202506郑州科技学院音乐舞蹈学院学前教育专业就读，是全日制学历"</f>
        <v>202109-202506郑州科技学院音乐舞蹈学院学前教育专业就读，是全日制学历</v>
      </c>
    </row>
    <row r="5333" spans="1:9">
      <c r="A5333" s="1" t="str">
        <f>"411323200112193818"</f>
        <v>411323200112193818</v>
      </c>
      <c r="B5333" s="1" t="str">
        <f t="shared" si="2626"/>
        <v>中共党员</v>
      </c>
      <c r="C5333" s="1" t="str">
        <f t="shared" si="2627"/>
        <v>专科</v>
      </c>
      <c r="D5333" s="1" t="str">
        <f>"20200701"</f>
        <v>20200701</v>
      </c>
      <c r="E5333" s="1" t="str">
        <f>"黄河水利职业技术学院"</f>
        <v>黄河水利职业技术学院</v>
      </c>
      <c r="F5333" s="1" t="str">
        <f>"港口航道与治河工程"</f>
        <v>港口航道与治河工程</v>
      </c>
      <c r="G5333" s="1" t="str">
        <f>"南阳市淅川县盐库岭春风社区"</f>
        <v>南阳市淅川县盐库岭春风社区</v>
      </c>
      <c r="H5333" s="1" t="str">
        <f>"CAD证书,普通话二级甲等"</f>
        <v>CAD证书,普通话二级甲等</v>
      </c>
      <c r="I5333" s="1" t="str">
        <f>"201709-202007  黄河水利职业技术学院  水利学院  港口航道与治河工程
 全日制学历"</f>
        <v>201709-202007  黄河水利职业技术学院  水利学院  港口航道与治河工程
 全日制学历</v>
      </c>
    </row>
    <row r="5334" spans="1:9">
      <c r="A5334" s="1" t="str">
        <f>"411327199812230026"</f>
        <v>411327199812230026</v>
      </c>
      <c r="B5334" s="1" t="str">
        <f t="shared" si="2630"/>
        <v>群众</v>
      </c>
      <c r="C5334" s="1" t="str">
        <f t="shared" ref="C5334:C5338" si="2631">"本科"</f>
        <v>本科</v>
      </c>
      <c r="D5334" s="1" t="str">
        <f>"2020.7"</f>
        <v>2020.7</v>
      </c>
      <c r="E5334" s="1" t="str">
        <f>"郑州科技学院"</f>
        <v>郑州科技学院</v>
      </c>
      <c r="F5334" s="1" t="str">
        <f>"动画"</f>
        <v>动画</v>
      </c>
      <c r="G5334" s="1" t="str">
        <f>"河南省南阳市内乡县三里桥李家营"</f>
        <v>河南省南阳市内乡县三里桥李家营</v>
      </c>
      <c r="H5334" s="1" t="str">
        <f t="shared" ref="H5334:H5341" si="2632">"无"</f>
        <v>无</v>
      </c>
      <c r="I5334" s="1" t="str">
        <f>"1996.09-2020.07：郑州科技学院，动画专业，全日制本科
2020.11-2021.01：内乡县恒泰有限公司，员工
2021.03-2023.09：牧原食品有限公司，员工
2023.09-至今：内乡县恒泰有限公司，员工  "</f>
        <v>1996.09-2020.07：郑州科技学院，动画专业，全日制本科
2020.11-2021.01：内乡县恒泰有限公司，员工
2021.03-2023.09：牧原食品有限公司，员工
2023.09-至今：内乡县恒泰有限公司，员工  </v>
      </c>
    </row>
    <row r="5335" spans="1:9">
      <c r="A5335" s="1" t="str">
        <f>"411325200311050062"</f>
        <v>411325200311050062</v>
      </c>
      <c r="B5335" s="1" t="str">
        <f t="shared" si="2630"/>
        <v>群众</v>
      </c>
      <c r="C5335" s="1" t="str">
        <f>"专科"</f>
        <v>专科</v>
      </c>
      <c r="D5335" s="1" t="str">
        <f>"20250615"</f>
        <v>20250615</v>
      </c>
      <c r="E5335" s="1" t="str">
        <f>"南阳农业职业学院"</f>
        <v>南阳农业职业学院</v>
      </c>
      <c r="F5335" s="1" t="str">
        <f>"婴幼儿托育服务与管理"</f>
        <v>婴幼儿托育服务与管理</v>
      </c>
      <c r="G5335" s="1" t="str">
        <f>"河南省南阳市内乡县城关镇"</f>
        <v>河南省南阳市内乡县城关镇</v>
      </c>
      <c r="H5335" s="1" t="str">
        <f t="shared" si="2632"/>
        <v>无</v>
      </c>
      <c r="I5335" s="1" t="str">
        <f>"202209-202506 南阳农业职业学院 就读
202501-202507 河南晟达电力工程有限公司"</f>
        <v>202209-202506 南阳农业职业学院 就读
202501-202507 河南晟达电力工程有限公司</v>
      </c>
    </row>
    <row r="5336" spans="1:9">
      <c r="A5336" s="1" t="str">
        <f>"412326199509106414"</f>
        <v>412326199509106414</v>
      </c>
      <c r="B5336" s="1" t="str">
        <f t="shared" si="2630"/>
        <v>群众</v>
      </c>
      <c r="C5336" s="1" t="str">
        <f t="shared" si="2631"/>
        <v>本科</v>
      </c>
      <c r="D5336" s="1" t="str">
        <f>"20190701"</f>
        <v>20190701</v>
      </c>
      <c r="E5336" s="1" t="str">
        <f>"安阳工学院"</f>
        <v>安阳工学院</v>
      </c>
      <c r="F5336" s="1" t="str">
        <f>"机械设计制造及其自动化（专升本）"</f>
        <v>机械设计制造及其自动化（专升本）</v>
      </c>
      <c r="G5336" s="1" t="str">
        <f>"河南省南阳市内乡县"</f>
        <v>河南省南阳市内乡县</v>
      </c>
      <c r="H5336" s="1" t="str">
        <f t="shared" si="2632"/>
        <v>无</v>
      </c>
      <c r="I5336" s="1" t="str">
        <f>"2014年9月-2017年7月 安阳工学院 机械工程学院 机电一体化专业
2017年9月-2019年7月 安阳工学院 机械工程学院 机械设计制造及自动化
2019.7-2021.10 浙江康旭科技有限公司
2021.10-2022.5方城牧原农牧有限公司
2022.5-2024.2武汉天喻教育科技有限公司
2024.3-2025.7南阳林吉特金属制品有限公司"</f>
        <v>2014年9月-2017年7月 安阳工学院 机械工程学院 机电一体化专业
2017年9月-2019年7月 安阳工学院 机械工程学院 机械设计制造及自动化
2019.7-2021.10 浙江康旭科技有限公司
2021.10-2022.5方城牧原农牧有限公司
2022.5-2024.2武汉天喻教育科技有限公司
2024.3-2025.7南阳林吉特金属制品有限公司</v>
      </c>
    </row>
    <row r="5337" spans="1:9">
      <c r="A5337" s="1" t="str">
        <f>"412825199212035716"</f>
        <v>412825199212035716</v>
      </c>
      <c r="B5337" s="1" t="str">
        <f t="shared" si="2630"/>
        <v>群众</v>
      </c>
      <c r="C5337" s="1" t="str">
        <f t="shared" si="2631"/>
        <v>本科</v>
      </c>
      <c r="D5337" s="1" t="str">
        <f>"20250701"</f>
        <v>20250701</v>
      </c>
      <c r="E5337" s="1" t="str">
        <f>"韩国清州大学"</f>
        <v>韩国清州大学</v>
      </c>
      <c r="F5337" s="1" t="str">
        <f>"人工智能软件学"</f>
        <v>人工智能软件学</v>
      </c>
      <c r="G5337" s="1" t="str">
        <f>"河南省驻马店市上蔡县新生路"</f>
        <v>河南省驻马店市上蔡县新生路</v>
      </c>
      <c r="H5337" s="1" t="str">
        <f t="shared" si="2632"/>
        <v>无</v>
      </c>
      <c r="I5337" s="1" t="str">
        <f>"201609-201907景德镇学院，计算机应用技术专业，大专。
201909-202309 上蔡县公安局反诈中心，辅警。
202309-2302409 在家待业。
202409-202507 韩国清州大学，人工智能软件专业，本科。"</f>
        <v>201609-201907景德镇学院，计算机应用技术专业，大专。
201909-202309 上蔡县公安局反诈中心，辅警。
202309-2302409 在家待业。
202409-202507 韩国清州大学，人工智能软件专业，本科。</v>
      </c>
    </row>
    <row r="5338" spans="1:9">
      <c r="A5338" s="1" t="str">
        <f>"411324200204065537"</f>
        <v>411324200204065537</v>
      </c>
      <c r="B5338" s="1" t="str">
        <f>"中共党员"</f>
        <v>中共党员</v>
      </c>
      <c r="C5338" s="1" t="str">
        <f t="shared" si="2631"/>
        <v>本科</v>
      </c>
      <c r="D5338" s="1" t="str">
        <f>"20250610"</f>
        <v>20250610</v>
      </c>
      <c r="E5338" s="1" t="str">
        <f>"河南牧业经济学院"</f>
        <v>河南牧业经济学院</v>
      </c>
      <c r="F5338" s="1" t="str">
        <f>"智慧牧业科学与工程"</f>
        <v>智慧牧业科学与工程</v>
      </c>
      <c r="G5338" s="1" t="str">
        <f>"河南省南阳市镇平县彭营乡司营村"</f>
        <v>河南省南阳市镇平县彭营乡司营村</v>
      </c>
      <c r="H5338" s="1" t="str">
        <f t="shared" si="2632"/>
        <v>无</v>
      </c>
      <c r="I5338" s="1" t="str">
        <f>"202109-202506 河南牧业经济学院 信息工程学院（软件学院）智慧牧业科学与工程专业 就读 全日制学历"</f>
        <v>202109-202506 河南牧业经济学院 信息工程学院（软件学院）智慧牧业科学与工程专业 就读 全日制学历</v>
      </c>
    </row>
    <row r="5339" spans="1:9">
      <c r="A5339" s="1" t="str">
        <f>"411327200303050014"</f>
        <v>411327200303050014</v>
      </c>
      <c r="B5339" s="1" t="str">
        <f t="shared" ref="B5339:B5346" si="2633">"群众"</f>
        <v>群众</v>
      </c>
      <c r="C5339" s="1" t="str">
        <f>"专科"</f>
        <v>专科</v>
      </c>
      <c r="D5339" s="1" t="str">
        <f>"20240712"</f>
        <v>20240712</v>
      </c>
      <c r="E5339" s="1" t="str">
        <f>"宿迁职业技术学院"</f>
        <v>宿迁职业技术学院</v>
      </c>
      <c r="F5339" s="1" t="str">
        <f>"动漫制作技术"</f>
        <v>动漫制作技术</v>
      </c>
      <c r="G5339" s="1" t="str">
        <f>"河南省南阳市内乡县城关镇南园村"</f>
        <v>河南省南阳市内乡县城关镇南园村</v>
      </c>
      <c r="H5339" s="1" t="str">
        <f t="shared" si="2632"/>
        <v>无</v>
      </c>
      <c r="I5339" s="1" t="str">
        <f>"202109-202407在宿迁职业技术学院动漫制作技术专业就读，是全日制学历，
202407-202508在河南省南阳市内乡县待业
"</f>
        <v>202109-202407在宿迁职业技术学院动漫制作技术专业就读，是全日制学历，
202407-202508在河南省南阳市内乡县待业
</v>
      </c>
    </row>
    <row r="5340" spans="1:9">
      <c r="A5340" s="1" t="str">
        <f>"411330199901261527"</f>
        <v>411330199901261527</v>
      </c>
      <c r="B5340" s="1" t="str">
        <f>"中共党员"</f>
        <v>中共党员</v>
      </c>
      <c r="C5340" s="1" t="str">
        <f>"硕士研究生"</f>
        <v>硕士研究生</v>
      </c>
      <c r="D5340" s="1" t="str">
        <f>"20221214"</f>
        <v>20221214</v>
      </c>
      <c r="E5340" s="1" t="str">
        <f>"澳大利亚国立大学"</f>
        <v>澳大利亚国立大学</v>
      </c>
      <c r="F5340" s="1" t="str">
        <f>"金融"</f>
        <v>金融</v>
      </c>
      <c r="G5340" s="1" t="str">
        <f>"河南省南阳市西峡县人民路创业家园西四号"</f>
        <v>河南省南阳市西峡县人民路创业家园西四号</v>
      </c>
      <c r="H5340" s="1" t="str">
        <f t="shared" si="2632"/>
        <v>无</v>
      </c>
      <c r="I5340" s="1" t="str">
        <f>"201608-201912 纽约州立大学宾汉姆顿分校就读金融专业，全日制；
202001-202101 在西峡县劲派集团实习；
202102-202212 在澳大利亚国立大学就读应用金融专业，全日制；
202301-202307 在西峡县待业；
202308-202407 在蜜雪冰城集团工作；
202408至今 在西峡县劲派集团工作。"</f>
        <v>201608-201912 纽约州立大学宾汉姆顿分校就读金融专业，全日制；
202001-202101 在西峡县劲派集团实习；
202102-202212 在澳大利亚国立大学就读应用金融专业，全日制；
202301-202307 在西峡县待业；
202308-202407 在蜜雪冰城集团工作；
202408至今 在西峡县劲派集团工作。</v>
      </c>
    </row>
    <row r="5341" spans="1:9">
      <c r="A5341" s="1" t="str">
        <f>"411327200203103713"</f>
        <v>411327200203103713</v>
      </c>
      <c r="B5341" s="1" t="str">
        <f t="shared" si="2633"/>
        <v>群众</v>
      </c>
      <c r="C5341" s="1" t="str">
        <f t="shared" ref="C5341:C5343" si="2634">"本科"</f>
        <v>本科</v>
      </c>
      <c r="D5341" s="1" t="str">
        <f>"20250607"</f>
        <v>20250607</v>
      </c>
      <c r="E5341" s="1" t="str">
        <f>"南阳师范学院"</f>
        <v>南阳师范学院</v>
      </c>
      <c r="F5341" s="1" t="str">
        <f>"化学"</f>
        <v>化学</v>
      </c>
      <c r="G5341" s="1" t="str">
        <f>"河南省南阳市内乡县乍曲路口"</f>
        <v>河南省南阳市内乡县乍曲路口</v>
      </c>
      <c r="H5341" s="1" t="str">
        <f t="shared" si="2632"/>
        <v>无</v>
      </c>
      <c r="I5341" s="1" t="str">
        <f>"202109-202506 南阳师范学院 就读"</f>
        <v>202109-202506 南阳师范学院 就读</v>
      </c>
    </row>
    <row r="5342" spans="1:9">
      <c r="A5342" s="1" t="str">
        <f>"411327199604101166"</f>
        <v>411327199604101166</v>
      </c>
      <c r="B5342" s="1" t="str">
        <f t="shared" si="2633"/>
        <v>群众</v>
      </c>
      <c r="C5342" s="1" t="str">
        <f t="shared" si="2634"/>
        <v>本科</v>
      </c>
      <c r="D5342" s="1" t="str">
        <f>"20190701"</f>
        <v>20190701</v>
      </c>
      <c r="E5342" s="1" t="str">
        <f>"河南师范大学新联学院"</f>
        <v>河南师范大学新联学院</v>
      </c>
      <c r="F5342" s="1" t="str">
        <f>"财务管理（财务会计方向）"</f>
        <v>财务管理（财务会计方向）</v>
      </c>
      <c r="G5342" s="1" t="str">
        <f>"河南省南阳市内乡县湍东镇东福小区南栋西头501"</f>
        <v>河南省南阳市内乡县湍东镇东福小区南栋西头501</v>
      </c>
      <c r="H5342" s="1" t="str">
        <f>"初级会计专业技术资格证书"</f>
        <v>初级会计专业技术资格证书</v>
      </c>
      <c r="I5342" s="1" t="str">
        <f>"201509-201907 河南师范大学新联学院管理学院财务管理（财务会计方向）就读，全日制学历
201908-202003 南阳东森药业工作
202004-202108 内乡县家中待业
202109-202401  内乡菊潭学校工作
202402-至今  内乡县家中待业"</f>
        <v>201509-201907 河南师范大学新联学院管理学院财务管理（财务会计方向）就读，全日制学历
201908-202003 南阳东森药业工作
202004-202108 内乡县家中待业
202109-202401  内乡菊潭学校工作
202402-至今  内乡县家中待业</v>
      </c>
    </row>
    <row r="5343" spans="1:9">
      <c r="A5343" s="1" t="str">
        <f>"412721200303064226"</f>
        <v>412721200303064226</v>
      </c>
      <c r="B5343" s="1" t="str">
        <f t="shared" si="2633"/>
        <v>群众</v>
      </c>
      <c r="C5343" s="1" t="str">
        <f t="shared" si="2634"/>
        <v>本科</v>
      </c>
      <c r="D5343" s="1" t="str">
        <f>"20230701"</f>
        <v>20230701</v>
      </c>
      <c r="E5343" s="1" t="str">
        <f>"河南牧业经济学院"</f>
        <v>河南牧业经济学院</v>
      </c>
      <c r="F5343" s="1" t="str">
        <f>"会计学"</f>
        <v>会计学</v>
      </c>
      <c r="G5343" s="1" t="str">
        <f>"河南省周口市扶沟县江村镇马寺岗村"</f>
        <v>河南省周口市扶沟县江村镇马寺岗村</v>
      </c>
      <c r="H5343" s="1" t="str">
        <f>"初级会计证"</f>
        <v>初级会计证</v>
      </c>
      <c r="I5343" s="1" t="str">
        <f>"201909-202307河南牧业经济学院金融与会计学院会计学专业就读全日制"</f>
        <v>201909-202307河南牧业经济学院金融与会计学院会计学专业就读全日制</v>
      </c>
    </row>
    <row r="5344" spans="1:9">
      <c r="A5344" s="1" t="str">
        <f>"411324200302150532"</f>
        <v>411324200302150532</v>
      </c>
      <c r="B5344" s="1" t="str">
        <f t="shared" si="2633"/>
        <v>群众</v>
      </c>
      <c r="C5344" s="1" t="str">
        <f>"专科"</f>
        <v>专科</v>
      </c>
      <c r="D5344" s="1" t="str">
        <f>"20250701"</f>
        <v>20250701</v>
      </c>
      <c r="E5344" s="1" t="str">
        <f>"汉中职业技术学院"</f>
        <v>汉中职业技术学院</v>
      </c>
      <c r="F5344" s="1" t="str">
        <f>"口腔医学"</f>
        <v>口腔医学</v>
      </c>
      <c r="G5344" s="1" t="str">
        <f>"镇平县平安大道腾达花园"</f>
        <v>镇平县平安大道腾达花园</v>
      </c>
      <c r="H5344" s="1" t="str">
        <f t="shared" ref="H5344:H5351" si="2635">"无"</f>
        <v>无</v>
      </c>
      <c r="I5344" s="1" t="str">
        <f>"202209-202507汉中职业技术学院临床医学院口腔医学全日制 就读。"</f>
        <v>202209-202507汉中职业技术学院临床医学院口腔医学全日制 就读。</v>
      </c>
    </row>
    <row r="5345" spans="1:9">
      <c r="A5345" s="1" t="str">
        <f>"411324199809184576"</f>
        <v>411324199809184576</v>
      </c>
      <c r="B5345" s="1" t="str">
        <f t="shared" si="2633"/>
        <v>群众</v>
      </c>
      <c r="C5345" s="1" t="str">
        <f t="shared" ref="C5345:C5347" si="2636">"本科"</f>
        <v>本科</v>
      </c>
      <c r="D5345" s="1" t="str">
        <f t="shared" ref="D5345:D5349" si="2637">"20220701"</f>
        <v>20220701</v>
      </c>
      <c r="E5345" s="1" t="str">
        <f>"郑州工程技术学院"</f>
        <v>郑州工程技术学院</v>
      </c>
      <c r="F5345" s="1" t="str">
        <f>"物流工程"</f>
        <v>物流工程</v>
      </c>
      <c r="G5345" s="1" t="str">
        <f>"河南省南阳市镇平县杨营镇李邦相乡"</f>
        <v>河南省南阳市镇平县杨营镇李邦相乡</v>
      </c>
      <c r="H5345" s="1" t="str">
        <f t="shared" si="2635"/>
        <v>无</v>
      </c>
      <c r="I5345" s="1" t="str">
        <f>"201809-202207 郑州工程技术学院 经济贸易学院 物流工程 就读 全日制学历"</f>
        <v>201809-202207 郑州工程技术学院 经济贸易学院 物流工程 就读 全日制学历</v>
      </c>
    </row>
    <row r="5346" spans="1:9">
      <c r="A5346" s="1" t="str">
        <f>"411323200001160052"</f>
        <v>411323200001160052</v>
      </c>
      <c r="B5346" s="1" t="str">
        <f t="shared" si="2633"/>
        <v>群众</v>
      </c>
      <c r="C5346" s="1" t="str">
        <f t="shared" si="2636"/>
        <v>本科</v>
      </c>
      <c r="D5346" s="1" t="str">
        <f t="shared" si="2637"/>
        <v>20220701</v>
      </c>
      <c r="E5346" s="1" t="str">
        <f>"河南科技学院"</f>
        <v>河南科技学院</v>
      </c>
      <c r="F5346" s="1" t="str">
        <f>"电气工程及其自动化"</f>
        <v>电气工程及其自动化</v>
      </c>
      <c r="G5346" s="1" t="str">
        <f>"河南省南阳市淅川县上集镇南阳路鸿运小区对面"</f>
        <v>河南省南阳市淅川县上集镇南阳路鸿运小区对面</v>
      </c>
      <c r="H5346" s="1" t="str">
        <f t="shared" si="2635"/>
        <v>无</v>
      </c>
      <c r="I5346" s="1" t="str">
        <f>"201809-202206 在河南科技学院机电学院电气工程及其自动化专业就读 是全日制本科学历；
202206-至今 在河南省南阳市淅川县待业"</f>
        <v>201809-202206 在河南科技学院机电学院电气工程及其自动化专业就读 是全日制本科学历；
202206-至今 在河南省南阳市淅川县待业</v>
      </c>
    </row>
    <row r="5347" spans="1:9">
      <c r="A5347" s="1" t="str">
        <f>"411330200012283422"</f>
        <v>411330200012283422</v>
      </c>
      <c r="B5347" s="1" t="str">
        <f>"中共党员"</f>
        <v>中共党员</v>
      </c>
      <c r="C5347" s="1" t="str">
        <f t="shared" si="2636"/>
        <v>本科</v>
      </c>
      <c r="D5347" s="1" t="str">
        <f>"2024.07"</f>
        <v>2024.07</v>
      </c>
      <c r="E5347" s="1" t="str">
        <f>"郑州科技学院"</f>
        <v>郑州科技学院</v>
      </c>
      <c r="F5347" s="1" t="str">
        <f>"学前教育"</f>
        <v>学前教育</v>
      </c>
      <c r="G5347" s="1" t="str">
        <f>"河南省西峡县西坪镇峡河村四组202号"</f>
        <v>河南省西峡县西坪镇峡河村四组202号</v>
      </c>
      <c r="H5347" s="1" t="str">
        <f t="shared" si="2635"/>
        <v>无</v>
      </c>
      <c r="I5347" s="1" t="str">
        <f>"2019.09-2022.07  焦作师范高等专科学院就读全日制
2022.09-2024.07  郑州科技学院就读全日制
"</f>
        <v>2019.09-2022.07  焦作师范高等专科学院就读全日制
2022.09-2024.07  郑州科技学院就读全日制
</v>
      </c>
    </row>
    <row r="5348" spans="1:9">
      <c r="A5348" s="1" t="str">
        <f>"410423199911146654"</f>
        <v>410423199911146654</v>
      </c>
      <c r="B5348" s="1" t="str">
        <f t="shared" ref="B5348:B5353" si="2638">"群众"</f>
        <v>群众</v>
      </c>
      <c r="C5348" s="1" t="str">
        <f t="shared" ref="C5348:C5353" si="2639">"专科"</f>
        <v>专科</v>
      </c>
      <c r="D5348" s="1" t="str">
        <f>"20210701"</f>
        <v>20210701</v>
      </c>
      <c r="E5348" s="1" t="str">
        <f>"河南工业和信息化职业学院"</f>
        <v>河南工业和信息化职业学院</v>
      </c>
      <c r="F5348" s="1" t="str">
        <f>"动漫制作技术"</f>
        <v>动漫制作技术</v>
      </c>
      <c r="G5348" s="1" t="str">
        <f>"河南省鲁山县"</f>
        <v>河南省鲁山县</v>
      </c>
      <c r="H5348" s="1" t="str">
        <f t="shared" si="2635"/>
        <v>无</v>
      </c>
      <c r="I5348" s="1" t="str">
        <f>"2018年9月1日至2021年7月1日在河南工业和信息化职业学院动漫制作技术专业就读，是全日制学历"</f>
        <v>2018年9月1日至2021年7月1日在河南工业和信息化职业学院动漫制作技术专业就读，是全日制学历</v>
      </c>
    </row>
    <row r="5349" spans="1:9">
      <c r="A5349" s="1" t="str">
        <f>"411330200007142019"</f>
        <v>411330200007142019</v>
      </c>
      <c r="B5349" s="1" t="str">
        <f>"共青团员"</f>
        <v>共青团员</v>
      </c>
      <c r="C5349" s="1" t="str">
        <f t="shared" ref="C5349:C5356" si="2640">"本科"</f>
        <v>本科</v>
      </c>
      <c r="D5349" s="1" t="str">
        <f t="shared" si="2637"/>
        <v>20220701</v>
      </c>
      <c r="E5349" s="1" t="str">
        <f>"郑州升到经贸管理学院"</f>
        <v>郑州升到经贸管理学院</v>
      </c>
      <c r="F5349" s="1" t="str">
        <f>"市场营销学"</f>
        <v>市场营销学</v>
      </c>
      <c r="G5349" s="1" t="str">
        <f>"河南省南阳市西峡县白羽路100号"</f>
        <v>河南省南阳市西峡县白羽路100号</v>
      </c>
      <c r="H5349" s="1" t="str">
        <f t="shared" si="2635"/>
        <v>无</v>
      </c>
      <c r="I5349" s="1" t="str">
        <f>"201809-202207 郑州升达经贸管理学院 就读  全日制  商学院市场营销专业  上海融超微电子科技有限公司	2022/2-2022.7  长江期货股份有限公司上海张杨路营业部	2022/8-2023.6"</f>
        <v>201809-202207 郑州升达经贸管理学院 就读  全日制  商学院市场营销专业  上海融超微电子科技有限公司	2022/2-2022.7  长江期货股份有限公司上海张杨路营业部	2022/8-2023.6</v>
      </c>
    </row>
    <row r="5350" spans="1:9">
      <c r="A5350" s="1" t="str">
        <f>"411327199904271124"</f>
        <v>411327199904271124</v>
      </c>
      <c r="B5350" s="1" t="str">
        <f t="shared" si="2638"/>
        <v>群众</v>
      </c>
      <c r="C5350" s="1" t="str">
        <f t="shared" si="2640"/>
        <v>本科</v>
      </c>
      <c r="D5350" s="1" t="str">
        <f>"20210701"</f>
        <v>20210701</v>
      </c>
      <c r="E5350" s="1" t="str">
        <f>"黄河科技学院"</f>
        <v>黄河科技学院</v>
      </c>
      <c r="F5350" s="1" t="str">
        <f>"计算机科学与技术"</f>
        <v>计算机科学与技术</v>
      </c>
      <c r="G5350" s="1" t="str">
        <f>"河南省南阳市内乡县赤眉镇黄岗村卢洼"</f>
        <v>河南省南阳市内乡县赤眉镇黄岗村卢洼</v>
      </c>
      <c r="H5350" s="1" t="str">
        <f t="shared" si="2635"/>
        <v>无</v>
      </c>
      <c r="I5350" s="1" t="str">
        <f>"201609-201907洛阳理工学院，计算机系，计算机应用技术专业就读，全日制专科
201909-202107黄河科技学院，工学部，计算机科学与技术专业（专升本）就读，全日制本科
202107-202110在家待业
202110至今内乡郦都学校"</f>
        <v>201609-201907洛阳理工学院，计算机系，计算机应用技术专业就读，全日制专科
201909-202107黄河科技学院，工学部，计算机科学与技术专业（专升本）就读，全日制本科
202107-202110在家待业
202110至今内乡郦都学校</v>
      </c>
    </row>
    <row r="5351" ht="121.5" spans="1:9">
      <c r="A5351" s="1" t="str">
        <f>"411327199204040018"</f>
        <v>411327199204040018</v>
      </c>
      <c r="B5351" s="1" t="str">
        <f t="shared" si="2638"/>
        <v>群众</v>
      </c>
      <c r="C5351" s="1" t="str">
        <f t="shared" si="2639"/>
        <v>专科</v>
      </c>
      <c r="D5351" s="1" t="str">
        <f>"20140701"</f>
        <v>20140701</v>
      </c>
      <c r="E5351" s="1" t="str">
        <f>"漯河职业技术学院"</f>
        <v>漯河职业技术学院</v>
      </c>
      <c r="F5351" s="1" t="str">
        <f>"市场营销"</f>
        <v>市场营销</v>
      </c>
      <c r="G5351" s="1" t="str">
        <f>"河南省内乡县五里堡村"</f>
        <v>河南省内乡县五里堡村</v>
      </c>
      <c r="H5351" s="1" t="str">
        <f t="shared" si="2635"/>
        <v>无</v>
      </c>
      <c r="I5351" s="3" t="s">
        <v>292</v>
      </c>
    </row>
    <row r="5352" spans="1:9">
      <c r="A5352" s="1" t="str">
        <f>"411330200007262029"</f>
        <v>411330200007262029</v>
      </c>
      <c r="B5352" s="1" t="str">
        <f t="shared" si="2638"/>
        <v>群众</v>
      </c>
      <c r="C5352" s="1" t="str">
        <f t="shared" si="2639"/>
        <v>专科</v>
      </c>
      <c r="D5352" s="1" t="str">
        <f>"2021.7"</f>
        <v>2021.7</v>
      </c>
      <c r="E5352" s="1" t="str">
        <f>"安阳幼儿师范高等专科学校"</f>
        <v>安阳幼儿师范高等专科学校</v>
      </c>
      <c r="F5352" s="1" t="str">
        <f>"汉语言文学专业"</f>
        <v>汉语言文学专业</v>
      </c>
      <c r="G5352" s="1" t="str">
        <f>"河南省南阳市西峡县五里桥镇前仓西"</f>
        <v>河南省南阳市西峡县五里桥镇前仓西</v>
      </c>
      <c r="H5352" s="1" t="str">
        <f>"小学教师资格证"</f>
        <v>小学教师资格证</v>
      </c>
      <c r="I5352" s="1" t="str">
        <f>"2018.9-2021.7在安阳幼儿师范高等专科学校上学
2021.7-至今在家待业"</f>
        <v>2018.9-2021.7在安阳幼儿师范高等专科学校上学
2021.7-至今在家待业</v>
      </c>
    </row>
    <row r="5353" spans="1:9">
      <c r="A5353" s="1" t="str">
        <f>"411327199008082034"</f>
        <v>411327199008082034</v>
      </c>
      <c r="B5353" s="1" t="str">
        <f t="shared" si="2638"/>
        <v>群众</v>
      </c>
      <c r="C5353" s="1" t="str">
        <f t="shared" si="2639"/>
        <v>专科</v>
      </c>
      <c r="D5353" s="1" t="str">
        <f>"20140701"</f>
        <v>20140701</v>
      </c>
      <c r="E5353" s="1" t="str">
        <f>"河南建筑职业技术学院"</f>
        <v>河南建筑职业技术学院</v>
      </c>
      <c r="F5353" s="1" t="str">
        <f>"建筑工程技术"</f>
        <v>建筑工程技术</v>
      </c>
      <c r="G5353" s="1" t="str">
        <f>"河南省南阳市内乡县城关镇民主社区"</f>
        <v>河南省南阳市内乡县城关镇民主社区</v>
      </c>
      <c r="H5353" s="1" t="str">
        <f>"二级建造师、中级工程师"</f>
        <v>二级建造师、中级工程师</v>
      </c>
      <c r="I5353" s="1" t="str">
        <f>"201109-201407在河南建筑职业技术土木工程系建筑工程技术专业就读，全日制学历
201407-202106在南阳人峰建筑设计有限公司就职
202107-202403在河南永明建筑工程有限公司就职
202404-202503在河南禄业建筑公司有限公司就职
202504至今在南阳智之星建设工程有限公司就职"</f>
        <v>201109-201407在河南建筑职业技术土木工程系建筑工程技术专业就读，全日制学历
201407-202106在南阳人峰建筑设计有限公司就职
202107-202403在河南永明建筑工程有限公司就职
202404-202503在河南禄业建筑公司有限公司就职
202504至今在南阳智之星建设工程有限公司就职</v>
      </c>
    </row>
    <row r="5354" spans="1:9">
      <c r="A5354" s="1" t="str">
        <f>"41132719971026492X"</f>
        <v>41132719971026492X</v>
      </c>
      <c r="B5354" s="1" t="str">
        <f t="shared" ref="B5354:B5357" si="2641">"共青团员"</f>
        <v>共青团员</v>
      </c>
      <c r="C5354" s="1" t="str">
        <f t="shared" si="2640"/>
        <v>本科</v>
      </c>
      <c r="D5354" s="1" t="str">
        <f>"2023-07-01"</f>
        <v>2023-07-01</v>
      </c>
      <c r="E5354" s="1" t="str">
        <f>"河南工程学院"</f>
        <v>河南工程学院</v>
      </c>
      <c r="F5354" s="1" t="str">
        <f>"会计学"</f>
        <v>会计学</v>
      </c>
      <c r="G5354" s="1" t="str">
        <f>"河南省南阳市内乡县灌涨镇杨洼村张洼九组27号"</f>
        <v>河南省南阳市内乡县灌涨镇杨洼村张洼九组27号</v>
      </c>
      <c r="H5354" s="1" t="str">
        <f>"初级会计证书"</f>
        <v>初级会计证书</v>
      </c>
      <c r="I5354" s="1" t="str">
        <f>"201809-202106  在河南职业技术学院，商学院会计学院就读，是全日制学历
202109-202306   在河南工程学院，会计学院会计学专业就读，是全日制学历"</f>
        <v>201809-202106  在河南职业技术学院，商学院会计学院就读，是全日制学历
202109-202306   在河南工程学院，会计学院会计学专业就读，是全日制学历</v>
      </c>
    </row>
    <row r="5355" spans="1:9">
      <c r="A5355" s="1" t="str">
        <f>"411330199808081548"</f>
        <v>411330199808081548</v>
      </c>
      <c r="B5355" s="1" t="str">
        <f t="shared" si="2641"/>
        <v>共青团员</v>
      </c>
      <c r="C5355" s="1" t="str">
        <f t="shared" si="2640"/>
        <v>本科</v>
      </c>
      <c r="D5355" s="1" t="str">
        <f>"2022.07"</f>
        <v>2022.07</v>
      </c>
      <c r="E5355" s="1" t="str">
        <f>"郑州工业应用技术学院"</f>
        <v>郑州工业应用技术学院</v>
      </c>
      <c r="F5355" s="1" t="str">
        <f>"财务管理"</f>
        <v>财务管理</v>
      </c>
      <c r="G5355" s="1" t="str">
        <f>"河南省南阳市西峡县白羽路社会保险局旁平安小区后居民区"</f>
        <v>河南省南阳市西峡县白羽路社会保险局旁平安小区后居民区</v>
      </c>
      <c r="H5355" s="1" t="str">
        <f t="shared" ref="H5355:H5364" si="2642">"无"</f>
        <v>无</v>
      </c>
      <c r="I5355" s="1" t="str">
        <f>"201709-202007新乡学院商学院会计专业就读，是全日制学历；202009-202207郑州工业应用技术学院商学院财务管理专业就读，是全日制学历；202207-202402待业；202403-202404就职河南省恒晏房地产开发有限公司；202405-202507就职河南天偌房地产开发有限公司"</f>
        <v>201709-202007新乡学院商学院会计专业就读，是全日制学历；202009-202207郑州工业应用技术学院商学院财务管理专业就读，是全日制学历；202207-202402待业；202403-202404就职河南省恒晏房地产开发有限公司；202405-202507就职河南天偌房地产开发有限公司</v>
      </c>
    </row>
    <row r="5356" spans="1:9">
      <c r="A5356" s="1" t="str">
        <f>"411327199704063937"</f>
        <v>411327199704063937</v>
      </c>
      <c r="B5356" s="1" t="str">
        <f>"中共党员"</f>
        <v>中共党员</v>
      </c>
      <c r="C5356" s="1" t="str">
        <f t="shared" si="2640"/>
        <v>本科</v>
      </c>
      <c r="D5356" s="1" t="str">
        <f>"20240701"</f>
        <v>20240701</v>
      </c>
      <c r="E5356" s="1" t="str">
        <f>"河南财经政法大学"</f>
        <v>河南财经政法大学</v>
      </c>
      <c r="F5356" s="1" t="str">
        <f>"法学"</f>
        <v>法学</v>
      </c>
      <c r="G5356" s="1" t="str">
        <f>"河南省南阳市内乡县湍东镇五里堡楸抱槐"</f>
        <v>河南省南阳市内乡县湍东镇五里堡楸抱槐</v>
      </c>
      <c r="H5356" s="1" t="str">
        <f t="shared" si="2642"/>
        <v>无</v>
      </c>
      <c r="I5356" s="1" t="str">
        <f>"201609-201907 河南林业职业学院生态工程与旅游系食品生物技术专业就读  全日制学历
201909-202109 武警
202109-202406 内乡县待业（202203-202407 河南财经政法大学法学专业就读   非全日制学历）
202407-202411 内乡县瑞鑫劳务派遣
202412-至今 西簧乡人民政府
"</f>
        <v>201609-201907 河南林业职业学院生态工程与旅游系食品生物技术专业就读  全日制学历
201909-202109 武警
202109-202406 内乡县待业（202203-202407 河南财经政法大学法学专业就读   非全日制学历）
202407-202411 内乡县瑞鑫劳务派遣
202412-至今 西簧乡人民政府
</v>
      </c>
    </row>
    <row r="5357" spans="1:9">
      <c r="A5357" s="1" t="str">
        <f>"411381200203273921"</f>
        <v>411381200203273921</v>
      </c>
      <c r="B5357" s="1" t="str">
        <f t="shared" si="2641"/>
        <v>共青团员</v>
      </c>
      <c r="C5357" s="1" t="str">
        <f>"专科"</f>
        <v>专科</v>
      </c>
      <c r="D5357" s="1" t="str">
        <f>"20230710"</f>
        <v>20230710</v>
      </c>
      <c r="E5357" s="1" t="str">
        <f>"郑州幼儿师范高等专科学校"</f>
        <v>郑州幼儿师范高等专科学校</v>
      </c>
      <c r="F5357" s="1" t="str">
        <f>"学前教育"</f>
        <v>学前教育</v>
      </c>
      <c r="G5357" s="1" t="str">
        <f>"河南省南阳市内乡县宛西中专对面医药公司二十七店"</f>
        <v>河南省南阳市内乡县宛西中专对面医药公司二十七店</v>
      </c>
      <c r="H5357" s="1" t="str">
        <f t="shared" si="2642"/>
        <v>无</v>
      </c>
      <c r="I5357" s="1" t="str">
        <f>"2020.09-2023.07 在郑州幼儿师范高等专科学校学前教育专业就读，属于全日制
2023.09-2024.06在内乡县第二小学实习代课
2024.9-2025.02内乡县复兴学校担任教师
2025.03-至今待业"</f>
        <v>2020.09-2023.07 在郑州幼儿师范高等专科学校学前教育专业就读，属于全日制
2023.09-2024.06在内乡县第二小学实习代课
2024.9-2025.02内乡县复兴学校担任教师
2025.03-至今待业</v>
      </c>
    </row>
    <row r="5358" spans="1:9">
      <c r="A5358" s="1" t="str">
        <f>"411325199002029037"</f>
        <v>411325199002029037</v>
      </c>
      <c r="B5358" s="1" t="str">
        <f>"中共党员"</f>
        <v>中共党员</v>
      </c>
      <c r="C5358" s="1" t="str">
        <f t="shared" ref="C5358:C5360" si="2643">"本科"</f>
        <v>本科</v>
      </c>
      <c r="D5358" s="1" t="str">
        <f>"20120701"</f>
        <v>20120701</v>
      </c>
      <c r="E5358" s="1" t="str">
        <f>"黑龙江科技学院"</f>
        <v>黑龙江科技学院</v>
      </c>
      <c r="F5358" s="1" t="str">
        <f>"电子信息工程"</f>
        <v>电子信息工程</v>
      </c>
      <c r="G5358" s="1" t="str">
        <f>"河南省南阳市宛城区五里堡街道黄河社区国土资源局家属院"</f>
        <v>河南省南阳市宛城区五里堡街道黄河社区国土资源局家属院</v>
      </c>
      <c r="H5358" s="1" t="str">
        <f t="shared" si="2642"/>
        <v>无</v>
      </c>
      <c r="I5358" s="1" t="str">
        <f>"200809-201207 黑龙江科技学院电气与信息工程学院电子信息工程专业
201208-201605 河南洁达环保投资有限公司
201606-202212 南阳市奇丰机械有限责任公司
202301-202507 宛城区五里堡街道办事处"</f>
        <v>200809-201207 黑龙江科技学院电气与信息工程学院电子信息工程专业
201208-201605 河南洁达环保投资有限公司
201606-202212 南阳市奇丰机械有限责任公司
202301-202507 宛城区五里堡街道办事处</v>
      </c>
    </row>
    <row r="5359" spans="1:9">
      <c r="A5359" s="1" t="str">
        <f>"410881200303188528"</f>
        <v>410881200303188528</v>
      </c>
      <c r="B5359" s="1" t="str">
        <f t="shared" ref="B5359:B5361" si="2644">"群众"</f>
        <v>群众</v>
      </c>
      <c r="C5359" s="1" t="str">
        <f t="shared" si="2643"/>
        <v>本科</v>
      </c>
      <c r="D5359" s="1" t="str">
        <f>"202607"</f>
        <v>202607</v>
      </c>
      <c r="E5359" s="1" t="str">
        <f>"长春财经学院"</f>
        <v>长春财经学院</v>
      </c>
      <c r="F5359" s="1" t="str">
        <f>"金融学"</f>
        <v>金融学</v>
      </c>
      <c r="G5359" s="1" t="str">
        <f>"河南省济源市"</f>
        <v>河南省济源市</v>
      </c>
      <c r="H5359" s="1" t="str">
        <f t="shared" si="2642"/>
        <v>无</v>
      </c>
      <c r="I5359" s="1" t="str">
        <f>"202209-202606长春财经学院金融学就读"</f>
        <v>202209-202606长春财经学院金融学就读</v>
      </c>
    </row>
    <row r="5360" spans="1:9">
      <c r="A5360" s="1" t="str">
        <f>"411327200210084223"</f>
        <v>411327200210084223</v>
      </c>
      <c r="B5360" s="1" t="str">
        <f t="shared" si="2644"/>
        <v>群众</v>
      </c>
      <c r="C5360" s="1" t="str">
        <f t="shared" si="2643"/>
        <v>本科</v>
      </c>
      <c r="D5360" s="1" t="str">
        <f>"20250630"</f>
        <v>20250630</v>
      </c>
      <c r="E5360" s="1" t="str">
        <f>"新乡学院"</f>
        <v>新乡学院</v>
      </c>
      <c r="F5360" s="1" t="str">
        <f>"汉语言文学"</f>
        <v>汉语言文学</v>
      </c>
      <c r="G5360" s="1" t="str">
        <f>"河南省南阳市内乡县余关镇报事滩村"</f>
        <v>河南省南阳市内乡县余关镇报事滩村</v>
      </c>
      <c r="H5360" s="1" t="str">
        <f t="shared" si="2642"/>
        <v>无</v>
      </c>
      <c r="I5360" s="1" t="str">
        <f>"202009-202306 商丘学院人文学院语文教育(师范）专业就读
202309-202506 新乡学院人文学院汉语言文学专业就读"</f>
        <v>202009-202306 商丘学院人文学院语文教育(师范）专业就读
202309-202506 新乡学院人文学院汉语言文学专业就读</v>
      </c>
    </row>
    <row r="5361" spans="1:9">
      <c r="A5361" s="1" t="str">
        <f>"411325199910080655"</f>
        <v>411325199910080655</v>
      </c>
      <c r="B5361" s="1" t="str">
        <f t="shared" si="2644"/>
        <v>群众</v>
      </c>
      <c r="C5361" s="1" t="str">
        <f>"专科"</f>
        <v>专科</v>
      </c>
      <c r="D5361" s="1" t="str">
        <f>"20210701"</f>
        <v>20210701</v>
      </c>
      <c r="E5361" s="1" t="str">
        <f>"河南经贸职业学院"</f>
        <v>河南经贸职业学院</v>
      </c>
      <c r="F5361" s="1" t="str">
        <f>"计算机应用技术"</f>
        <v>计算机应用技术</v>
      </c>
      <c r="G5361" s="1" t="str">
        <f>"河南省南阳市内乡县 教育路与利民路二十八巷交叉口东南300米黉学村安居小区"</f>
        <v>河南省南阳市内乡县 教育路与利民路二十八巷交叉口东南300米黉学村安居小区</v>
      </c>
      <c r="H5361" s="1" t="str">
        <f t="shared" si="2642"/>
        <v>无</v>
      </c>
      <c r="I5361" s="1" t="str">
        <f>"201909-202107  就读于河南经贸职业学院计算机系计算机应用技术专业是全日制学历"</f>
        <v>201909-202107  就读于河南经贸职业学院计算机系计算机应用技术专业是全日制学历</v>
      </c>
    </row>
    <row r="5362" spans="1:9">
      <c r="A5362" s="1" t="str">
        <f>"411330199404261577"</f>
        <v>411330199404261577</v>
      </c>
      <c r="B5362" s="1" t="str">
        <f>"中共党员"</f>
        <v>中共党员</v>
      </c>
      <c r="C5362" s="1" t="str">
        <f t="shared" ref="C5362:C5368" si="2645">"本科"</f>
        <v>本科</v>
      </c>
      <c r="D5362" s="1" t="str">
        <f>"20170701"</f>
        <v>20170701</v>
      </c>
      <c r="E5362" s="1" t="str">
        <f>"南阳师范学院"</f>
        <v>南阳师范学院</v>
      </c>
      <c r="F5362" s="1" t="str">
        <f>"音乐表演"</f>
        <v>音乐表演</v>
      </c>
      <c r="G5362" s="1" t="str">
        <f>"西峡县安居嘉苑2号"</f>
        <v>西峡县安居嘉苑2号</v>
      </c>
      <c r="H5362" s="1" t="str">
        <f t="shared" si="2642"/>
        <v>无</v>
      </c>
      <c r="I5362" s="1" t="str">
        <f>"201309-201606南阳师范学院音乐院系音乐表演专业就读，是全日制本科学历。201609-201809解放军78029部队战士。
201809-202507西峡县事务中心职工"</f>
        <v>201309-201606南阳师范学院音乐院系音乐表演专业就读，是全日制本科学历。201609-201809解放军78029部队战士。
201809-202507西峡县事务中心职工</v>
      </c>
    </row>
    <row r="5363" spans="1:9">
      <c r="A5363" s="1" t="str">
        <f>"41133019960229082X"</f>
        <v>41133019960229082X</v>
      </c>
      <c r="B5363" s="1" t="str">
        <f>"群众"</f>
        <v>群众</v>
      </c>
      <c r="C5363" s="1" t="str">
        <f t="shared" si="2645"/>
        <v>本科</v>
      </c>
      <c r="D5363" s="1" t="str">
        <f>"20180622"</f>
        <v>20180622</v>
      </c>
      <c r="E5363" s="1" t="str">
        <f>"西南大学"</f>
        <v>西南大学</v>
      </c>
      <c r="F5363" s="1" t="str">
        <f>"服装设计与工程"</f>
        <v>服装设计与工程</v>
      </c>
      <c r="G5363" s="1" t="str">
        <f>"河南省西峡县丹水镇袁店村"</f>
        <v>河南省西峡县丹水镇袁店村</v>
      </c>
      <c r="H5363" s="1" t="str">
        <f t="shared" si="2642"/>
        <v>无</v>
      </c>
      <c r="I5363" s="1" t="str">
        <f>"201409-201806 在西南大学 纺织服装学院 服装设计与工程专业就读。"</f>
        <v>201409-201806 在西南大学 纺织服装学院 服装设计与工程专业就读。</v>
      </c>
    </row>
    <row r="5364" spans="1:9">
      <c r="A5364" s="1" t="str">
        <f>"410725200010110413"</f>
        <v>410725200010110413</v>
      </c>
      <c r="B5364" s="1" t="str">
        <f t="shared" ref="B5364:B5366" si="2646">"共青团员"</f>
        <v>共青团员</v>
      </c>
      <c r="C5364" s="1" t="str">
        <f t="shared" si="2645"/>
        <v>本科</v>
      </c>
      <c r="D5364" s="1" t="str">
        <f>"20220710"</f>
        <v>20220710</v>
      </c>
      <c r="E5364" s="1" t="str">
        <f>"大连工业大学艺术与信息工程学院"</f>
        <v>大连工业大学艺术与信息工程学院</v>
      </c>
      <c r="F5364" s="1" t="str">
        <f>"视觉传达设计"</f>
        <v>视觉传达设计</v>
      </c>
      <c r="G5364" s="1" t="str">
        <f>"河南省新乡市原阳县师寨镇安庄村639号"</f>
        <v>河南省新乡市原阳县师寨镇安庄村639号</v>
      </c>
      <c r="H5364" s="1" t="str">
        <f t="shared" si="2642"/>
        <v>无</v>
      </c>
      <c r="I5364" s="1" t="str">
        <f>"201809-202207 大连工业大学艺术与信息工程学院 就读
202207-202305 待业
202305-202402 河南东尚印刷有限公司
202402-至今 待业"</f>
        <v>201809-202207 大连工业大学艺术与信息工程学院 就读
202207-202305 待业
202305-202402 河南东尚印刷有限公司
202402-至今 待业</v>
      </c>
    </row>
    <row r="5365" spans="1:9">
      <c r="A5365" s="1" t="str">
        <f>"411325200204273922"</f>
        <v>411325200204273922</v>
      </c>
      <c r="B5365" s="1" t="str">
        <f t="shared" si="2646"/>
        <v>共青团员</v>
      </c>
      <c r="C5365" s="1" t="str">
        <f t="shared" si="2645"/>
        <v>本科</v>
      </c>
      <c r="D5365" s="1" t="str">
        <f>"20240625"</f>
        <v>20240625</v>
      </c>
      <c r="E5365" s="1" t="str">
        <f>"新乡学院"</f>
        <v>新乡学院</v>
      </c>
      <c r="F5365" s="1" t="str">
        <f>"汉语言文学"</f>
        <v>汉语言文学</v>
      </c>
      <c r="G5365" s="1" t="str">
        <f>"河南省南阳市内乡县乍区镇清泉村"</f>
        <v>河南省南阳市内乡县乍区镇清泉村</v>
      </c>
      <c r="H5365" s="1" t="str">
        <f>"普通话二甲 英语四六级"</f>
        <v>普通话二甲 英语四六级</v>
      </c>
      <c r="I5365" s="1" t="str">
        <f>"202009-202406新乡学院人文学院就读汉语言文学专业、全日制学历。202409-202507在内乡郦都学校任职八年级语文学科教师。"</f>
        <v>202009-202406新乡学院人文学院就读汉语言文学专业、全日制学历。202409-202507在内乡郦都学校任职八年级语文学科教师。</v>
      </c>
    </row>
    <row r="5366" spans="1:9">
      <c r="A5366" s="1" t="str">
        <f>"412826200107268042"</f>
        <v>412826200107268042</v>
      </c>
      <c r="B5366" s="1" t="str">
        <f t="shared" si="2646"/>
        <v>共青团员</v>
      </c>
      <c r="C5366" s="1" t="str">
        <f t="shared" si="2645"/>
        <v>本科</v>
      </c>
      <c r="D5366" s="1" t="str">
        <f>"20250617"</f>
        <v>20250617</v>
      </c>
      <c r="E5366" s="1" t="str">
        <f>"南阳理工学院"</f>
        <v>南阳理工学院</v>
      </c>
      <c r="F5366" s="1" t="str">
        <f>"环境设计"</f>
        <v>环境设计</v>
      </c>
      <c r="G5366" s="1" t="str">
        <f>"河南省汝南县留盆镇朱楼村魏庄13-1"</f>
        <v>河南省汝南县留盆镇朱楼村魏庄13-1</v>
      </c>
      <c r="H5366" s="1" t="str">
        <f>"艺术学学士学位"</f>
        <v>艺术学学士学位</v>
      </c>
      <c r="I5366" s="1" t="str">
        <f>"202009-202306信阳农林学院 就读
202309-202506南阳理工学院 就读"</f>
        <v>202009-202306信阳农林学院 就读
202309-202506南阳理工学院 就读</v>
      </c>
    </row>
    <row r="5367" spans="1:9">
      <c r="A5367" s="1" t="str">
        <f>"411327199808112027"</f>
        <v>411327199808112027</v>
      </c>
      <c r="B5367" s="1" t="str">
        <f t="shared" ref="B5367:B5373" si="2647">"群众"</f>
        <v>群众</v>
      </c>
      <c r="C5367" s="1" t="str">
        <f t="shared" si="2645"/>
        <v>本科</v>
      </c>
      <c r="D5367" s="1" t="str">
        <f>"20200701"</f>
        <v>20200701</v>
      </c>
      <c r="E5367" s="1" t="str">
        <f>"信阳师范学院"</f>
        <v>信阳师范学院</v>
      </c>
      <c r="F5367" s="1" t="str">
        <f>"学前教育"</f>
        <v>学前教育</v>
      </c>
      <c r="G5367" s="1" t="str">
        <f>"南阳市内乡县黉学阳光小区1号楼"</f>
        <v>南阳市内乡县黉学阳光小区1号楼</v>
      </c>
      <c r="H5367" s="1" t="str">
        <f t="shared" ref="H5367:H5375" si="2648">"无"</f>
        <v>无</v>
      </c>
      <c r="I5367" s="1" t="str">
        <f>"201609-202007 信阳师范学院就读，教育科学学院学前教育专业，全日制本科学历；
202007-至今担任内乡郦都学校小学部教师"</f>
        <v>201609-202007 信阳师范学院就读，教育科学学院学前教育专业，全日制本科学历；
202007-至今担任内乡郦都学校小学部教师</v>
      </c>
    </row>
    <row r="5368" spans="1:9">
      <c r="A5368" s="1" t="str">
        <f>"411324199105313421"</f>
        <v>411324199105313421</v>
      </c>
      <c r="B5368" s="1" t="str">
        <f>"中共党员"</f>
        <v>中共党员</v>
      </c>
      <c r="C5368" s="1" t="str">
        <f t="shared" si="2645"/>
        <v>本科</v>
      </c>
      <c r="D5368" s="1" t="str">
        <f>"20150617"</f>
        <v>20150617</v>
      </c>
      <c r="E5368" s="1" t="str">
        <f>"天津工业大学"</f>
        <v>天津工业大学</v>
      </c>
      <c r="F5368" s="1" t="str">
        <f>"广播电视编导"</f>
        <v>广播电视编导</v>
      </c>
      <c r="G5368" s="1" t="str">
        <f>"河南省南阳市镇平县东关红庙路"</f>
        <v>河南省南阳市镇平县东关红庙路</v>
      </c>
      <c r="H5368" s="1" t="str">
        <f t="shared" si="2648"/>
        <v>无</v>
      </c>
      <c r="I5368" s="1" t="str">
        <f>"2011年9月-2015年6月，天津工业大学，人文与法学院，广播电视编导专业，全日制本科；
2015年07月-2017年10月，待业；
2017年11月-2018年3月，天津中企融智教育咨询有限公司，出品人；
2018年4月-2019年3月，佳恒瑞科技（北京）有限公司，运营编辑；
2019年4月-2020年3月，北京东方捷通科技发展有限公司，运营；
2020年4月-2020年5月，北京美文美影科技有限公司，编辑；
2020年6月-至今，待业。"</f>
        <v>2011年9月-2015年6月，天津工业大学，人文与法学院，广播电视编导专业，全日制本科；
2015年07月-2017年10月，待业；
2017年11月-2018年3月，天津中企融智教育咨询有限公司，出品人；
2018年4月-2019年3月，佳恒瑞科技（北京）有限公司，运营编辑；
2019年4月-2020年3月，北京东方捷通科技发展有限公司，运营；
2020年4月-2020年5月，北京美文美影科技有限公司，编辑；
2020年6月-至今，待业。</v>
      </c>
    </row>
    <row r="5369" spans="1:9">
      <c r="A5369" s="1" t="str">
        <f>"411326200204065329"</f>
        <v>411326200204065329</v>
      </c>
      <c r="B5369" s="1" t="str">
        <f t="shared" si="2647"/>
        <v>群众</v>
      </c>
      <c r="C5369" s="1" t="str">
        <f t="shared" ref="C5369:C5374" si="2649">"专科"</f>
        <v>专科</v>
      </c>
      <c r="D5369" s="1" t="str">
        <f>"20240612"</f>
        <v>20240612</v>
      </c>
      <c r="E5369" s="1" t="str">
        <f>"南阳医学高等专科学校"</f>
        <v>南阳医学高等专科学校</v>
      </c>
      <c r="F5369" s="1" t="str">
        <f>"助产"</f>
        <v>助产</v>
      </c>
      <c r="G5369" s="1" t="str">
        <f>"河南省南阳市淅川县香花镇陈岗村王家组39号。"</f>
        <v>河南省南阳市淅川县香花镇陈岗村王家组39号。</v>
      </c>
      <c r="H5369" s="1" t="str">
        <f>"护士资格证，育婴员三级/高级工"</f>
        <v>护士资格证，育婴员三级/高级工</v>
      </c>
      <c r="I5369" s="1" t="str">
        <f>"202109-202406 南阳高等医学专科学校"</f>
        <v>202109-202406 南阳高等医学专科学校</v>
      </c>
    </row>
    <row r="5370" spans="1:9">
      <c r="A5370" s="1" t="str">
        <f>"411324199606260575"</f>
        <v>411324199606260575</v>
      </c>
      <c r="B5370" s="1" t="str">
        <f t="shared" si="2647"/>
        <v>群众</v>
      </c>
      <c r="C5370" s="1" t="str">
        <f t="shared" ref="C5370:C5377" si="2650">"本科"</f>
        <v>本科</v>
      </c>
      <c r="D5370" s="1" t="str">
        <f>"20190620"</f>
        <v>20190620</v>
      </c>
      <c r="E5370" s="1" t="str">
        <f>"河南农业大学"</f>
        <v>河南农业大学</v>
      </c>
      <c r="F5370" s="1" t="str">
        <f>"林学"</f>
        <v>林学</v>
      </c>
      <c r="G5370" s="1" t="str">
        <f>"河南省南阳市镇平县城郊乡榆盘村大榆盘1组"</f>
        <v>河南省南阳市镇平县城郊乡榆盘村大榆盘1组</v>
      </c>
      <c r="H5370" s="1" t="str">
        <f t="shared" si="2648"/>
        <v>无</v>
      </c>
      <c r="I5370" s="1" t="str">
        <f>"201509-201906 河南农业大学林学院林学专业就读本科
201909-202206 河南农业大学林学院林业专业就读硕士
202206至今 南阳天润物华生态科技有限公司工作"</f>
        <v>201509-201906 河南农业大学林学院林学专业就读本科
201909-202206 河南农业大学林学院林业专业就读硕士
202206至今 南阳天润物华生态科技有限公司工作</v>
      </c>
    </row>
    <row r="5371" spans="1:9">
      <c r="A5371" s="1" t="str">
        <f>"410423200107019609"</f>
        <v>410423200107019609</v>
      </c>
      <c r="B5371" s="1" t="str">
        <f t="shared" si="2647"/>
        <v>群众</v>
      </c>
      <c r="C5371" s="1" t="str">
        <f t="shared" si="2649"/>
        <v>专科</v>
      </c>
      <c r="D5371" s="1" t="str">
        <f>"2022.7"</f>
        <v>2022.7</v>
      </c>
      <c r="E5371" s="1" t="str">
        <f>"濮阳职业技术学院"</f>
        <v>濮阳职业技术学院</v>
      </c>
      <c r="F5371" s="1" t="str">
        <f>"小学教育"</f>
        <v>小学教育</v>
      </c>
      <c r="G5371" s="1" t="str">
        <f>"河南省平顶山市鲁山县四棵树乡"</f>
        <v>河南省平顶山市鲁山县四棵树乡</v>
      </c>
      <c r="H5371" s="1" t="str">
        <f t="shared" si="2648"/>
        <v>无</v>
      </c>
      <c r="I5371" s="1" t="str">
        <f>"2019.9—2022.7 在濮阳职业技术学院 专业是小学教育学习是全日制教育"</f>
        <v>2019.9—2022.7 在濮阳职业技术学院 专业是小学教育学习是全日制教育</v>
      </c>
    </row>
    <row r="5372" spans="1:9">
      <c r="A5372" s="1" t="str">
        <f>"410381199505064520"</f>
        <v>410381199505064520</v>
      </c>
      <c r="B5372" s="1" t="str">
        <f t="shared" si="2647"/>
        <v>群众</v>
      </c>
      <c r="C5372" s="1" t="str">
        <f>"硕士研究生"</f>
        <v>硕士研究生</v>
      </c>
      <c r="D5372" s="1" t="str">
        <f>"2022.07"</f>
        <v>2022.07</v>
      </c>
      <c r="E5372" s="1" t="str">
        <f>"河南大学"</f>
        <v>河南大学</v>
      </c>
      <c r="F5372" s="1" t="str">
        <f>"建筑与土木工程"</f>
        <v>建筑与土木工程</v>
      </c>
      <c r="G5372" s="1" t="str">
        <f>"河南省洛阳市涧西区"</f>
        <v>河南省洛阳市涧西区</v>
      </c>
      <c r="H5372" s="1" t="str">
        <f t="shared" si="2648"/>
        <v>无</v>
      </c>
      <c r="I5372" s="1" t="str">
        <f>"2015.09-2019.07黄河科技学院  建筑工程学院   工程造价
2019.09-2022.07河南大学   土木建筑学院  建筑与土木工程
2022.07-至今   河南洛阳待业"</f>
        <v>2015.09-2019.07黄河科技学院  建筑工程学院   工程造价
2019.09-2022.07河南大学   土木建筑学院  建筑与土木工程
2022.07-至今   河南洛阳待业</v>
      </c>
    </row>
    <row r="5373" spans="1:9">
      <c r="A5373" s="1" t="str">
        <f>"411330200212305526"</f>
        <v>411330200212305526</v>
      </c>
      <c r="B5373" s="1" t="str">
        <f t="shared" si="2647"/>
        <v>群众</v>
      </c>
      <c r="C5373" s="1" t="str">
        <f t="shared" si="2650"/>
        <v>本科</v>
      </c>
      <c r="D5373" s="1" t="str">
        <f>"20250620"</f>
        <v>20250620</v>
      </c>
      <c r="E5373" s="1" t="str">
        <f>"河南财经政法大学"</f>
        <v>河南财经政法大学</v>
      </c>
      <c r="F5373" s="1" t="str">
        <f>"法学"</f>
        <v>法学</v>
      </c>
      <c r="G5373" s="1" t="str">
        <f>"河南省南阳市西峡县双龙镇"</f>
        <v>河南省南阳市西峡县双龙镇</v>
      </c>
      <c r="H5373" s="1" t="str">
        <f t="shared" si="2648"/>
        <v>无</v>
      </c>
      <c r="I5373" s="1" t="str">
        <f>"202109-202506在河南财经政法大学法学院法学专业就读。是全日制学历。"</f>
        <v>202109-202506在河南财经政法大学法学院法学专业就读。是全日制学历。</v>
      </c>
    </row>
    <row r="5374" spans="1:9">
      <c r="A5374" s="1" t="str">
        <f>"41132520040915154X"</f>
        <v>41132520040915154X</v>
      </c>
      <c r="B5374" s="1" t="str">
        <f t="shared" ref="B5374:B5379" si="2651">"共青团员"</f>
        <v>共青团员</v>
      </c>
      <c r="C5374" s="1" t="str">
        <f t="shared" si="2649"/>
        <v>专科</v>
      </c>
      <c r="D5374" s="1" t="str">
        <f>"20240701"</f>
        <v>20240701</v>
      </c>
      <c r="E5374" s="1" t="str">
        <f>"南阳职业学院"</f>
        <v>南阳职业学院</v>
      </c>
      <c r="F5374" s="1" t="str">
        <f>"学前教育"</f>
        <v>学前教育</v>
      </c>
      <c r="G5374" s="1" t="str">
        <f>"河南省南阳市内乡县湍东镇龙湖壹号"</f>
        <v>河南省南阳市内乡县湍东镇龙湖壹号</v>
      </c>
      <c r="H5374" s="1" t="str">
        <f t="shared" si="2648"/>
        <v>无</v>
      </c>
      <c r="I5374" s="1" t="str">
        <f>"202109-202407。南阳职业学院就读 全日制学历
"</f>
        <v>202109-202407。南阳职业学院就读 全日制学历
</v>
      </c>
    </row>
    <row r="5375" spans="1:9">
      <c r="A5375" s="1" t="str">
        <f>"411327200207163123"</f>
        <v>411327200207163123</v>
      </c>
      <c r="B5375" s="1" t="str">
        <f t="shared" si="2651"/>
        <v>共青团员</v>
      </c>
      <c r="C5375" s="1" t="str">
        <f t="shared" si="2650"/>
        <v>本科</v>
      </c>
      <c r="D5375" s="1" t="str">
        <f>"20250630"</f>
        <v>20250630</v>
      </c>
      <c r="E5375" s="1" t="str">
        <f>"南阳理工学院"</f>
        <v>南阳理工学院</v>
      </c>
      <c r="F5375" s="1" t="str">
        <f>"英语"</f>
        <v>英语</v>
      </c>
      <c r="G5375" s="1" t="str">
        <f>"河南省南阳市内乡县夏馆镇西河堂村黑龙潭"</f>
        <v>河南省南阳市内乡县夏馆镇西河堂村黑龙潭</v>
      </c>
      <c r="H5375" s="1" t="str">
        <f t="shared" si="2648"/>
        <v>无</v>
      </c>
      <c r="I5375" s="1" t="str">
        <f>"20200901-20230630在河南财政金融学院外国语学院英语教育专业就读；全日制学历。
20230901-20250630在南阳理工学院外国语学院英语专业就读；全日制学历。"</f>
        <v>20200901-20230630在河南财政金融学院外国语学院英语教育专业就读；全日制学历。
20230901-20250630在南阳理工学院外国语学院英语专业就读；全日制学历。</v>
      </c>
    </row>
    <row r="5376" spans="1:9">
      <c r="A5376" s="1" t="str">
        <f>"411327199410270017"</f>
        <v>411327199410270017</v>
      </c>
      <c r="B5376" s="1" t="str">
        <f t="shared" ref="B5376:B5381" si="2652">"群众"</f>
        <v>群众</v>
      </c>
      <c r="C5376" s="1" t="str">
        <f t="shared" si="2650"/>
        <v>本科</v>
      </c>
      <c r="D5376" s="1" t="str">
        <f>"20230106"</f>
        <v>20230106</v>
      </c>
      <c r="E5376" s="1" t="str">
        <f>"西北工业大学"</f>
        <v>西北工业大学</v>
      </c>
      <c r="F5376" s="1" t="str">
        <f>"计算机科学与技术"</f>
        <v>计算机科学与技术</v>
      </c>
      <c r="G5376" s="1" t="str">
        <f>"河南省内乡县梨苑山庄服务中心"</f>
        <v>河南省内乡县梨苑山庄服务中心</v>
      </c>
      <c r="H5376" s="1" t="str">
        <f>"五"</f>
        <v>五</v>
      </c>
      <c r="I5376" s="1" t="str">
        <f>"2014年9月至2016年7月河南职业技术学院广告设计与制作专业就读，全日制。
2016年8月至2019年9月杭州齐智科技有限公司就职。
2019年3月至2023年1月西北工业大学计算机科学与技术专业就读，非全日制。
2019年10月至今内乡县公安局就职。"</f>
        <v>2014年9月至2016年7月河南职业技术学院广告设计与制作专业就读，全日制。
2016年8月至2019年9月杭州齐智科技有限公司就职。
2019年3月至2023年1月西北工业大学计算机科学与技术专业就读，非全日制。
2019年10月至今内乡县公安局就职。</v>
      </c>
    </row>
    <row r="5377" spans="1:9">
      <c r="A5377" s="1" t="str">
        <f>"411327200005010014"</f>
        <v>411327200005010014</v>
      </c>
      <c r="B5377" s="1" t="str">
        <f>"中共党员"</f>
        <v>中共党员</v>
      </c>
      <c r="C5377" s="1" t="str">
        <f t="shared" si="2650"/>
        <v>本科</v>
      </c>
      <c r="D5377" s="1" t="str">
        <f>"20220625"</f>
        <v>20220625</v>
      </c>
      <c r="E5377" s="1" t="str">
        <f>"郑州大学西亚斯国际学院"</f>
        <v>郑州大学西亚斯国际学院</v>
      </c>
      <c r="F5377" s="1" t="str">
        <f>"会计学"</f>
        <v>会计学</v>
      </c>
      <c r="G5377" s="1" t="str">
        <f>"河南省南阳市内乡县城关镇新民路四巷十号"</f>
        <v>河南省南阳市内乡县城关镇新民路四巷十号</v>
      </c>
      <c r="H5377" s="1" t="str">
        <f t="shared" ref="H5377:H5383" si="2653">"无"</f>
        <v>无</v>
      </c>
      <c r="I5377" s="1" t="str">
        <f>"201809-202206郑州大学西亚斯国际学院就读，全日制学历"</f>
        <v>201809-202206郑州大学西亚斯国际学院就读，全日制学历</v>
      </c>
    </row>
    <row r="5378" spans="1:9">
      <c r="A5378" s="1" t="str">
        <f>"411303200012106873"</f>
        <v>411303200012106873</v>
      </c>
      <c r="B5378" s="1" t="str">
        <f t="shared" si="2651"/>
        <v>共青团员</v>
      </c>
      <c r="C5378" s="1" t="str">
        <f>"专科"</f>
        <v>专科</v>
      </c>
      <c r="D5378" s="1" t="str">
        <f>"2023-07-01"</f>
        <v>2023-07-01</v>
      </c>
      <c r="E5378" s="1" t="str">
        <f>"河南工业职业技术学院"</f>
        <v>河南工业职业技术学院</v>
      </c>
      <c r="F5378" s="1" t="str">
        <f>"计算机应用技术"</f>
        <v>计算机应用技术</v>
      </c>
      <c r="G5378" s="1" t="str">
        <f>"南阳市宛城区溧河乡郭店村"</f>
        <v>南阳市宛城区溧河乡郭店村</v>
      </c>
      <c r="H5378" s="1" t="str">
        <f t="shared" si="2653"/>
        <v>无</v>
      </c>
      <c r="I5378" s="1" t="str">
        <f>"2020.12-2023.07河南工业职业技术学院  计算机应用技术  全日制
"</f>
        <v>2020.12-2023.07河南工业职业技术学院  计算机应用技术  全日制
</v>
      </c>
    </row>
    <row r="5379" spans="1:9">
      <c r="A5379" s="1" t="str">
        <f>"41112120020310002X"</f>
        <v>41112120020310002X</v>
      </c>
      <c r="B5379" s="1" t="str">
        <f t="shared" si="2651"/>
        <v>共青团员</v>
      </c>
      <c r="C5379" s="1" t="str">
        <f t="shared" ref="C5379:C5383" si="2654">"本科"</f>
        <v>本科</v>
      </c>
      <c r="D5379" s="1" t="str">
        <f>"20240701"</f>
        <v>20240701</v>
      </c>
      <c r="E5379" s="1" t="str">
        <f>"河南师范大学"</f>
        <v>河南师范大学</v>
      </c>
      <c r="F5379" s="1" t="str">
        <f>"电气工程及其自动化"</f>
        <v>电气工程及其自动化</v>
      </c>
      <c r="G5379" s="1" t="str">
        <f>"河南省漯河市郾城区辽河路西段龙塔街道巴山社区澜庭叙三号楼一单元"</f>
        <v>河南省漯河市郾城区辽河路西段龙塔街道巴山社区澜庭叙三号楼一单元</v>
      </c>
      <c r="H5379" s="1" t="str">
        <f t="shared" si="2653"/>
        <v>无</v>
      </c>
      <c r="I5379" s="1" t="str">
        <f>"202009-202407河南师范大学国际教育学院电气工程及其自动化专业就读，是全日制学历"</f>
        <v>202009-202407河南师范大学国际教育学院电气工程及其自动化专业就读，是全日制学历</v>
      </c>
    </row>
    <row r="5380" spans="1:9">
      <c r="A5380" s="1" t="str">
        <f>"341324200201090050"</f>
        <v>341324200201090050</v>
      </c>
      <c r="B5380" s="1" t="str">
        <f t="shared" si="2652"/>
        <v>群众</v>
      </c>
      <c r="C5380" s="1" t="str">
        <f t="shared" ref="C5380:C5385" si="2655">"专科"</f>
        <v>专科</v>
      </c>
      <c r="D5380" s="1" t="str">
        <f>"2023-07-01"</f>
        <v>2023-07-01</v>
      </c>
      <c r="E5380" s="1" t="str">
        <f>"安徽水利水电职业技术学院"</f>
        <v>安徽水利水电职业技术学院</v>
      </c>
      <c r="F5380" s="1" t="str">
        <f>"水利水电工程技术"</f>
        <v>水利水电工程技术</v>
      </c>
      <c r="G5380" s="1" t="str">
        <f>"安徽省宿州市泗县虹城街道碧桂园小区13栋201室"</f>
        <v>安徽省宿州市泗县虹城街道碧桂园小区13栋201室</v>
      </c>
      <c r="H5380" s="1" t="str">
        <f t="shared" si="2653"/>
        <v>无</v>
      </c>
      <c r="I5380" s="1" t="str">
        <f>"2020.10-2023.07安徽水利水电职业技术学院水利工程学院水利水电工程技术专业 学生   全日制大专学历
2023.07至今待业"</f>
        <v>2020.10-2023.07安徽水利水电职业技术学院水利工程学院水利水电工程技术专业 学生   全日制大专学历
2023.07至今待业</v>
      </c>
    </row>
    <row r="5381" spans="1:9">
      <c r="A5381" s="1" t="str">
        <f>"410803199907230016"</f>
        <v>410803199907230016</v>
      </c>
      <c r="B5381" s="1" t="str">
        <f t="shared" si="2652"/>
        <v>群众</v>
      </c>
      <c r="C5381" s="1" t="str">
        <f t="shared" si="2654"/>
        <v>本科</v>
      </c>
      <c r="D5381" s="1" t="str">
        <f>"20220701"</f>
        <v>20220701</v>
      </c>
      <c r="E5381" s="1" t="str">
        <f>"安阳学院"</f>
        <v>安阳学院</v>
      </c>
      <c r="F5381" s="1" t="str">
        <f>"行政管理"</f>
        <v>行政管理</v>
      </c>
      <c r="G5381" s="1" t="str">
        <f>"焦作市中站区房管局安居2号楼"</f>
        <v>焦作市中站区房管局安居2号楼</v>
      </c>
      <c r="H5381" s="1" t="str">
        <f t="shared" si="2653"/>
        <v>无</v>
      </c>
      <c r="I5381" s="1" t="str">
        <f>"202009-202207  安阳学院就读行政管理专业，全日制学历"</f>
        <v>202009-202207  安阳学院就读行政管理专业，全日制学历</v>
      </c>
    </row>
    <row r="5382" spans="1:9">
      <c r="A5382" s="1" t="str">
        <f>"411522200111202748"</f>
        <v>411522200111202748</v>
      </c>
      <c r="B5382" s="1" t="str">
        <f t="shared" ref="B5382:B5386" si="2656">"中共党员"</f>
        <v>中共党员</v>
      </c>
      <c r="C5382" s="1" t="str">
        <f t="shared" si="2654"/>
        <v>本科</v>
      </c>
      <c r="D5382" s="1" t="str">
        <f>"20240701"</f>
        <v>20240701</v>
      </c>
      <c r="E5382" s="1" t="str">
        <f>"河南科技学院"</f>
        <v>河南科技学院</v>
      </c>
      <c r="F5382" s="1" t="str">
        <f>"应用统计学"</f>
        <v>应用统计学</v>
      </c>
      <c r="G5382" s="1" t="str">
        <f>"河南省信阳市光山县罗陈乡百步村"</f>
        <v>河南省信阳市光山县罗陈乡百步村</v>
      </c>
      <c r="H5382" s="1" t="str">
        <f t="shared" si="2653"/>
        <v>无</v>
      </c>
      <c r="I5382" s="1" t="str">
        <f>"202009-202407河南科技学院，应用统计学专业就读，全日制学历
202407-202507在河南省信阳市光山县待业"</f>
        <v>202009-202407河南科技学院，应用统计学专业就读，全日制学历
202407-202507在河南省信阳市光山县待业</v>
      </c>
    </row>
    <row r="5383" spans="1:9">
      <c r="A5383" s="1" t="str">
        <f>"411327200301090020"</f>
        <v>411327200301090020</v>
      </c>
      <c r="B5383" s="1" t="str">
        <f t="shared" ref="B5383:B5389" si="2657">"群众"</f>
        <v>群众</v>
      </c>
      <c r="C5383" s="1" t="str">
        <f t="shared" si="2654"/>
        <v>本科</v>
      </c>
      <c r="D5383" s="1" t="str">
        <f>"20250630"</f>
        <v>20250630</v>
      </c>
      <c r="E5383" s="1" t="str">
        <f>"大连艺术学院"</f>
        <v>大连艺术学院</v>
      </c>
      <c r="F5383" s="1" t="str">
        <f>"环境设计"</f>
        <v>环境设计</v>
      </c>
      <c r="G5383" s="1" t="str">
        <f>"河南省南阳市内乡县"</f>
        <v>河南省南阳市内乡县</v>
      </c>
      <c r="H5383" s="1" t="str">
        <f t="shared" si="2653"/>
        <v>无</v>
      </c>
      <c r="I5383" s="1" t="str">
        <f>"202109-202506 大连艺术学院就读 全日制学历"</f>
        <v>202109-202506 大连艺术学院就读 全日制学历</v>
      </c>
    </row>
    <row r="5384" spans="1:9">
      <c r="A5384" s="1" t="str">
        <f>"411330199201015122"</f>
        <v>411330199201015122</v>
      </c>
      <c r="B5384" s="1" t="str">
        <f t="shared" si="2656"/>
        <v>中共党员</v>
      </c>
      <c r="C5384" s="1" t="str">
        <f t="shared" si="2655"/>
        <v>专科</v>
      </c>
      <c r="D5384" s="1" t="str">
        <f>"20130701"</f>
        <v>20130701</v>
      </c>
      <c r="E5384" s="1" t="str">
        <f>"三门峡职业技术学院"</f>
        <v>三门峡职业技术学院</v>
      </c>
      <c r="F5384" s="1" t="str">
        <f>"会计电算化"</f>
        <v>会计电算化</v>
      </c>
      <c r="G5384" s="1" t="str">
        <f>"西峡县伏牛社区"</f>
        <v>西峡县伏牛社区</v>
      </c>
      <c r="H5384" s="1" t="str">
        <f>"会计从业资格证"</f>
        <v>会计从业资格证</v>
      </c>
      <c r="I5384" s="1" t="str">
        <f>"2010年9月1日-2013年7月1日在三门峡职业技术学院，会计电算化专业就读，全日制学历。
2013年8月10日至今在西峡县消防救援大队就职。"</f>
        <v>2010年9月1日-2013年7月1日在三门峡职业技术学院，会计电算化专业就读，全日制学历。
2013年8月10日至今在西峡县消防救援大队就职。</v>
      </c>
    </row>
    <row r="5385" spans="1:9">
      <c r="A5385" s="1" t="str">
        <f>"411323199705120539"</f>
        <v>411323199705120539</v>
      </c>
      <c r="B5385" s="1" t="str">
        <f t="shared" si="2657"/>
        <v>群众</v>
      </c>
      <c r="C5385" s="1" t="str">
        <f t="shared" si="2655"/>
        <v>专科</v>
      </c>
      <c r="D5385" s="1" t="str">
        <f>"2023-07-01"</f>
        <v>2023-07-01</v>
      </c>
      <c r="E5385" s="1" t="str">
        <f>"郑州理工职业学院"</f>
        <v>郑州理工职业学院</v>
      </c>
      <c r="F5385" s="1" t="str">
        <f>"计算机网络技术"</f>
        <v>计算机网络技术</v>
      </c>
      <c r="G5385" s="1" t="str">
        <f>"河南省淅川县上集镇钟观社区"</f>
        <v>河南省淅川县上集镇钟观社区</v>
      </c>
      <c r="H5385" s="1" t="str">
        <f>"计算机三级证"</f>
        <v>计算机三级证</v>
      </c>
      <c r="I5385" s="1" t="str">
        <f>"202009-20230701郑州理工职业学院就读
"</f>
        <v>202009-20230701郑州理工职业学院就读
</v>
      </c>
    </row>
    <row r="5386" spans="1:9">
      <c r="A5386" s="1" t="str">
        <f>"411327199411201515"</f>
        <v>411327199411201515</v>
      </c>
      <c r="B5386" s="1" t="str">
        <f t="shared" si="2656"/>
        <v>中共党员</v>
      </c>
      <c r="C5386" s="1" t="str">
        <f t="shared" ref="C5386:C5389" si="2658">"本科"</f>
        <v>本科</v>
      </c>
      <c r="D5386" s="1" t="str">
        <f>"20230701"</f>
        <v>20230701</v>
      </c>
      <c r="E5386" s="1" t="str">
        <f>"南阳理工学院"</f>
        <v>南阳理工学院</v>
      </c>
      <c r="F5386" s="1" t="str">
        <f>"法学"</f>
        <v>法学</v>
      </c>
      <c r="G5386" s="1" t="str">
        <f>"内乡县公安局"</f>
        <v>内乡县公安局</v>
      </c>
      <c r="H5386" s="1" t="str">
        <f t="shared" ref="H5386:H5392" si="2659">"无"</f>
        <v>无</v>
      </c>
      <c r="I5386" s="1" t="str">
        <f>"2013.09至2016.07  在郑州市中州大学电子商务专业就读，全日制大专；
2016.07至2017.03在内乡县家中待业；
2017.03至今在内乡县公安局任辅警（期间2021.03至2023.07完成南阳理工学院法学专业本科学习，取得函授本科学历）。"</f>
        <v>2013.09至2016.07  在郑州市中州大学电子商务专业就读，全日制大专；
2016.07至2017.03在内乡县家中待业；
2017.03至今在内乡县公安局任辅警（期间2021.03至2023.07完成南阳理工学院法学专业本科学习，取得函授本科学历）。</v>
      </c>
    </row>
    <row r="5387" spans="1:9">
      <c r="A5387" s="1" t="str">
        <f>"411623200409086825"</f>
        <v>411623200409086825</v>
      </c>
      <c r="B5387" s="1" t="str">
        <f>"共青团员"</f>
        <v>共青团员</v>
      </c>
      <c r="C5387" s="1" t="str">
        <f t="shared" si="2658"/>
        <v>本科</v>
      </c>
      <c r="D5387" s="1" t="str">
        <f>"20250617"</f>
        <v>20250617</v>
      </c>
      <c r="E5387" s="1" t="str">
        <f>"南阳理工学院"</f>
        <v>南阳理工学院</v>
      </c>
      <c r="F5387" s="1" t="str">
        <f>"应用化学"</f>
        <v>应用化学</v>
      </c>
      <c r="G5387" s="1" t="str">
        <f>"河南省周口市商水县魏集镇"</f>
        <v>河南省周口市商水县魏集镇</v>
      </c>
      <c r="H5387" s="1" t="str">
        <f t="shared" si="2659"/>
        <v>无</v>
      </c>
      <c r="I5387" s="1" t="str">
        <f>"202109-202506南阳理工学院生物与化学工程学院应用化学专业就读全日制本科"</f>
        <v>202109-202506南阳理工学院生物与化学工程学院应用化学专业就读全日制本科</v>
      </c>
    </row>
    <row r="5388" spans="1:9">
      <c r="A5388" s="1" t="str">
        <f>"411324199508224212"</f>
        <v>411324199508224212</v>
      </c>
      <c r="B5388" s="1" t="str">
        <f t="shared" si="2657"/>
        <v>群众</v>
      </c>
      <c r="C5388" s="1" t="str">
        <f t="shared" si="2658"/>
        <v>本科</v>
      </c>
      <c r="D5388" s="1" t="str">
        <f>"20170701"</f>
        <v>20170701</v>
      </c>
      <c r="E5388" s="1" t="str">
        <f>"安徽工程大学"</f>
        <v>安徽工程大学</v>
      </c>
      <c r="F5388" s="1" t="str">
        <f>"环境设计"</f>
        <v>环境设计</v>
      </c>
      <c r="G5388" s="1" t="str">
        <f>"河南省镇平县玉神南路大正康悦府"</f>
        <v>河南省镇平县玉神南路大正康悦府</v>
      </c>
      <c r="H5388" s="1" t="str">
        <f>"行政办事员初级/人力资源管理师高级"</f>
        <v>行政办事员初级/人力资源管理师高级</v>
      </c>
      <c r="I5388" s="1" t="str">
        <f>"201309-201707 安徽工程大学就读 全日制本科
201707-201908 苏州智绘家装饰工程有限公司
201908-202001 北京九八五图像设计有限公司
202004-202204 苏州墨玛设计有限公司
202205-202303 河南壹念叁仟装饰设计工程有限公司
202304-202412 河南镇平县待业创业
202501-至今 深圳市特发政务服务有限公司南阳分公司"</f>
        <v>201309-201707 安徽工程大学就读 全日制本科
201707-201908 苏州智绘家装饰工程有限公司
201908-202001 北京九八五图像设计有限公司
202004-202204 苏州墨玛设计有限公司
202205-202303 河南壹念叁仟装饰设计工程有限公司
202304-202412 河南镇平县待业创业
202501-至今 深圳市特发政务服务有限公司南阳分公司</v>
      </c>
    </row>
    <row r="5389" spans="1:9">
      <c r="A5389" s="1" t="str">
        <f>"411303199708286766"</f>
        <v>411303199708286766</v>
      </c>
      <c r="B5389" s="1" t="str">
        <f t="shared" si="2657"/>
        <v>群众</v>
      </c>
      <c r="C5389" s="1" t="str">
        <f t="shared" si="2658"/>
        <v>本科</v>
      </c>
      <c r="D5389" s="1" t="str">
        <f>"20190701"</f>
        <v>20190701</v>
      </c>
      <c r="E5389" s="1" t="str">
        <f>"平顶山学院"</f>
        <v>平顶山学院</v>
      </c>
      <c r="F5389" s="1" t="str">
        <f>"人文地理与城乡规划"</f>
        <v>人文地理与城乡规划</v>
      </c>
      <c r="G5389" s="1" t="str">
        <f>"河南省南阳市宛城区独山大道光达宛都名邸"</f>
        <v>河南省南阳市宛城区独山大道光达宛都名邸</v>
      </c>
      <c r="H5389" s="1" t="str">
        <f t="shared" si="2659"/>
        <v>无</v>
      </c>
      <c r="I5389" s="1" t="str">
        <f>"201509-201907 平顶山学院 人文地理与城乡规划专业就读
201909-202506 南阳市博雅学校初中语文老师岗位就职"</f>
        <v>201509-201907 平顶山学院 人文地理与城乡规划专业就读
201909-202506 南阳市博雅学校初中语文老师岗位就职</v>
      </c>
    </row>
    <row r="5390" spans="1:9">
      <c r="A5390" s="1" t="str">
        <f>"411325199910098222"</f>
        <v>411325199910098222</v>
      </c>
      <c r="B5390" s="1" t="str">
        <f>"中共党员"</f>
        <v>中共党员</v>
      </c>
      <c r="C5390" s="1" t="str">
        <f>"硕士研究生"</f>
        <v>硕士研究生</v>
      </c>
      <c r="D5390" s="1" t="str">
        <f>"20250605"</f>
        <v>20250605</v>
      </c>
      <c r="E5390" s="1" t="str">
        <f>"新疆财经大学"</f>
        <v>新疆财经大学</v>
      </c>
      <c r="F5390" s="1" t="str">
        <f>"产业经济学"</f>
        <v>产业经济学</v>
      </c>
      <c r="G5390" s="1" t="str">
        <f>"河南省南阳市唐河县毕店镇肖棚村刘洼"</f>
        <v>河南省南阳市唐河县毕店镇肖棚村刘洼</v>
      </c>
      <c r="H5390" s="1" t="str">
        <f t="shared" si="2659"/>
        <v>无</v>
      </c>
      <c r="I5390" s="1" t="str">
        <f>"201709-202106  黑龙江工程学院就读经济管理学院国际经济与贸易专业  全日制；
202107-202208  河南省南阳市唐河县毕店镇肖棚村刘洼待业；
202209-202506  新疆财经大学就读经济学院产业经济学专业  全日制"</f>
        <v>201709-202106  黑龙江工程学院就读经济管理学院国际经济与贸易专业  全日制；
202107-202208  河南省南阳市唐河县毕店镇肖棚村刘洼待业；
202209-202506  新疆财经大学就读经济学院产业经济学专业  全日制</v>
      </c>
    </row>
    <row r="5391" spans="1:9">
      <c r="A5391" s="1" t="str">
        <f>"411302200006125721"</f>
        <v>411302200006125721</v>
      </c>
      <c r="B5391" s="1" t="str">
        <f t="shared" ref="B5391:B5394" si="2660">"群众"</f>
        <v>群众</v>
      </c>
      <c r="C5391" s="1" t="str">
        <f t="shared" ref="C5391:C5394" si="2661">"本科"</f>
        <v>本科</v>
      </c>
      <c r="D5391" s="1" t="str">
        <f>"20220702"</f>
        <v>20220702</v>
      </c>
      <c r="E5391" s="1" t="str">
        <f>"南阳师范学院"</f>
        <v>南阳师范学院</v>
      </c>
      <c r="F5391" s="1" t="str">
        <f>"动画"</f>
        <v>动画</v>
      </c>
      <c r="G5391" s="1" t="str">
        <f>"河南省南阳市宛城区"</f>
        <v>河南省南阳市宛城区</v>
      </c>
      <c r="H5391" s="1" t="str">
        <f t="shared" si="2659"/>
        <v>无</v>
      </c>
      <c r="I5391" s="1" t="str">
        <f>"201809-202207 南阳师范学院美术与艺术设计学院就读动画专业，全日制学历"</f>
        <v>201809-202207 南阳师范学院美术与艺术设计学院就读动画专业，全日制学历</v>
      </c>
    </row>
    <row r="5392" spans="1:9">
      <c r="A5392" s="1" t="str">
        <f>"41132819990501138X"</f>
        <v>41132819990501138X</v>
      </c>
      <c r="B5392" s="1" t="str">
        <f t="shared" si="2660"/>
        <v>群众</v>
      </c>
      <c r="C5392" s="1" t="str">
        <f>"专科"</f>
        <v>专科</v>
      </c>
      <c r="D5392" s="1" t="str">
        <f>"20200701"</f>
        <v>20200701</v>
      </c>
      <c r="E5392" s="1" t="str">
        <f>"河南工程学院"</f>
        <v>河南工程学院</v>
      </c>
      <c r="F5392" s="1" t="str">
        <f>"商务英语"</f>
        <v>商务英语</v>
      </c>
      <c r="G5392" s="1" t="str">
        <f>"河南省南阳市内乡县湍东镇盆窑村王家32号"</f>
        <v>河南省南阳市内乡县湍东镇盆窑村王家32号</v>
      </c>
      <c r="H5392" s="1" t="str">
        <f t="shared" si="2659"/>
        <v>无</v>
      </c>
      <c r="I5392" s="1" t="str">
        <f>"2017.09--2020.07  河南工程学院  商务英语专业学习
2020.07--2021.03  待业
2021.03--2022.11  内乡复兴学校  老师
2022.11--至今        待业"</f>
        <v>2017.09--2020.07  河南工程学院  商务英语专业学习
2020.07--2021.03  待业
2021.03--2022.11  内乡复兴学校  老师
2022.11--至今        待业</v>
      </c>
    </row>
    <row r="5393" spans="1:9">
      <c r="A5393" s="1" t="str">
        <f>"140828200009020014"</f>
        <v>140828200009020014</v>
      </c>
      <c r="B5393" s="1" t="str">
        <f>"共青团员"</f>
        <v>共青团员</v>
      </c>
      <c r="C5393" s="1" t="str">
        <f t="shared" si="2661"/>
        <v>本科</v>
      </c>
      <c r="D5393" s="1" t="str">
        <f>"2024-06-21"</f>
        <v>2024-06-21</v>
      </c>
      <c r="E5393" s="1" t="str">
        <f>"晋中信息学院"</f>
        <v>晋中信息学院</v>
      </c>
      <c r="F5393" s="1" t="str">
        <f>"物联网工程"</f>
        <v>物联网工程</v>
      </c>
      <c r="G5393" s="1" t="str">
        <f>"山西省运城市夏县埝掌镇埝掌村"</f>
        <v>山西省运城市夏县埝掌镇埝掌村</v>
      </c>
      <c r="H5393" s="1" t="str">
        <f>"计算机程序设计员高级"</f>
        <v>计算机程序设计员高级</v>
      </c>
      <c r="I5393" s="1" t="str">
        <f>"201909-202206 山西工程职业学院 大专 软件技术
202209-202406 晋中信息学院 本科 物联网工程
202406-至今 在家待业"</f>
        <v>201909-202206 山西工程职业学院 大专 软件技术
202209-202406 晋中信息学院 本科 物联网工程
202406-至今 在家待业</v>
      </c>
    </row>
    <row r="5394" spans="1:9">
      <c r="A5394" s="1" t="str">
        <f>"411327199810280070"</f>
        <v>411327199810280070</v>
      </c>
      <c r="B5394" s="1" t="str">
        <f t="shared" si="2660"/>
        <v>群众</v>
      </c>
      <c r="C5394" s="1" t="str">
        <f t="shared" si="2661"/>
        <v>本科</v>
      </c>
      <c r="D5394" s="1" t="str">
        <f>"20220607"</f>
        <v>20220607</v>
      </c>
      <c r="E5394" s="1" t="str">
        <f>"华东交通大学"</f>
        <v>华东交通大学</v>
      </c>
      <c r="F5394" s="1" t="str">
        <f>"信息工程"</f>
        <v>信息工程</v>
      </c>
      <c r="G5394" s="1" t="str">
        <f>"城关镇左岸皇城"</f>
        <v>城关镇左岸皇城</v>
      </c>
      <c r="H5394" s="1" t="str">
        <f t="shared" ref="H5394:H5405" si="2662">"无"</f>
        <v>无</v>
      </c>
      <c r="I5394" s="1" t="str">
        <f>"201509-202206 在华东交通大学信息学院信息工程专业就读，全日制学历。
202206-202409 在南昌就业
"</f>
        <v>201509-202206 在华东交通大学信息学院信息工程专业就读，全日制学历。
202206-202409 在南昌就业
</v>
      </c>
    </row>
    <row r="5395" spans="1:9">
      <c r="A5395" s="1" t="str">
        <f>"411327200002240041"</f>
        <v>411327200002240041</v>
      </c>
      <c r="B5395" s="1" t="str">
        <f>"共青团员"</f>
        <v>共青团员</v>
      </c>
      <c r="C5395" s="1" t="str">
        <f t="shared" ref="C5395:C5400" si="2663">"专科"</f>
        <v>专科</v>
      </c>
      <c r="D5395" s="1" t="str">
        <f>"20210701"</f>
        <v>20210701</v>
      </c>
      <c r="E5395" s="1" t="str">
        <f>"濮阳职业技术学院"</f>
        <v>濮阳职业技术学院</v>
      </c>
      <c r="F5395" s="1" t="str">
        <f>"语文教育"</f>
        <v>语文教育</v>
      </c>
      <c r="G5395" s="1" t="str">
        <f>"河南省南阳市内乡县金城花园"</f>
        <v>河南省南阳市内乡县金城花园</v>
      </c>
      <c r="H5395" s="1" t="str">
        <f t="shared" si="2662"/>
        <v>无</v>
      </c>
      <c r="I5395" s="1" t="str">
        <f>"2018.09.01—2021.07濮阳职业技术学院人文学院语文教育专业就读
2021.08—2025.07至今未就业"</f>
        <v>2018.09.01—2021.07濮阳职业技术学院人文学院语文教育专业就读
2021.08—2025.07至今未就业</v>
      </c>
    </row>
    <row r="5396" spans="1:9">
      <c r="A5396" s="1" t="str">
        <f>"411327200206120025"</f>
        <v>411327200206120025</v>
      </c>
      <c r="B5396" s="1" t="str">
        <f>"中共党员"</f>
        <v>中共党员</v>
      </c>
      <c r="C5396" s="1" t="str">
        <f t="shared" ref="C5396:C5398" si="2664">"本科"</f>
        <v>本科</v>
      </c>
      <c r="D5396" s="1" t="str">
        <f>"20240701"</f>
        <v>20240701</v>
      </c>
      <c r="E5396" s="1" t="str">
        <f>"河南工程学院"</f>
        <v>河南工程学院</v>
      </c>
      <c r="F5396" s="1" t="str">
        <f>"电子商务"</f>
        <v>电子商务</v>
      </c>
      <c r="G5396" s="1" t="str">
        <f>"河南省南阳市内乡县"</f>
        <v>河南省南阳市内乡县</v>
      </c>
      <c r="H5396" s="1" t="str">
        <f t="shared" si="2662"/>
        <v>无</v>
      </c>
      <c r="I5396" s="1" t="str">
        <f>"202009-202407 河南工程学院就读 是全日制学历"</f>
        <v>202009-202407 河南工程学院就读 是全日制学历</v>
      </c>
    </row>
    <row r="5397" spans="1:9">
      <c r="A5397" s="1" t="str">
        <f>"41082520010928761X"</f>
        <v>41082520010928761X</v>
      </c>
      <c r="B5397" s="1" t="str">
        <f t="shared" ref="B5397:B5400" si="2665">"群众"</f>
        <v>群众</v>
      </c>
      <c r="C5397" s="1" t="str">
        <f t="shared" si="2664"/>
        <v>本科</v>
      </c>
      <c r="D5397" s="1" t="str">
        <f>"20230615"</f>
        <v>20230615</v>
      </c>
      <c r="E5397" s="1" t="str">
        <f>"江西理工大学"</f>
        <v>江西理工大学</v>
      </c>
      <c r="F5397" s="1" t="str">
        <f>"软件工程（金融学）"</f>
        <v>软件工程（金融学）</v>
      </c>
      <c r="G5397" s="1" t="str">
        <f>"河南省焦作市温县客运小区三号楼四单元一楼东户"</f>
        <v>河南省焦作市温县客运小区三号楼四单元一楼东户</v>
      </c>
      <c r="H5397" s="1" t="str">
        <f t="shared" si="2662"/>
        <v>无</v>
      </c>
      <c r="I5397" s="1" t="str">
        <f>"201909-202306 江西理工大学软件工程专业金融学方向在读 全日制本科
202308-202508 在广东省河源市连平县 西部计划广东地方项目志愿者"</f>
        <v>201909-202306 江西理工大学软件工程专业金融学方向在读 全日制本科
202308-202508 在广东省河源市连平县 西部计划广东地方项目志愿者</v>
      </c>
    </row>
    <row r="5398" spans="1:9">
      <c r="A5398" s="1" t="str">
        <f>"411330199508180018"</f>
        <v>411330199508180018</v>
      </c>
      <c r="B5398" s="1" t="str">
        <f t="shared" si="2665"/>
        <v>群众</v>
      </c>
      <c r="C5398" s="1" t="str">
        <f t="shared" si="2664"/>
        <v>本科</v>
      </c>
      <c r="D5398" s="1" t="str">
        <f>"20190701"</f>
        <v>20190701</v>
      </c>
      <c r="E5398" s="1" t="str">
        <f>"陕西理工大学"</f>
        <v>陕西理工大学</v>
      </c>
      <c r="F5398" s="1" t="str">
        <f>"信息与计算科学"</f>
        <v>信息与计算科学</v>
      </c>
      <c r="G5398" s="1" t="str">
        <f>"河南省南阳市西峡县丹水镇马边村"</f>
        <v>河南省南阳市西峡县丹水镇马边村</v>
      </c>
      <c r="H5398" s="1" t="str">
        <f t="shared" si="2662"/>
        <v>无</v>
      </c>
      <c r="I5398" s="1" t="str">
        <f>"201509-201906 陕西理工大学 数学与计算机科学学院 信息与计算科学专业学习，普通全日制学历。
201907-202308 河南省西峡县丹水镇马边村待业。
202308-202507 内乡县余关镇人民政府工作。"</f>
        <v>201509-201906 陕西理工大学 数学与计算机科学学院 信息与计算科学专业学习，普通全日制学历。
201907-202308 河南省西峡县丹水镇马边村待业。
202308-202507 内乡县余关镇人民政府工作。</v>
      </c>
    </row>
    <row r="5399" spans="1:9">
      <c r="A5399" s="1" t="str">
        <f>"411327200303200051"</f>
        <v>411327200303200051</v>
      </c>
      <c r="B5399" s="1" t="str">
        <f t="shared" ref="B5399:B5402" si="2666">"共青团员"</f>
        <v>共青团员</v>
      </c>
      <c r="C5399" s="1" t="str">
        <f t="shared" si="2663"/>
        <v>专科</v>
      </c>
      <c r="D5399" s="1" t="str">
        <f>"20240701"</f>
        <v>20240701</v>
      </c>
      <c r="E5399" s="1" t="str">
        <f>"河南医学高等专科学校"</f>
        <v>河南医学高等专科学校</v>
      </c>
      <c r="F5399" s="1" t="str">
        <f>"临床医学"</f>
        <v>临床医学</v>
      </c>
      <c r="G5399" s="1" t="str">
        <f>"河南省南阳市内乡县邮政小区"</f>
        <v>河南省南阳市内乡县邮政小区</v>
      </c>
      <c r="H5399" s="1" t="str">
        <f t="shared" si="2662"/>
        <v>无</v>
      </c>
      <c r="I5399" s="1" t="str">
        <f>"202109-202307 河南医学高等专科学校就读
202307-202404 南阳市第二人民医院实习
202404-至今在家待业"</f>
        <v>202109-202307 河南医学高等专科学校就读
202307-202404 南阳市第二人民医院实习
202404-至今在家待业</v>
      </c>
    </row>
    <row r="5400" spans="1:9">
      <c r="A5400" s="1" t="str">
        <f>"411325200410090086"</f>
        <v>411325200410090086</v>
      </c>
      <c r="B5400" s="1" t="str">
        <f t="shared" si="2665"/>
        <v>群众</v>
      </c>
      <c r="C5400" s="1" t="str">
        <f t="shared" si="2663"/>
        <v>专科</v>
      </c>
      <c r="D5400" s="1" t="str">
        <f>"20250707"</f>
        <v>20250707</v>
      </c>
      <c r="E5400" s="1" t="str">
        <f>"河南工业职业技术学院"</f>
        <v>河南工业职业技术学院</v>
      </c>
      <c r="F5400" s="1" t="str">
        <f>"大数据与会计"</f>
        <v>大数据与会计</v>
      </c>
      <c r="G5400" s="1" t="str">
        <f>"内乡县城关镇"</f>
        <v>内乡县城关镇</v>
      </c>
      <c r="H5400" s="1" t="str">
        <f t="shared" si="2662"/>
        <v>无</v>
      </c>
      <c r="I5400" s="1" t="str">
        <f>"202209-202507在河南工业职业技术学院是全日制学历"</f>
        <v>202209-202507在河南工业职业技术学院是全日制学历</v>
      </c>
    </row>
    <row r="5401" spans="1:9">
      <c r="A5401" s="1" t="str">
        <f>"410825200307207676"</f>
        <v>410825200307207676</v>
      </c>
      <c r="B5401" s="1" t="str">
        <f t="shared" si="2666"/>
        <v>共青团员</v>
      </c>
      <c r="C5401" s="1" t="str">
        <f>"本科"</f>
        <v>本科</v>
      </c>
      <c r="D5401" s="1" t="str">
        <f>"2024-06-17"</f>
        <v>2024-06-17</v>
      </c>
      <c r="E5401" s="1" t="str">
        <f>"郑州工商学院"</f>
        <v>郑州工商学院</v>
      </c>
      <c r="F5401" s="1" t="str">
        <f>"计算机科学与技术"</f>
        <v>计算机科学与技术</v>
      </c>
      <c r="G5401" s="1" t="str">
        <f>"河南省温县黄河街道滩陆庄西二路43号附一号"</f>
        <v>河南省温县黄河街道滩陆庄西二路43号附一号</v>
      </c>
      <c r="H5401" s="1" t="str">
        <f t="shared" si="2662"/>
        <v>无</v>
      </c>
      <c r="I5401" s="1" t="str">
        <f>"202009-202406 郑州工商学院信息工程学院计算机科学与技术 全日制本科 就读 "</f>
        <v>202009-202406 郑州工商学院信息工程学院计算机科学与技术 全日制本科 就读 </v>
      </c>
    </row>
    <row r="5402" spans="1:9">
      <c r="A5402" s="1" t="str">
        <f>"411324200201093428"</f>
        <v>411324200201093428</v>
      </c>
      <c r="B5402" s="1" t="str">
        <f t="shared" si="2666"/>
        <v>共青团员</v>
      </c>
      <c r="C5402" s="1" t="str">
        <f t="shared" ref="C5402:C5404" si="2667">"专科"</f>
        <v>专科</v>
      </c>
      <c r="D5402" s="1" t="str">
        <f>"20230701"</f>
        <v>20230701</v>
      </c>
      <c r="E5402" s="1" t="str">
        <f>"连云港师范高等专科学校"</f>
        <v>连云港师范高等专科学校</v>
      </c>
      <c r="F5402" s="1" t="str">
        <f>"英语教育"</f>
        <v>英语教育</v>
      </c>
      <c r="G5402" s="1" t="str">
        <f>"河南省南阳市镇平县"</f>
        <v>河南省南阳市镇平县</v>
      </c>
      <c r="H5402" s="1" t="str">
        <f t="shared" si="2662"/>
        <v>无</v>
      </c>
      <c r="I5402" s="1" t="str">
        <f>"202010-202307连云港师范高等专科学校 外语与商务学院 英语教育专业
202403-202607河南师范大学（函授） 教育学部 小学教育
202408-202502 镇平县万德隆上班"</f>
        <v>202010-202307连云港师范高等专科学校 外语与商务学院 英语教育专业
202403-202607河南师范大学（函授） 教育学部 小学教育
202408-202502 镇平县万德隆上班</v>
      </c>
    </row>
    <row r="5403" spans="1:9">
      <c r="A5403" s="1" t="str">
        <f>"411327199505193114"</f>
        <v>411327199505193114</v>
      </c>
      <c r="B5403" s="1" t="str">
        <f t="shared" ref="B5403:B5406" si="2668">"群众"</f>
        <v>群众</v>
      </c>
      <c r="C5403" s="1" t="str">
        <f t="shared" si="2667"/>
        <v>专科</v>
      </c>
      <c r="D5403" s="1" t="str">
        <f>"20160701"</f>
        <v>20160701</v>
      </c>
      <c r="E5403" s="1" t="str">
        <f>"河南理工大学万方科技学院"</f>
        <v>河南理工大学万方科技学院</v>
      </c>
      <c r="F5403" s="1" t="str">
        <f>"电子商务"</f>
        <v>电子商务</v>
      </c>
      <c r="G5403" s="1" t="str">
        <f>"	 河南省南阳市内乡县夏馆镇"</f>
        <v>	 河南省南阳市内乡县夏馆镇</v>
      </c>
      <c r="H5403" s="1" t="str">
        <f t="shared" si="2662"/>
        <v>无</v>
      </c>
      <c r="I5403" s="1" t="str">
        <f>"201309--2016007在河南理工大学万方科技学院电子商务专业就读"</f>
        <v>201309--2016007在河南理工大学万方科技学院电子商务专业就读</v>
      </c>
    </row>
    <row r="5404" spans="1:9">
      <c r="A5404" s="1" t="str">
        <f>"612523199903270019"</f>
        <v>612523199903270019</v>
      </c>
      <c r="B5404" s="1" t="str">
        <f t="shared" si="2668"/>
        <v>群众</v>
      </c>
      <c r="C5404" s="1" t="str">
        <f t="shared" si="2667"/>
        <v>专科</v>
      </c>
      <c r="D5404" s="1" t="str">
        <f>"2021.07.01"</f>
        <v>2021.07.01</v>
      </c>
      <c r="E5404" s="1" t="str">
        <f>"陕西工商职业学院"</f>
        <v>陕西工商职业学院</v>
      </c>
      <c r="F5404" s="1" t="str">
        <f>"建筑装饰工程技术"</f>
        <v>建筑装饰工程技术</v>
      </c>
      <c r="G5404" s="1" t="str">
        <f>"陕西省商洛市丹凤县龙驹寨镇河南人民路中段百姓大药房"</f>
        <v>陕西省商洛市丹凤县龙驹寨镇河南人民路中段百姓大药房</v>
      </c>
      <c r="H5404" s="1" t="str">
        <f t="shared" si="2662"/>
        <v>无</v>
      </c>
      <c r="I5404" s="1" t="str">
        <f>"2018.09-2021.7.1在陕西工商职业学院就读建筑装饰工程技术专业"</f>
        <v>2018.09-2021.7.1在陕西工商职业学院就读建筑装饰工程技术专业</v>
      </c>
    </row>
    <row r="5405" spans="1:9">
      <c r="A5405" s="1" t="str">
        <f>"411327200109101121"</f>
        <v>411327200109101121</v>
      </c>
      <c r="B5405" s="1" t="str">
        <f>"共青团员"</f>
        <v>共青团员</v>
      </c>
      <c r="C5405" s="1" t="str">
        <f t="shared" ref="C5405:C5412" si="2669">"本科"</f>
        <v>本科</v>
      </c>
      <c r="D5405" s="1" t="str">
        <f>"20250610"</f>
        <v>20250610</v>
      </c>
      <c r="E5405" s="1" t="str">
        <f>"中原科技学院"</f>
        <v>中原科技学院</v>
      </c>
      <c r="F5405" s="1" t="str">
        <f>"广播电视编导"</f>
        <v>广播电视编导</v>
      </c>
      <c r="G5405" s="1" t="str">
        <f>"河南省南阳市内乡县赤眉镇赤眉村杨洼101号"</f>
        <v>河南省南阳市内乡县赤眉镇赤眉村杨洼101号</v>
      </c>
      <c r="H5405" s="1" t="str">
        <f t="shared" si="2662"/>
        <v>无</v>
      </c>
      <c r="I5405" s="1" t="str">
        <f>"202009-202307郑州师范学院传播学院新闻采编与制作专业就读全日制专科
202309-202506中原科技学院文学与传播学院广播电视编导专业就读全日制本科"</f>
        <v>202009-202307郑州师范学院传播学院新闻采编与制作专业就读全日制专科
202309-202506中原科技学院文学与传播学院广播电视编导专业就读全日制本科</v>
      </c>
    </row>
    <row r="5406" spans="1:9">
      <c r="A5406" s="1" t="str">
        <f>"411330200201181564"</f>
        <v>411330200201181564</v>
      </c>
      <c r="B5406" s="1" t="str">
        <f t="shared" si="2668"/>
        <v>群众</v>
      </c>
      <c r="C5406" s="1" t="str">
        <f>"专科"</f>
        <v>专科</v>
      </c>
      <c r="D5406" s="1" t="str">
        <f>"20230620"</f>
        <v>20230620</v>
      </c>
      <c r="E5406" s="1" t="str">
        <f>"河南工业职业技术学院"</f>
        <v>河南工业职业技术学院</v>
      </c>
      <c r="F5406" s="1" t="str">
        <f>"建筑室内设计"</f>
        <v>建筑室内设计</v>
      </c>
      <c r="G5406" s="1" t="str">
        <f>"河南省南阳市西峡县"</f>
        <v>河南省南阳市西峡县</v>
      </c>
      <c r="H5406" s="1" t="str">
        <f>"建筑信息模型技术员四级证书"</f>
        <v>建筑信息模型技术员四级证书</v>
      </c>
      <c r="I5406" s="1" t="str">
        <f>"20200901-20230620在河南工业职业技术学院就读，2020年9月1日至2023年6月20日在河南工业职业技术学院建筑工程学院建筑室内设计专业就读，是全日制；2023年6月20日至今在河南省南阳市西峡县公安局田关派出所就职，岗位为巡防队员。"</f>
        <v>20200901-20230620在河南工业职业技术学院就读，2020年9月1日至2023年6月20日在河南工业职业技术学院建筑工程学院建筑室内设计专业就读，是全日制；2023年6月20日至今在河南省南阳市西峡县公安局田关派出所就职，岗位为巡防队员。</v>
      </c>
    </row>
    <row r="5407" spans="1:9">
      <c r="A5407" s="1" t="str">
        <f>"411327199405194224"</f>
        <v>411327199405194224</v>
      </c>
      <c r="B5407" s="1" t="str">
        <f>"中共党员"</f>
        <v>中共党员</v>
      </c>
      <c r="C5407" s="1" t="str">
        <f>"专科"</f>
        <v>专科</v>
      </c>
      <c r="D5407" s="1" t="str">
        <f>"20160607"</f>
        <v>20160607</v>
      </c>
      <c r="E5407" s="1" t="str">
        <f>"南阳医学高等专科学校"</f>
        <v>南阳医学高等专科学校</v>
      </c>
      <c r="F5407" s="1" t="str">
        <f>"护理学"</f>
        <v>护理学</v>
      </c>
      <c r="G5407" s="1" t="str">
        <f>"河南省内乡县"</f>
        <v>河南省内乡县</v>
      </c>
      <c r="H5407" s="1" t="str">
        <f>"护师专业技术资格"</f>
        <v>护师专业技术资格</v>
      </c>
      <c r="I5407" s="1" t="str">
        <f>"201309-201607 南阳医学高等专科学校 就读
201607-201712 内乡县城关镇卫生院  工作
201712-202208 内乡县余关镇卫生院 工作
202208至今  内乡县人民医院 工作"</f>
        <v>201309-201607 南阳医学高等专科学校 就读
201607-201712 内乡县城关镇卫生院  工作
201712-202208 内乡县余关镇卫生院 工作
202208至今  内乡县人民医院 工作</v>
      </c>
    </row>
    <row r="5408" spans="1:9">
      <c r="A5408" s="1" t="str">
        <f>"411381200003093977"</f>
        <v>411381200003093977</v>
      </c>
      <c r="B5408" s="1" t="str">
        <f>"共青团员"</f>
        <v>共青团员</v>
      </c>
      <c r="C5408" s="1" t="str">
        <f t="shared" si="2669"/>
        <v>本科</v>
      </c>
      <c r="D5408" s="1" t="str">
        <f>"20220620"</f>
        <v>20220620</v>
      </c>
      <c r="E5408" s="1" t="str">
        <f>"江苏师范大学科文学院"</f>
        <v>江苏师范大学科文学院</v>
      </c>
      <c r="F5408" s="1" t="str">
        <f>"自动化"</f>
        <v>自动化</v>
      </c>
      <c r="G5408" s="1" t="str">
        <f>"河南省南阳市内乡县大成西路"</f>
        <v>河南省南阳市内乡县大成西路</v>
      </c>
      <c r="H5408" s="1" t="str">
        <f t="shared" ref="H5408:H5429" si="2670">"无"</f>
        <v>无</v>
      </c>
      <c r="I5408" s="1" t="str">
        <f>"2018.9-2022.6就读于江苏师范大学科文学院自动化专业 为全日制本科学历 且取得学士学位证书
2022.9-2023.9任职于牧原肉食电气工程师岗位
2023.9-2025.7任职于江苏兴国教育有限公司"</f>
        <v>2018.9-2022.6就读于江苏师范大学科文学院自动化专业 为全日制本科学历 且取得学士学位证书
2022.9-2023.9任职于牧原肉食电气工程师岗位
2023.9-2025.7任职于江苏兴国教育有限公司</v>
      </c>
    </row>
    <row r="5409" spans="1:9">
      <c r="A5409" s="1" t="str">
        <f>"410725199710165727"</f>
        <v>410725199710165727</v>
      </c>
      <c r="B5409" s="1" t="str">
        <f>"中共预备党员"</f>
        <v>中共预备党员</v>
      </c>
      <c r="C5409" s="1" t="str">
        <f>"硕士研究生"</f>
        <v>硕士研究生</v>
      </c>
      <c r="D5409" s="1" t="str">
        <f>"20250612"</f>
        <v>20250612</v>
      </c>
      <c r="E5409" s="1" t="str">
        <f>"新疆农业大学"</f>
        <v>新疆农业大学</v>
      </c>
      <c r="F5409" s="1" t="str">
        <f>"农业工程与信息技术"</f>
        <v>农业工程与信息技术</v>
      </c>
      <c r="G5409" s="1" t="str">
        <f>"河南省新乡市原阳县靳堂乡娄凤鸣庄村"</f>
        <v>河南省新乡市原阳县靳堂乡娄凤鸣庄村</v>
      </c>
      <c r="H5409" s="1" t="str">
        <f t="shared" si="2670"/>
        <v>无</v>
      </c>
      <c r="I5409" s="1" t="str">
        <f>"201509-201807，黄河交通学院，全日制普通高等教育专科计算机应用技术专业；
201809-202007，郑州大学，全日制普通高等教育本科计算机科学与技术专业；
202008-202103，河南驼人医疗器械集团有限公司，任研发专员；
202104-202208，在河南省新乡市原阳县靳堂乡娄凤鸣庄村，待业；
202209-202506，新疆农业大学，全日制普通高等教育硕士农业工程与信息技术专业。"</f>
        <v>201509-201807，黄河交通学院，全日制普通高等教育专科计算机应用技术专业；
201809-202007，郑州大学，全日制普通高等教育本科计算机科学与技术专业；
202008-202103，河南驼人医疗器械集团有限公司，任研发专员；
202104-202208，在河南省新乡市原阳县靳堂乡娄凤鸣庄村，待业；
202209-202506，新疆农业大学，全日制普通高等教育硕士农业工程与信息技术专业。</v>
      </c>
    </row>
    <row r="5410" spans="1:9">
      <c r="A5410" s="1" t="str">
        <f>"411327199210260025"</f>
        <v>411327199210260025</v>
      </c>
      <c r="B5410" s="1" t="str">
        <f t="shared" ref="B5410:B5413" si="2671">"群众"</f>
        <v>群众</v>
      </c>
      <c r="C5410" s="1" t="str">
        <f t="shared" si="2669"/>
        <v>本科</v>
      </c>
      <c r="D5410" s="1" t="str">
        <f>"20160708"</f>
        <v>20160708</v>
      </c>
      <c r="E5410" s="1" t="str">
        <f>"天津商业大学"</f>
        <v>天津商业大学</v>
      </c>
      <c r="F5410" s="1" t="str">
        <f>"建筑环境与设备工程"</f>
        <v>建筑环境与设备工程</v>
      </c>
      <c r="G5410" s="1" t="str">
        <f>"河南省南阳市内乡县县衙西路"</f>
        <v>河南省南阳市内乡县县衙西路</v>
      </c>
      <c r="H5410" s="1" t="str">
        <f t="shared" si="2670"/>
        <v>无</v>
      </c>
      <c r="I5410" s="1" t="str">
        <f>"201209-201607天津商业大学机械工程学院建筑环境与设备工程专业全日制本科
201607在内乡待业
201707-201809郑州银行内乡支行
201809至今内乡县第一人民医院"</f>
        <v>201209-201607天津商业大学机械工程学院建筑环境与设备工程专业全日制本科
201607在内乡待业
201707-201809郑州银行内乡支行
201809至今内乡县第一人民医院</v>
      </c>
    </row>
    <row r="5411" spans="1:9">
      <c r="A5411" s="1" t="str">
        <f>"411325199812022048"</f>
        <v>411325199812022048</v>
      </c>
      <c r="B5411" s="1" t="str">
        <f t="shared" si="2671"/>
        <v>群众</v>
      </c>
      <c r="C5411" s="1" t="str">
        <f t="shared" si="2669"/>
        <v>本科</v>
      </c>
      <c r="D5411" s="1" t="str">
        <f>"20210701"</f>
        <v>20210701</v>
      </c>
      <c r="E5411" s="1" t="str">
        <f>"南阳理工学院"</f>
        <v>南阳理工学院</v>
      </c>
      <c r="F5411" s="1" t="str">
        <f>"工商管理"</f>
        <v>工商管理</v>
      </c>
      <c r="G5411" s="1" t="str">
        <f>"河南省南阳市内乡县"</f>
        <v>河南省南阳市内乡县</v>
      </c>
      <c r="H5411" s="1" t="str">
        <f t="shared" si="2670"/>
        <v>无</v>
      </c>
      <c r="I5411" s="1" t="str">
        <f>"20170901-20210701南阳理工学院范蠡商学院工商管理专业就读，全日制。"</f>
        <v>20170901-20210701南阳理工学院范蠡商学院工商管理专业就读，全日制。</v>
      </c>
    </row>
    <row r="5412" spans="1:9">
      <c r="A5412" s="1" t="str">
        <f>"411327199105040610"</f>
        <v>411327199105040610</v>
      </c>
      <c r="B5412" s="1" t="str">
        <f t="shared" si="2671"/>
        <v>群众</v>
      </c>
      <c r="C5412" s="1" t="str">
        <f t="shared" si="2669"/>
        <v>本科</v>
      </c>
      <c r="D5412" s="1" t="str">
        <f>"20180731"</f>
        <v>20180731</v>
      </c>
      <c r="E5412" s="1" t="str">
        <f>"国家开放大学"</f>
        <v>国家开放大学</v>
      </c>
      <c r="F5412" s="1" t="str">
        <f>"金融学"</f>
        <v>金融学</v>
      </c>
      <c r="G5412" s="1" t="str">
        <f>"河南省南阳市内乡县河东国税花苑小区"</f>
        <v>河南省南阳市内乡县河东国税花苑小区</v>
      </c>
      <c r="H5412" s="1" t="str">
        <f t="shared" si="2670"/>
        <v>无</v>
      </c>
      <c r="I5412" s="1" t="str">
        <f>"200909-201207在郑州职业技术学院物流管理专业就读是全日制
201209-201807在国家开放大学金融学专业就读非全日制
2013年至今在内乡农商银行工作"</f>
        <v>200909-201207在郑州职业技术学院物流管理专业就读是全日制
201209-201807在国家开放大学金融学专业就读非全日制
2013年至今在内乡农商银行工作</v>
      </c>
    </row>
    <row r="5413" spans="1:9">
      <c r="A5413" s="1" t="str">
        <f>"411327200103120313"</f>
        <v>411327200103120313</v>
      </c>
      <c r="B5413" s="1" t="str">
        <f t="shared" si="2671"/>
        <v>群众</v>
      </c>
      <c r="C5413" s="1" t="str">
        <f>"专科"</f>
        <v>专科</v>
      </c>
      <c r="D5413" s="1" t="str">
        <f t="shared" ref="D5413:D5418" si="2672">"20220701"</f>
        <v>20220701</v>
      </c>
      <c r="E5413" s="1" t="str">
        <f>"郑州铁路职业技术学院"</f>
        <v>郑州铁路职业技术学院</v>
      </c>
      <c r="F5413" s="1" t="str">
        <f>"工业机器人技术"</f>
        <v>工业机器人技术</v>
      </c>
      <c r="G5413" s="1" t="str">
        <f>"河南省南阳市内乡县大桥乡程岗村吕岗675"</f>
        <v>河南省南阳市内乡县大桥乡程岗村吕岗675</v>
      </c>
      <c r="H5413" s="1" t="str">
        <f t="shared" si="2670"/>
        <v>无</v>
      </c>
      <c r="I5413" s="1" t="str">
        <f>"201909-202207郑州铁路职业技术学院工业机器人技术专业就读"</f>
        <v>201909-202207郑州铁路职业技术学院工业机器人技术专业就读</v>
      </c>
    </row>
    <row r="5414" spans="1:9">
      <c r="A5414" s="1" t="str">
        <f>"411327200210220045"</f>
        <v>411327200210220045</v>
      </c>
      <c r="B5414" s="1" t="str">
        <f t="shared" ref="B5414:B5417" si="2673">"共青团员"</f>
        <v>共青团员</v>
      </c>
      <c r="C5414" s="1" t="str">
        <f t="shared" ref="C5414:C5417" si="2674">"本科"</f>
        <v>本科</v>
      </c>
      <c r="D5414" s="1" t="str">
        <f>"20250701"</f>
        <v>20250701</v>
      </c>
      <c r="E5414" s="1" t="str">
        <f>"河南师范大学"</f>
        <v>河南师范大学</v>
      </c>
      <c r="F5414" s="1" t="str">
        <f>"劳动与社会保障"</f>
        <v>劳动与社会保障</v>
      </c>
      <c r="G5414" s="1" t="str">
        <f>"河南省南阳市内乡县城关镇渚阳大街南16巷8号"</f>
        <v>河南省南阳市内乡县城关镇渚阳大街南16巷8号</v>
      </c>
      <c r="H5414" s="1" t="str">
        <f t="shared" si="2670"/>
        <v>无</v>
      </c>
      <c r="I5414" s="1" t="str">
        <f>"202110-202507 河南师范大学社会事业学院劳动与社会保障 全日制学历"</f>
        <v>202110-202507 河南师范大学社会事业学院劳动与社会保障 全日制学历</v>
      </c>
    </row>
    <row r="5415" spans="1:9">
      <c r="A5415" s="1" t="str">
        <f>"41133019990218202X"</f>
        <v>41133019990218202X</v>
      </c>
      <c r="B5415" s="1" t="str">
        <f t="shared" si="2673"/>
        <v>共青团员</v>
      </c>
      <c r="C5415" s="1" t="str">
        <f t="shared" si="2674"/>
        <v>本科</v>
      </c>
      <c r="D5415" s="1" t="str">
        <f>"20210701"</f>
        <v>20210701</v>
      </c>
      <c r="E5415" s="1" t="str">
        <f>"郑州财经学院"</f>
        <v>郑州财经学院</v>
      </c>
      <c r="F5415" s="1" t="str">
        <f>"国际经济与贸易"</f>
        <v>国际经济与贸易</v>
      </c>
      <c r="G5415" s="1" t="str">
        <f>"河南省西峡县五里桥镇"</f>
        <v>河南省西峡县五里桥镇</v>
      </c>
      <c r="H5415" s="1" t="str">
        <f t="shared" si="2670"/>
        <v>无</v>
      </c>
      <c r="I5415" s="1" t="str">
        <f>"201709-202106 就读于郑州财经学院 电子商务学院 国际经济与贸易专业 为全日制本科"</f>
        <v>201709-202106 就读于郑州财经学院 电子商务学院 国际经济与贸易专业 为全日制本科</v>
      </c>
    </row>
    <row r="5416" spans="1:9">
      <c r="A5416" s="1" t="str">
        <f>"342401200012028161"</f>
        <v>342401200012028161</v>
      </c>
      <c r="B5416" s="1" t="str">
        <f t="shared" si="2673"/>
        <v>共青团员</v>
      </c>
      <c r="C5416" s="1" t="str">
        <f t="shared" si="2674"/>
        <v>本科</v>
      </c>
      <c r="D5416" s="1" t="str">
        <f t="shared" si="2672"/>
        <v>20220701</v>
      </c>
      <c r="E5416" s="1" t="str">
        <f>"铜陵学院"</f>
        <v>铜陵学院</v>
      </c>
      <c r="F5416" s="1" t="str">
        <f>"财务管理"</f>
        <v>财务管理</v>
      </c>
      <c r="G5416" s="1" t="str">
        <f>"六安市金安区施桥镇丰乐大道"</f>
        <v>六安市金安区施桥镇丰乐大道</v>
      </c>
      <c r="H5416" s="1" t="str">
        <f t="shared" si="2670"/>
        <v>无</v>
      </c>
      <c r="I5416" s="1" t="str">
        <f>"201809-202207 铜陵学院会计学院财务管理专业  全日制本科
202207-202209 六安市金安区施桥镇待业
202209-202411 六安市金安区施桥镇人民政府乡村振兴办 业务人员
202411-至今     六安市金安区施桥镇财政和资产管理中心  出纳"</f>
        <v>201809-202207 铜陵学院会计学院财务管理专业  全日制本科
202207-202209 六安市金安区施桥镇待业
202209-202411 六安市金安区施桥镇人民政府乡村振兴办 业务人员
202411-至今     六安市金安区施桥镇财政和资产管理中心  出纳</v>
      </c>
    </row>
    <row r="5417" spans="1:9">
      <c r="A5417" s="1" t="str">
        <f>"410122200205275240"</f>
        <v>410122200205275240</v>
      </c>
      <c r="B5417" s="1" t="str">
        <f t="shared" si="2673"/>
        <v>共青团员</v>
      </c>
      <c r="C5417" s="1" t="str">
        <f t="shared" si="2674"/>
        <v>本科</v>
      </c>
      <c r="D5417" s="1" t="str">
        <f>"20250615"</f>
        <v>20250615</v>
      </c>
      <c r="E5417" s="1" t="str">
        <f>"洛阳师范学院"</f>
        <v>洛阳师范学院</v>
      </c>
      <c r="F5417" s="1" t="str">
        <f>"物联网工程"</f>
        <v>物联网工程</v>
      </c>
      <c r="G5417" s="1" t="str">
        <f>"河南省郑州市中牟县中牟造纸厂"</f>
        <v>河南省郑州市中牟县中牟造纸厂</v>
      </c>
      <c r="H5417" s="1" t="str">
        <f t="shared" si="2670"/>
        <v>无</v>
      </c>
      <c r="I5417" s="1" t="str">
        <f>"20210908-20250615 洛阳师范学院 信息技术学院 物联网工程  是全日制学历"</f>
        <v>20210908-20250615 洛阳师范学院 信息技术学院 物联网工程  是全日制学历</v>
      </c>
    </row>
    <row r="5418" spans="1:9">
      <c r="A5418" s="1" t="str">
        <f>"411330200001264824"</f>
        <v>411330200001264824</v>
      </c>
      <c r="B5418" s="1" t="str">
        <f>"群众"</f>
        <v>群众</v>
      </c>
      <c r="C5418" s="1" t="str">
        <f t="shared" ref="C5418:C5423" si="2675">"专科"</f>
        <v>专科</v>
      </c>
      <c r="D5418" s="1" t="str">
        <f t="shared" si="2672"/>
        <v>20220701</v>
      </c>
      <c r="E5418" s="1" t="str">
        <f>"驻马店幼儿师范高等专科学校"</f>
        <v>驻马店幼儿师范高等专科学校</v>
      </c>
      <c r="F5418" s="1" t="str">
        <f>"小学教育"</f>
        <v>小学教育</v>
      </c>
      <c r="G5418" s="1" t="str">
        <f>"河南省南阳市西峡县莲花北路发缘地隔壁"</f>
        <v>河南省南阳市西峡县莲花北路发缘地隔壁</v>
      </c>
      <c r="H5418" s="1" t="str">
        <f t="shared" si="2670"/>
        <v>无</v>
      </c>
      <c r="I5418" s="1" t="str">
        <f>"201909-202207 驻马店幼儿师范高等专科学校 小学教育专业 就读"</f>
        <v>201909-202207 驻马店幼儿师范高等专科学校 小学教育专业 就读</v>
      </c>
    </row>
    <row r="5419" spans="1:9">
      <c r="A5419" s="1" t="str">
        <f>"41132720010413256X"</f>
        <v>41132720010413256X</v>
      </c>
      <c r="B5419" s="1" t="str">
        <f t="shared" ref="B5419:B5424" si="2676">"共青团员"</f>
        <v>共青团员</v>
      </c>
      <c r="C5419" s="1" t="str">
        <f t="shared" ref="C5419:C5430" si="2677">"本科"</f>
        <v>本科</v>
      </c>
      <c r="D5419" s="1" t="str">
        <f>"20230701"</f>
        <v>20230701</v>
      </c>
      <c r="E5419" s="1" t="str">
        <f>"信阳学院"</f>
        <v>信阳学院</v>
      </c>
      <c r="F5419" s="1" t="str">
        <f>"小学教育"</f>
        <v>小学教育</v>
      </c>
      <c r="G5419" s="1" t="str">
        <f>"河南省南阳市内乡县王店镇周营村大周营东702号"</f>
        <v>河南省南阳市内乡县王店镇周营村大周营东702号</v>
      </c>
      <c r="H5419" s="1" t="str">
        <f t="shared" si="2670"/>
        <v>无</v>
      </c>
      <c r="I5419" s="1" t="str">
        <f>"201909-202307信阳学院教育学院小学教育专业就读，全日制本科；
202308-202407叶县博文学校教书；
202408-202501菊谭学校教书；
202502-至今在家中待业。"</f>
        <v>201909-202307信阳学院教育学院小学教育专业就读，全日制本科；
202308-202407叶县博文学校教书；
202408-202501菊谭学校教书；
202502-至今在家中待业。</v>
      </c>
    </row>
    <row r="5420" spans="1:9">
      <c r="A5420" s="1" t="str">
        <f>"411327200203121129"</f>
        <v>411327200203121129</v>
      </c>
      <c r="B5420" s="1" t="str">
        <f t="shared" si="2676"/>
        <v>共青团员</v>
      </c>
      <c r="C5420" s="1" t="str">
        <f t="shared" si="2677"/>
        <v>本科</v>
      </c>
      <c r="D5420" s="1" t="str">
        <f>"20240630"</f>
        <v>20240630</v>
      </c>
      <c r="E5420" s="1" t="str">
        <f>"西安工商学院"</f>
        <v>西安工商学院</v>
      </c>
      <c r="F5420" s="1" t="str">
        <f>"汉语言文学"</f>
        <v>汉语言文学</v>
      </c>
      <c r="G5420" s="1" t="str">
        <f>"河南省南阳市内乡县城关镇大成西路十六巷二号"</f>
        <v>河南省南阳市内乡县城关镇大成西路十六巷二号</v>
      </c>
      <c r="H5420" s="1" t="str">
        <f t="shared" si="2670"/>
        <v>无</v>
      </c>
      <c r="I5420" s="1" t="str">
        <f>"202009-202406  西安工商学院，文学与新闻传播学院，汉语言文学专业就读，全日制学历
202407-至今  待业"</f>
        <v>202009-202406  西安工商学院，文学与新闻传播学院，汉语言文学专业就读，全日制学历
202407-至今  待业</v>
      </c>
    </row>
    <row r="5421" spans="1:9">
      <c r="A5421" s="1" t="str">
        <f>"411327199410014515"</f>
        <v>411327199410014515</v>
      </c>
      <c r="B5421" s="1" t="str">
        <f>"中共党员"</f>
        <v>中共党员</v>
      </c>
      <c r="C5421" s="1" t="str">
        <f>"硕士研究生"</f>
        <v>硕士研究生</v>
      </c>
      <c r="D5421" s="1" t="str">
        <f>"20250630"</f>
        <v>20250630</v>
      </c>
      <c r="E5421" s="1" t="str">
        <f>"福建农林大学"</f>
        <v>福建农林大学</v>
      </c>
      <c r="F5421" s="1" t="str">
        <f>"生物学"</f>
        <v>生物学</v>
      </c>
      <c r="G5421" s="1" t="str">
        <f>"江苏省苏州市虎丘区娄葑街道夏园新村"</f>
        <v>江苏省苏州市虎丘区娄葑街道夏园新村</v>
      </c>
      <c r="H5421" s="1" t="str">
        <f t="shared" si="2670"/>
        <v>无</v>
      </c>
      <c r="I5421" s="1" t="str">
        <f>"201309-201706商丘师范学院 生物工程专业就读 全日制；
201707-201711河南省南阳市内乡县 待业；
201711-201805广东省深圳市康拓普科技服务有限公司就业；
201806-202106广东省深圳市梦网科技服务有限公司就业；
202107-202208广东省深圳市南山区桃源街道待业；
202209-202506福建农林大学 生物学专业就读 全日制。"</f>
        <v>201309-201706商丘师范学院 生物工程专业就读 全日制；
201707-201711河南省南阳市内乡县 待业；
201711-201805广东省深圳市康拓普科技服务有限公司就业；
201806-202106广东省深圳市梦网科技服务有限公司就业；
202107-202208广东省深圳市南山区桃源街道待业；
202209-202506福建农林大学 生物学专业就读 全日制。</v>
      </c>
    </row>
    <row r="5422" spans="1:9">
      <c r="A5422" s="1" t="str">
        <f>"411327200210130314"</f>
        <v>411327200210130314</v>
      </c>
      <c r="B5422" s="1" t="str">
        <f t="shared" ref="B5422:B5427" si="2678">"群众"</f>
        <v>群众</v>
      </c>
      <c r="C5422" s="1" t="str">
        <f t="shared" si="2675"/>
        <v>专科</v>
      </c>
      <c r="D5422" s="1" t="str">
        <f>"20230715"</f>
        <v>20230715</v>
      </c>
      <c r="E5422" s="1" t="str">
        <f>"漯河职业技术学院"</f>
        <v>漯河职业技术学院</v>
      </c>
      <c r="F5422" s="1" t="str">
        <f>"语文教育（师范）"</f>
        <v>语文教育（师范）</v>
      </c>
      <c r="G5422" s="1" t="str">
        <f>"河南省南阳市内乡县"</f>
        <v>河南省南阳市内乡县</v>
      </c>
      <c r="H5422" s="1" t="str">
        <f t="shared" si="2670"/>
        <v>无</v>
      </c>
      <c r="I5422" s="1" t="str">
        <f>"202009-202307漯河职业技术学院就读
202309-202405内乡牧原综合体
202409-202506山东信得"</f>
        <v>202009-202307漯河职业技术学院就读
202309-202405内乡牧原综合体
202409-202506山东信得</v>
      </c>
    </row>
    <row r="5423" spans="1:9">
      <c r="A5423" s="1" t="str">
        <f>"410581200106030020"</f>
        <v>410581200106030020</v>
      </c>
      <c r="B5423" s="1" t="str">
        <f t="shared" si="2676"/>
        <v>共青团员</v>
      </c>
      <c r="C5423" s="1" t="str">
        <f t="shared" si="2675"/>
        <v>专科</v>
      </c>
      <c r="D5423" s="1" t="str">
        <f>"20220701"</f>
        <v>20220701</v>
      </c>
      <c r="E5423" s="1" t="str">
        <f>"河南水利与环境职业学院"</f>
        <v>河南水利与环境职业学院</v>
      </c>
      <c r="F5423" s="1" t="str">
        <f>"环境艺术设计"</f>
        <v>环境艺术设计</v>
      </c>
      <c r="G5423" s="1" t="str">
        <f>"河南省安阳市林州市桂园街道"</f>
        <v>河南省安阳市林州市桂园街道</v>
      </c>
      <c r="H5423" s="1" t="str">
        <f t="shared" si="2670"/>
        <v>无</v>
      </c>
      <c r="I5423" s="1" t="str">
        <f>"201909-202207 河南水利与环境职业学院 环境工程系 环境艺术设计专业就读 是全日制
201609-201906 河南省林州市第四中学就读 是全日制
201309-201606 河南省林州市第九中学就读 是全日制
200709-201306 河南省林州市桂园学校就读 是全日制"</f>
        <v>201909-202207 河南水利与环境职业学院 环境工程系 环境艺术设计专业就读 是全日制
201609-201906 河南省林州市第四中学就读 是全日制
201309-201606 河南省林州市第九中学就读 是全日制
200709-201306 河南省林州市桂园学校就读 是全日制</v>
      </c>
    </row>
    <row r="5424" spans="1:9">
      <c r="A5424" s="1" t="str">
        <f>"411302200103100016"</f>
        <v>411302200103100016</v>
      </c>
      <c r="B5424" s="1" t="str">
        <f t="shared" si="2676"/>
        <v>共青团员</v>
      </c>
      <c r="C5424" s="1" t="str">
        <f t="shared" si="2677"/>
        <v>本科</v>
      </c>
      <c r="D5424" s="1" t="str">
        <f>"20250607"</f>
        <v>20250607</v>
      </c>
      <c r="E5424" s="1" t="str">
        <f>"洛阳理工学院"</f>
        <v>洛阳理工学院</v>
      </c>
      <c r="F5424" s="1" t="str">
        <f>"电气工程及其自动化"</f>
        <v>电气工程及其自动化</v>
      </c>
      <c r="G5424" s="1" t="str">
        <f>"河南省南阳市宛城区邮电社区"</f>
        <v>河南省南阳市宛城区邮电社区</v>
      </c>
      <c r="H5424" s="1" t="str">
        <f t="shared" si="2670"/>
        <v>无</v>
      </c>
      <c r="I5424" s="1" t="str">
        <f>"201609-201909 河南工业职业技术学院 专科 机电一体化
201909-202109 71集团军陆军
202109-202306 河南工业职业技术学院 专科 机电一体化
202309-202506 洛阳理工学院 本科 电气工程及其自动化
"</f>
        <v>201609-201909 河南工业职业技术学院 专科 机电一体化
201909-202109 71集团军陆军
202109-202306 河南工业职业技术学院 专科 机电一体化
202309-202506 洛阳理工学院 本科 电气工程及其自动化
</v>
      </c>
    </row>
    <row r="5425" spans="1:9">
      <c r="A5425" s="1" t="str">
        <f>"411330199205181515"</f>
        <v>411330199205181515</v>
      </c>
      <c r="B5425" s="1" t="str">
        <f t="shared" si="2678"/>
        <v>群众</v>
      </c>
      <c r="C5425" s="1" t="str">
        <f t="shared" si="2677"/>
        <v>本科</v>
      </c>
      <c r="D5425" s="1" t="str">
        <f>"2014.06"</f>
        <v>2014.06</v>
      </c>
      <c r="E5425" s="1" t="str">
        <f>"东北农业大学成栋学院"</f>
        <v>东北农业大学成栋学院</v>
      </c>
      <c r="F5425" s="1" t="str">
        <f>"生物技术"</f>
        <v>生物技术</v>
      </c>
      <c r="G5425" s="1" t="str">
        <f>"西峡县弘福康小区"</f>
        <v>西峡县弘福康小区</v>
      </c>
      <c r="H5425" s="1" t="str">
        <f t="shared" si="2670"/>
        <v>无</v>
      </c>
      <c r="I5425" s="1" t="str">
        <f>"201009-201406 东北农业大学成栋学院生物食品系生物技术专业就读，全日制学历；201406-201501 西峡县待业；201501至今 西峡县光源电力维修有限责任公司工作。"</f>
        <v>201009-201406 东北农业大学成栋学院生物食品系生物技术专业就读，全日制学历；201406-201501 西峡县待业；201501至今 西峡县光源电力维修有限责任公司工作。</v>
      </c>
    </row>
    <row r="5426" spans="1:9">
      <c r="A5426" s="1" t="str">
        <f>"410581200110058034"</f>
        <v>410581200110058034</v>
      </c>
      <c r="B5426" s="1" t="str">
        <f>"共青团员"</f>
        <v>共青团员</v>
      </c>
      <c r="C5426" s="1" t="str">
        <f t="shared" si="2677"/>
        <v>本科</v>
      </c>
      <c r="D5426" s="1" t="str">
        <f>"20240617"</f>
        <v>20240617</v>
      </c>
      <c r="E5426" s="1" t="str">
        <f>"郑州工商学院"</f>
        <v>郑州工商学院</v>
      </c>
      <c r="F5426" s="1" t="str">
        <f>"学前教育"</f>
        <v>学前教育</v>
      </c>
      <c r="G5426" s="1" t="str">
        <f>"河南省安阳市林州市陵阳镇柳林村"</f>
        <v>河南省安阳市林州市陵阳镇柳林村</v>
      </c>
      <c r="H5426" s="1" t="str">
        <f t="shared" si="2670"/>
        <v>无</v>
      </c>
      <c r="I5426" s="1" t="str">
        <f>"201909-202206商丘学院就读。
202209-202406郑州工商学院就读。"</f>
        <v>201909-202206商丘学院就读。
202209-202406郑州工商学院就读。</v>
      </c>
    </row>
    <row r="5427" spans="1:9">
      <c r="A5427" s="1" t="str">
        <f>"411327200303250016"</f>
        <v>411327200303250016</v>
      </c>
      <c r="B5427" s="1" t="str">
        <f t="shared" si="2678"/>
        <v>群众</v>
      </c>
      <c r="C5427" s="1" t="str">
        <f t="shared" si="2677"/>
        <v>本科</v>
      </c>
      <c r="D5427" s="1" t="str">
        <f>"20250612"</f>
        <v>20250612</v>
      </c>
      <c r="E5427" s="1" t="str">
        <f>"黄河科技学院"</f>
        <v>黄河科技学院</v>
      </c>
      <c r="F5427" s="1" t="str">
        <f>"环境设计"</f>
        <v>环境设计</v>
      </c>
      <c r="G5427" s="1" t="str">
        <f>"河南省南阳市内乡县湍东镇罗岗村申家组"</f>
        <v>河南省南阳市内乡县湍东镇罗岗村申家组</v>
      </c>
      <c r="H5427" s="1" t="str">
        <f t="shared" si="2670"/>
        <v>无</v>
      </c>
      <c r="I5427" s="1" t="str">
        <f>"202109-202506黄河科技学院艺术设计学院环境设计专业就读，全日制学历"</f>
        <v>202109-202506黄河科技学院艺术设计学院环境设计专业就读，全日制学历</v>
      </c>
    </row>
    <row r="5428" spans="1:9">
      <c r="A5428" s="1" t="str">
        <f>"411303199701201811"</f>
        <v>411303199701201811</v>
      </c>
      <c r="B5428" s="1" t="str">
        <f>"中共党员"</f>
        <v>中共党员</v>
      </c>
      <c r="C5428" s="1" t="str">
        <f t="shared" si="2677"/>
        <v>本科</v>
      </c>
      <c r="D5428" s="1" t="str">
        <f>"20200701"</f>
        <v>20200701</v>
      </c>
      <c r="E5428" s="1" t="str">
        <f>"南阳师范学院"</f>
        <v>南阳师范学院</v>
      </c>
      <c r="F5428" s="1" t="str">
        <f>"软件工程"</f>
        <v>软件工程</v>
      </c>
      <c r="G5428" s="1" t="str">
        <f>"河南省南阳市卧龙区车站南路44号"</f>
        <v>河南省南阳市卧龙区车站南路44号</v>
      </c>
      <c r="H5428" s="1" t="str">
        <f t="shared" si="2670"/>
        <v>无</v>
      </c>
      <c r="I5428" s="1" t="str">
        <f>"201609-202007，河南省南阳市，南阳师范学院计算机与信息技术学院，就读全日制软件工程专业
201609-202007，河南省南阳市，南阳师范学院外国语学院，就读全日制辅修双学位英语专业
202008-202102，河南省南阳市，南阳师范学院，新媒体运营
202103-202109，河南省南阳市，南阳市公共资源交易中心，工程师
202110-202403，湖南省长沙市，中国人民解放军国防科技大学，工程师
202404-至今，河南省南阳市，小米公司运营，小米之家主管"</f>
        <v>201609-202007，河南省南阳市，南阳师范学院计算机与信息技术学院，就读全日制软件工程专业
201609-202007，河南省南阳市，南阳师范学院外国语学院，就读全日制辅修双学位英语专业
202008-202102，河南省南阳市，南阳师范学院，新媒体运营
202103-202109，河南省南阳市，南阳市公共资源交易中心，工程师
202110-202403，湖南省长沙市，中国人民解放军国防科技大学，工程师
202404-至今，河南省南阳市，小米公司运营，小米之家主管</v>
      </c>
    </row>
    <row r="5429" spans="1:9">
      <c r="A5429" s="1" t="str">
        <f>"411327199110150013"</f>
        <v>411327199110150013</v>
      </c>
      <c r="B5429" s="1" t="str">
        <f>"中共党员"</f>
        <v>中共党员</v>
      </c>
      <c r="C5429" s="1" t="str">
        <f t="shared" si="2677"/>
        <v>本科</v>
      </c>
      <c r="D5429" s="1" t="str">
        <f>"20160610"</f>
        <v>20160610</v>
      </c>
      <c r="E5429" s="1" t="str">
        <f>"南阳师范学院"</f>
        <v>南阳师范学院</v>
      </c>
      <c r="F5429" s="1" t="str">
        <f>"土木工程"</f>
        <v>土木工程</v>
      </c>
      <c r="G5429" s="1" t="str">
        <f>"内乡县师苑小区"</f>
        <v>内乡县师苑小区</v>
      </c>
      <c r="H5429" s="1" t="str">
        <f t="shared" si="2670"/>
        <v>无</v>
      </c>
      <c r="I5429" s="1" t="str">
        <f>"201109-201406焦作大学就读；201409-201606南阳师范学院就读；201606-201701在家待业；201701-202210城乡一体化发展有限公司；202210-至今余关镇人民政府"</f>
        <v>201109-201406焦作大学就读；201409-201606南阳师范学院就读；201606-201701在家待业；201701-202210城乡一体化发展有限公司；202210-至今余关镇人民政府</v>
      </c>
    </row>
    <row r="5430" spans="1:9">
      <c r="A5430" s="1" t="str">
        <f>"410381199802043021"</f>
        <v>410381199802043021</v>
      </c>
      <c r="B5430" s="1" t="str">
        <f t="shared" ref="B5430:B5433" si="2679">"群众"</f>
        <v>群众</v>
      </c>
      <c r="C5430" s="1" t="str">
        <f t="shared" si="2677"/>
        <v>本科</v>
      </c>
      <c r="D5430" s="1" t="str">
        <f>"20220630"</f>
        <v>20220630</v>
      </c>
      <c r="E5430" s="1" t="str">
        <f>"郑州财经学院"</f>
        <v>郑州财经学院</v>
      </c>
      <c r="F5430" s="1" t="str">
        <f>"财务管理"</f>
        <v>财务管理</v>
      </c>
      <c r="G5430" s="1" t="str">
        <f>"河南省郑州市管城区橡树玫瑰城"</f>
        <v>河南省郑州市管城区橡树玫瑰城</v>
      </c>
      <c r="H5430" s="1" t="str">
        <f>"初级会计证书"</f>
        <v>初级会计证书</v>
      </c>
      <c r="I5430" s="1" t="str">
        <f>"201709-202007 河南工程学院会计学院审计专业就读 全日制专科；
202007-202207 郑州财经学院会计学院财务管理专业就读 全日制本科；
"</f>
        <v>201709-202007 河南工程学院会计学院审计专业就读 全日制专科；
202007-202207 郑州财经学院会计学院财务管理专业就读 全日制本科；
</v>
      </c>
    </row>
    <row r="5431" spans="1:9">
      <c r="A5431" s="1" t="str">
        <f>"410923200410104213"</f>
        <v>410923200410104213</v>
      </c>
      <c r="B5431" s="1" t="str">
        <f t="shared" si="2679"/>
        <v>群众</v>
      </c>
      <c r="C5431" s="1" t="str">
        <f t="shared" ref="C5431:C5434" si="2680">"专科"</f>
        <v>专科</v>
      </c>
      <c r="D5431" s="1" t="str">
        <f>"20260701"</f>
        <v>20260701</v>
      </c>
      <c r="E5431" s="1" t="str">
        <f>"鹤壁职业技术学院"</f>
        <v>鹤壁职业技术学院</v>
      </c>
      <c r="F5431" s="1" t="str">
        <f>"建筑室内设计专业"</f>
        <v>建筑室内设计专业</v>
      </c>
      <c r="G5431" s="1" t="str">
        <f>"河南郑州"</f>
        <v>河南郑州</v>
      </c>
      <c r="H5431" s="1" t="str">
        <f t="shared" ref="H5431:H5433" si="2681">"无"</f>
        <v>无</v>
      </c>
      <c r="I5431" s="1" t="str">
        <f>"202309-202607 鹤壁职业技术学院 建筑设计与工程学院建筑室内设计专业就读，全日制学历"</f>
        <v>202309-202607 鹤壁职业技术学院 建筑设计与工程学院建筑室内设计专业就读，全日制学历</v>
      </c>
    </row>
    <row r="5432" spans="1:9">
      <c r="A5432" s="1" t="str">
        <f>"411330200201281581"</f>
        <v>411330200201281581</v>
      </c>
      <c r="B5432" s="1" t="str">
        <f>"共青团员"</f>
        <v>共青团员</v>
      </c>
      <c r="C5432" s="1" t="str">
        <f t="shared" si="2680"/>
        <v>专科</v>
      </c>
      <c r="D5432" s="1" t="str">
        <f>"20230701"</f>
        <v>20230701</v>
      </c>
      <c r="E5432" s="1" t="str">
        <f>"西安航空职业技术学院"</f>
        <v>西安航空职业技术学院</v>
      </c>
      <c r="F5432" s="1" t="str">
        <f>"空中乘务"</f>
        <v>空中乘务</v>
      </c>
      <c r="G5432" s="1" t="str">
        <f>"河南省南阳市西峡县恒康小区"</f>
        <v>河南省南阳市西峡县恒康小区</v>
      </c>
      <c r="H5432" s="1" t="str">
        <f t="shared" si="2681"/>
        <v>无</v>
      </c>
      <c r="I5432" s="1" t="str">
        <f>"2017.09-2020.7西峡县第二高级中学
2020.10-2023.7西安航空职业技术学院"</f>
        <v>2017.09-2020.7西峡县第二高级中学
2020.10-2023.7西安航空职业技术学院</v>
      </c>
    </row>
    <row r="5433" spans="1:9">
      <c r="A5433" s="1" t="str">
        <f>"411327199806244536"</f>
        <v>411327199806244536</v>
      </c>
      <c r="B5433" s="1" t="str">
        <f t="shared" si="2679"/>
        <v>群众</v>
      </c>
      <c r="C5433" s="1" t="str">
        <f t="shared" si="2680"/>
        <v>专科</v>
      </c>
      <c r="D5433" s="1" t="str">
        <f>"20200701"</f>
        <v>20200701</v>
      </c>
      <c r="E5433" s="1" t="str">
        <f>"河南交通职业技术学院"</f>
        <v>河南交通职业技术学院</v>
      </c>
      <c r="F5433" s="1" t="str">
        <f>"财务管理"</f>
        <v>财务管理</v>
      </c>
      <c r="G5433" s="1" t="str">
        <f>"内乡县鼎荣华府小区"</f>
        <v>内乡县鼎荣华府小区</v>
      </c>
      <c r="H5433" s="1" t="str">
        <f t="shared" si="2681"/>
        <v>无</v>
      </c>
      <c r="I5433" s="1" t="str">
        <f>"201709-202007  河南交通职业技术学院   财务管理      全日制
202008-202507   河南交投交通建设集团有限公司
"</f>
        <v>201709-202007  河南交通职业技术学院   财务管理      全日制
202008-202507   河南交投交通建设集团有限公司
</v>
      </c>
    </row>
    <row r="5434" spans="1:9">
      <c r="A5434" s="1" t="str">
        <f>"411327200307070012"</f>
        <v>411327200307070012</v>
      </c>
      <c r="B5434" s="1" t="str">
        <f>"共青团员"</f>
        <v>共青团员</v>
      </c>
      <c r="C5434" s="1" t="str">
        <f t="shared" si="2680"/>
        <v>专科</v>
      </c>
      <c r="D5434" s="1" t="str">
        <f>"20240701"</f>
        <v>20240701</v>
      </c>
      <c r="E5434" s="1" t="str">
        <f>"黄河水利职业技术学院"</f>
        <v>黄河水利职业技术学院</v>
      </c>
      <c r="F5434" s="1" t="str">
        <f>"大数据与会计（注册会计师方向）"</f>
        <v>大数据与会计（注册会计师方向）</v>
      </c>
      <c r="G5434" s="1" t="str">
        <f>"河南省南阳市内乡县城关镇"</f>
        <v>河南省南阳市内乡县城关镇</v>
      </c>
      <c r="H5434" s="1" t="str">
        <f>"初级会计证"</f>
        <v>初级会计证</v>
      </c>
      <c r="I5434" s="1" t="str">
        <f>"202109-202407在黄河水利职业技术学院金融与会计学院大数据与会计（注册会计师方向）专业就读，是全日制学历"</f>
        <v>202109-202407在黄河水利职业技术学院金融与会计学院大数据与会计（注册会计师方向）专业就读，是全日制学历</v>
      </c>
    </row>
    <row r="5435" spans="1:9">
      <c r="A5435" s="1" t="str">
        <f>"411303199307020035"</f>
        <v>411303199307020035</v>
      </c>
      <c r="B5435" s="1" t="str">
        <f t="shared" ref="B5435:B5437" si="2682">"群众"</f>
        <v>群众</v>
      </c>
      <c r="C5435" s="1" t="str">
        <f t="shared" ref="C5435:C5438" si="2683">"本科"</f>
        <v>本科</v>
      </c>
      <c r="D5435" s="1" t="str">
        <f>"20160701"</f>
        <v>20160701</v>
      </c>
      <c r="E5435" s="1" t="str">
        <f>"河南理工大学"</f>
        <v>河南理工大学</v>
      </c>
      <c r="F5435" s="1" t="str">
        <f>"电子信息工程"</f>
        <v>电子信息工程</v>
      </c>
      <c r="G5435" s="1" t="str">
        <f>"南阳市宛城区医圣祠街书苑小区"</f>
        <v>南阳市宛城区医圣祠街书苑小区</v>
      </c>
      <c r="H5435" s="1" t="str">
        <f t="shared" ref="H5435:H5438" si="2684">"无"</f>
        <v>无</v>
      </c>
      <c r="I5435" s="1" t="str">
        <f>"201209-201607 河南理工大学电气学院电子信息工程专业就读
201607-201610 南阳牧原集团工作
201610-201711 南阳待业
201711至今 南阳市南水北调工程运行保障中心（南阳市移民服务中心）工作"</f>
        <v>201209-201607 河南理工大学电气学院电子信息工程专业就读
201607-201610 南阳牧原集团工作
201610-201711 南阳待业
201711至今 南阳市南水北调工程运行保障中心（南阳市移民服务中心）工作</v>
      </c>
    </row>
    <row r="5436" spans="1:9">
      <c r="A5436" s="1" t="str">
        <f>"411327200001292982"</f>
        <v>411327200001292982</v>
      </c>
      <c r="B5436" s="1" t="str">
        <f t="shared" si="2682"/>
        <v>群众</v>
      </c>
      <c r="C5436" s="1" t="str">
        <f t="shared" ref="C5436:C5441" si="2685">"专科"</f>
        <v>专科</v>
      </c>
      <c r="D5436" s="1" t="str">
        <f>"20210701"</f>
        <v>20210701</v>
      </c>
      <c r="E5436" s="1" t="str">
        <f>"黄河科技学院"</f>
        <v>黄河科技学院</v>
      </c>
      <c r="F5436" s="1" t="str">
        <f>"电子信息工程技术"</f>
        <v>电子信息工程技术</v>
      </c>
      <c r="G5436" s="1" t="str">
        <f>"南阳市内乡县瓦亭镇"</f>
        <v>南阳市内乡县瓦亭镇</v>
      </c>
      <c r="H5436" s="1" t="str">
        <f t="shared" si="2684"/>
        <v>无</v>
      </c>
      <c r="I5436" s="1" t="str">
        <f>"201809-202107黄河科技学院工学部电子信息工程技术专业就读全日制；202107-202203待业；202204-至今湍东镇人民政府"</f>
        <v>201809-202107黄河科技学院工学部电子信息工程技术专业就读全日制；202107-202203待业；202204-至今湍东镇人民政府</v>
      </c>
    </row>
    <row r="5437" spans="1:9">
      <c r="A5437" s="1" t="str">
        <f>"411327199704050079"</f>
        <v>411327199704050079</v>
      </c>
      <c r="B5437" s="1" t="str">
        <f t="shared" si="2682"/>
        <v>群众</v>
      </c>
      <c r="C5437" s="1" t="str">
        <f t="shared" si="2683"/>
        <v>本科</v>
      </c>
      <c r="D5437" s="1" t="str">
        <f>"20200622"</f>
        <v>20200622</v>
      </c>
      <c r="E5437" s="1" t="str">
        <f>"辽宁石油化工大学"</f>
        <v>辽宁石油化工大学</v>
      </c>
      <c r="F5437" s="1" t="str">
        <f>"给排水科学与工程"</f>
        <v>给排水科学与工程</v>
      </c>
      <c r="G5437" s="1" t="str">
        <f>"河南省南阳市内乡县金盟清华苑"</f>
        <v>河南省南阳市内乡县金盟清华苑</v>
      </c>
      <c r="H5437" s="1" t="str">
        <f t="shared" si="2684"/>
        <v>无</v>
      </c>
      <c r="I5437" s="1" t="str">
        <f>"2012.08--2016.06南阳市内乡县高级中学学习；2016.06--2016.09.待入学；2016.09--2020.06辽宁石油化工大学学习；2020.06--2021.05社旗牧原农牧设备有限公司职员；2021.05--2022.07在家待业；2022.07--2023.08重庆玖龙纸业有限公司职员；2023.08--2024.07在家待业；2024.07至今，寅兴重工科技有限公司职员。"</f>
        <v>2012.08--2016.06南阳市内乡县高级中学学习；2016.06--2016.09.待入学；2016.09--2020.06辽宁石油化工大学学习；2020.06--2021.05社旗牧原农牧设备有限公司职员；2021.05--2022.07在家待业；2022.07--2023.08重庆玖龙纸业有限公司职员；2023.08--2024.07在家待业；2024.07至今，寅兴重工科技有限公司职员。</v>
      </c>
    </row>
    <row r="5438" spans="1:9">
      <c r="A5438" s="1" t="str">
        <f>"410328199901239626"</f>
        <v>410328199901239626</v>
      </c>
      <c r="B5438" s="1" t="str">
        <f>"中共党员"</f>
        <v>中共党员</v>
      </c>
      <c r="C5438" s="1" t="str">
        <f t="shared" si="2683"/>
        <v>本科</v>
      </c>
      <c r="D5438" s="1" t="str">
        <f>"20250620"</f>
        <v>20250620</v>
      </c>
      <c r="E5438" s="1" t="str">
        <f>"洛阳师范"</f>
        <v>洛阳师范</v>
      </c>
      <c r="F5438" s="1" t="str">
        <f>"小学教育"</f>
        <v>小学教育</v>
      </c>
      <c r="G5438" s="1" t="str">
        <f>"河南省南阳市内乡县城关镇工商银行北隔墙"</f>
        <v>河南省南阳市内乡县城关镇工商银行北隔墙</v>
      </c>
      <c r="H5438" s="1" t="str">
        <f t="shared" si="2684"/>
        <v>无</v>
      </c>
      <c r="I5438" s="1" t="str">
        <f>"201709-202006 郑州工业应用技术学院 机电工程学院 城市轨道交通运营管理专业就读（全日制学历）
202304-202506 洛阳师范学院 继续教育学院 小学教育专业就读（非全日制学历）
2020-2023在洛阳市洛宁县待业"</f>
        <v>201709-202006 郑州工业应用技术学院 机电工程学院 城市轨道交通运营管理专业就读（全日制学历）
202304-202506 洛阳师范学院 继续教育学院 小学教育专业就读（非全日制学历）
2020-2023在洛阳市洛宁县待业</v>
      </c>
    </row>
    <row r="5439" spans="1:9">
      <c r="A5439" s="1" t="str">
        <f>"411327200409010061"</f>
        <v>411327200409010061</v>
      </c>
      <c r="B5439" s="1" t="str">
        <f t="shared" ref="B5439:B5443" si="2686">"群众"</f>
        <v>群众</v>
      </c>
      <c r="C5439" s="1" t="str">
        <f t="shared" si="2685"/>
        <v>专科</v>
      </c>
      <c r="D5439" s="1" t="str">
        <f>"20250607"</f>
        <v>20250607</v>
      </c>
      <c r="E5439" s="1" t="str">
        <f>"周口职业技术学院"</f>
        <v>周口职业技术学院</v>
      </c>
      <c r="F5439" s="1" t="str">
        <f>"早期教育"</f>
        <v>早期教育</v>
      </c>
      <c r="G5439" s="1" t="str">
        <f>"内乡县城关镇东风村一组"</f>
        <v>内乡县城关镇东风村一组</v>
      </c>
      <c r="H5439" s="1" t="str">
        <f>"保育证三级，舞蹈教师资格证四六级"</f>
        <v>保育证三级，舞蹈教师资格证四六级</v>
      </c>
      <c r="I5439" s="1" t="str">
        <f>"202209-202506周口职业技术学院就读学前与艺术教育学院早期教育专业就读是全日制大专"</f>
        <v>202209-202506周口职业技术学院就读学前与艺术教育学院早期教育专业就读是全日制大专</v>
      </c>
    </row>
    <row r="5440" spans="1:9">
      <c r="A5440" s="1" t="str">
        <f>"411327200007291534"</f>
        <v>411327200007291534</v>
      </c>
      <c r="B5440" s="1" t="str">
        <f>"共青团员"</f>
        <v>共青团员</v>
      </c>
      <c r="C5440" s="1" t="str">
        <f>"硕士研究生"</f>
        <v>硕士研究生</v>
      </c>
      <c r="D5440" s="1" t="str">
        <f>"2025年7月6日"</f>
        <v>2025年7月6日</v>
      </c>
      <c r="E5440" s="1" t="str">
        <f>"西藏大学"</f>
        <v>西藏大学</v>
      </c>
      <c r="F5440" s="1" t="str">
        <f>"学科教学化学"</f>
        <v>学科教学化学</v>
      </c>
      <c r="G5440" s="1" t="str">
        <f>"河南省南阳市内乡县老牛铺村"</f>
        <v>河南省南阳市内乡县老牛铺村</v>
      </c>
      <c r="H5440" s="1" t="str">
        <f t="shared" ref="H5440:H5450" si="2687">"无"</f>
        <v>无</v>
      </c>
      <c r="I5440" s="1" t="str">
        <f>"2018年9月-2022年7月西藏农牧学院 公共教学部应用化学专业就读，全日制
2022年9月-2025年7月西藏大学 生态环境学院  学科教学（化学）全日制"</f>
        <v>2018年9月-2022年7月西藏农牧学院 公共教学部应用化学专业就读，全日制
2022年9月-2025年7月西藏大学 生态环境学院  学科教学（化学）全日制</v>
      </c>
    </row>
    <row r="5441" spans="1:9">
      <c r="A5441" s="1" t="str">
        <f>"411330200108135547"</f>
        <v>411330200108135547</v>
      </c>
      <c r="B5441" s="1" t="str">
        <f>"共青团员"</f>
        <v>共青团员</v>
      </c>
      <c r="C5441" s="1" t="str">
        <f t="shared" si="2685"/>
        <v>专科</v>
      </c>
      <c r="D5441" s="1" t="str">
        <f>"20230701"</f>
        <v>20230701</v>
      </c>
      <c r="E5441" s="1" t="str">
        <f>"漯河职业技术学院"</f>
        <v>漯河职业技术学院</v>
      </c>
      <c r="F5441" s="1" t="str">
        <f>"小学教育"</f>
        <v>小学教育</v>
      </c>
      <c r="G5441" s="1" t="str">
        <f>"河南省南阳市西峡县弘福康小区7号楼"</f>
        <v>河南省南阳市西峡县弘福康小区7号楼</v>
      </c>
      <c r="H5441" s="1" t="str">
        <f t="shared" si="2687"/>
        <v>无</v>
      </c>
      <c r="I5441" s="1" t="str">
        <f>"20200901-20230701 漯河职业技术学院就读 全日制学历 
20230901-20241224  工作于金太阳辅导机构
20241225-20250728  工作于丁河镇邮政储蓄银行"</f>
        <v>20200901-20230701 漯河职业技术学院就读 全日制学历 
20230901-20241224  工作于金太阳辅导机构
20241225-20250728  工作于丁河镇邮政储蓄银行</v>
      </c>
    </row>
    <row r="5442" spans="1:9">
      <c r="A5442" s="1" t="str">
        <f>"411325200202172087"</f>
        <v>411325200202172087</v>
      </c>
      <c r="B5442" s="1" t="str">
        <f t="shared" si="2686"/>
        <v>群众</v>
      </c>
      <c r="C5442" s="1" t="str">
        <f t="shared" ref="C5442:C5444" si="2688">"本科"</f>
        <v>本科</v>
      </c>
      <c r="D5442" s="1" t="str">
        <f>"2025-06-30"</f>
        <v>2025-06-30</v>
      </c>
      <c r="E5442" s="1" t="str">
        <f>"河南师范大学"</f>
        <v>河南师范大学</v>
      </c>
      <c r="F5442" s="1" t="str">
        <f>"计算机科学与技术"</f>
        <v>计算机科学与技术</v>
      </c>
      <c r="G5442" s="1" t="str">
        <f>"河南省南阳市内乡县岞曲镇"</f>
        <v>河南省南阳市内乡县岞曲镇</v>
      </c>
      <c r="H5442" s="1" t="str">
        <f t="shared" si="2687"/>
        <v>无</v>
      </c>
      <c r="I5442" s="1" t="str">
        <f>"202109-2025-06 河南师范大学 就读
202506-202507 在家待业"</f>
        <v>202109-2025-06 河南师范大学 就读
202506-202507 在家待业</v>
      </c>
    </row>
    <row r="5443" spans="1:9">
      <c r="A5443" s="1" t="str">
        <f>"411324199905300012"</f>
        <v>411324199905300012</v>
      </c>
      <c r="B5443" s="1" t="str">
        <f t="shared" si="2686"/>
        <v>群众</v>
      </c>
      <c r="C5443" s="1" t="str">
        <f t="shared" si="2688"/>
        <v>本科</v>
      </c>
      <c r="D5443" s="1" t="str">
        <f>"20240701"</f>
        <v>20240701</v>
      </c>
      <c r="E5443" s="1" t="str">
        <f>"南阳理工学院"</f>
        <v>南阳理工学院</v>
      </c>
      <c r="F5443" s="1" t="str">
        <f>"工商管理"</f>
        <v>工商管理</v>
      </c>
      <c r="G5443" s="1" t="str">
        <f>"河南省南阳市镇平县上和院"</f>
        <v>河南省南阳市镇平县上和院</v>
      </c>
      <c r="H5443" s="1" t="str">
        <f t="shared" si="2687"/>
        <v>无</v>
      </c>
      <c r="I5443" s="1" t="str">
        <f>"2013至2016镇平县雪峰中学 2016.9至2021.9入伍东部战区空军94789部队 入伍期间取得国家开放大学函授毕业证书 2021.9至今取得南阳理工学院本科函授证书"</f>
        <v>2013至2016镇平县雪峰中学 2016.9至2021.9入伍东部战区空军94789部队 入伍期间取得国家开放大学函授毕业证书 2021.9至今取得南阳理工学院本科函授证书</v>
      </c>
    </row>
    <row r="5444" spans="1:9">
      <c r="A5444" s="1" t="str">
        <f>"411330200101010514"</f>
        <v>411330200101010514</v>
      </c>
      <c r="B5444" s="1" t="str">
        <f>"中共党员"</f>
        <v>中共党员</v>
      </c>
      <c r="C5444" s="1" t="str">
        <f t="shared" si="2688"/>
        <v>本科</v>
      </c>
      <c r="D5444" s="1" t="str">
        <f>"20230701"</f>
        <v>20230701</v>
      </c>
      <c r="E5444" s="1" t="str">
        <f>"新乡学院"</f>
        <v>新乡学院</v>
      </c>
      <c r="F5444" s="1" t="str">
        <f>"电气工程及其自动化"</f>
        <v>电气工程及其自动化</v>
      </c>
      <c r="G5444" s="1" t="str">
        <f>"河南省南阳市西峡县田关镇孙沟村周庄组"</f>
        <v>河南省南阳市西峡县田关镇孙沟村周庄组</v>
      </c>
      <c r="H5444" s="1" t="str">
        <f t="shared" si="2687"/>
        <v>无</v>
      </c>
      <c r="I5444" s="1" t="str">
        <f>"201909-202307在新乡学院3D打印学院电气工程及其自动化专业就读"</f>
        <v>201909-202307在新乡学院3D打印学院电气工程及其自动化专业就读</v>
      </c>
    </row>
    <row r="5445" spans="1:9">
      <c r="A5445" s="1" t="str">
        <f>"411302199604070825"</f>
        <v>411302199604070825</v>
      </c>
      <c r="B5445" s="1" t="str">
        <f>"群众"</f>
        <v>群众</v>
      </c>
      <c r="C5445" s="1" t="str">
        <f>"专科"</f>
        <v>专科</v>
      </c>
      <c r="D5445" s="1" t="str">
        <f>"20180701"</f>
        <v>20180701</v>
      </c>
      <c r="E5445" s="1" t="str">
        <f>"黄河水利职业技术学院"</f>
        <v>黄河水利职业技术学院</v>
      </c>
      <c r="F5445" s="1" t="str">
        <f>"财务信息管理"</f>
        <v>财务信息管理</v>
      </c>
      <c r="G5445" s="1" t="str">
        <f>"河南省南阳市宛城区枣林街道欧亚商务酒店西地税局家属院"</f>
        <v>河南省南阳市宛城区枣林街道欧亚商务酒店西地税局家属院</v>
      </c>
      <c r="H5445" s="1" t="str">
        <f t="shared" si="2687"/>
        <v>无</v>
      </c>
      <c r="I5445" s="1" t="str">
        <f>"201509-201807 黄河水利职业技术学院财经系财务信息管理专业就读，全日制
201902-202110南阳市Jz工作室担任舞蹈老师
202111-202306待业
202307-202411南阳市魔幻盒子工作
202412-至今待业"</f>
        <v>201509-201807 黄河水利职业技术学院财经系财务信息管理专业就读，全日制
201902-202110南阳市Jz工作室担任舞蹈老师
202111-202306待业
202307-202411南阳市魔幻盒子工作
202412-至今待业</v>
      </c>
    </row>
    <row r="5446" spans="1:9">
      <c r="A5446" s="1" t="str">
        <f>"411326200302106446"</f>
        <v>411326200302106446</v>
      </c>
      <c r="B5446" s="1" t="str">
        <f t="shared" ref="B5446:B5448" si="2689">"共青团员"</f>
        <v>共青团员</v>
      </c>
      <c r="C5446" s="1" t="str">
        <f t="shared" ref="C5446:C5448" si="2690">"本科"</f>
        <v>本科</v>
      </c>
      <c r="D5446" s="1" t="str">
        <f>"20250701"</f>
        <v>20250701</v>
      </c>
      <c r="E5446" s="1" t="str">
        <f>"河南财政金融学院"</f>
        <v>河南财政金融学院</v>
      </c>
      <c r="F5446" s="1" t="str">
        <f>"环境科学"</f>
        <v>环境科学</v>
      </c>
      <c r="G5446" s="1" t="str">
        <f>"河南省南阳市淅川县龙城花园二期"</f>
        <v>河南省南阳市淅川县龙城花园二期</v>
      </c>
      <c r="H5446" s="1" t="str">
        <f t="shared" si="2687"/>
        <v>无</v>
      </c>
      <c r="I5446" s="1" t="str">
        <f>"202109-202507河南财政金融学院环境经济学院环境科学专业就读"</f>
        <v>202109-202507河南财政金融学院环境经济学院环境科学专业就读</v>
      </c>
    </row>
    <row r="5447" spans="1:9">
      <c r="A5447" s="1" t="str">
        <f>"410726199902200044"</f>
        <v>410726199902200044</v>
      </c>
      <c r="B5447" s="1" t="str">
        <f t="shared" si="2689"/>
        <v>共青团员</v>
      </c>
      <c r="C5447" s="1" t="str">
        <f t="shared" si="2690"/>
        <v>本科</v>
      </c>
      <c r="D5447" s="1" t="str">
        <f>"20240701"</f>
        <v>20240701</v>
      </c>
      <c r="E5447" s="1" t="str">
        <f>"郑州师范学院"</f>
        <v>郑州师范学院</v>
      </c>
      <c r="F5447" s="1" t="str">
        <f>"小学教育"</f>
        <v>小学教育</v>
      </c>
      <c r="G5447" s="1" t="str">
        <f>"河南省新乡市延津县柳园小区"</f>
        <v>河南省新乡市延津县柳园小区</v>
      </c>
      <c r="H5447" s="1" t="str">
        <f t="shared" si="2687"/>
        <v>无</v>
      </c>
      <c r="I5447" s="1" t="str">
        <f>"2017.09至2020.07 河南师范大学新联学院就读   全日制  学生
2020.09至2021.02 延津县阳光学校 教师
2021.03至2022.02 待业
2022.03至2024.07 郑州师范学院 函授本科  
2023.09至今 新乡学院附属中学  教师"</f>
        <v>2017.09至2020.07 河南师范大学新联学院就读   全日制  学生
2020.09至2021.02 延津县阳光学校 教师
2021.03至2022.02 待业
2022.03至2024.07 郑州师范学院 函授本科  
2023.09至今 新乡学院附属中学  教师</v>
      </c>
    </row>
    <row r="5448" spans="1:9">
      <c r="A5448" s="1" t="str">
        <f>"34262219940102062X"</f>
        <v>34262219940102062X</v>
      </c>
      <c r="B5448" s="1" t="str">
        <f t="shared" si="2689"/>
        <v>共青团员</v>
      </c>
      <c r="C5448" s="1" t="str">
        <f t="shared" si="2690"/>
        <v>本科</v>
      </c>
      <c r="D5448" s="1" t="str">
        <f>"20170607"</f>
        <v>20170607</v>
      </c>
      <c r="E5448" s="1" t="str">
        <f>"中国人民公安大学"</f>
        <v>中国人民公安大学</v>
      </c>
      <c r="F5448" s="1" t="str">
        <f>"公安管理"</f>
        <v>公安管理</v>
      </c>
      <c r="G5448" s="1" t="str">
        <f>"安徽省合肥市庐江县骏业四季花城"</f>
        <v>安徽省合肥市庐江县骏业四季花城</v>
      </c>
      <c r="H5448" s="1" t="str">
        <f t="shared" si="2687"/>
        <v>无</v>
      </c>
      <c r="I5448" s="1" t="str">
        <f>"201409-201706  铁道警察学校（全日制专科） 
201504-201909 中国人民公安大学（自考本科）
201706-至今 待业"</f>
        <v>201409-201706  铁道警察学校（全日制专科） 
201504-201909 中国人民公安大学（自考本科）
201706-至今 待业</v>
      </c>
    </row>
    <row r="5449" spans="1:9">
      <c r="A5449" s="1" t="str">
        <f>"411324200302142831"</f>
        <v>411324200302142831</v>
      </c>
      <c r="B5449" s="1" t="str">
        <f>"中共党员"</f>
        <v>中共党员</v>
      </c>
      <c r="C5449" s="1" t="str">
        <f>"专科"</f>
        <v>专科</v>
      </c>
      <c r="D5449" s="1" t="str">
        <f>"2024-07-01"</f>
        <v>2024-07-01</v>
      </c>
      <c r="E5449" s="1" t="str">
        <f>"河南工业职业技术学院"</f>
        <v>河南工业职业技术学院</v>
      </c>
      <c r="F5449" s="1" t="str">
        <f>"机械制造及自动化"</f>
        <v>机械制造及自动化</v>
      </c>
      <c r="G5449" s="1" t="str">
        <f>"河南省南阳市邓州市古城街道振坤路一巷"</f>
        <v>河南省南阳市邓州市古城街道振坤路一巷</v>
      </c>
      <c r="H5449" s="1" t="str">
        <f t="shared" si="2687"/>
        <v>无</v>
      </c>
      <c r="I5449" s="1" t="str">
        <f>"2021年9月在河南工业职业技术学院机械工程学院就读全日制专科
2023年10月在无锡恩捷股份有限公司担任工艺员
2024年6月在济源华新石油机械有限公司担任技术员
2024年10月在广东惠州市tcl工厂餐厅辣上瘾麻辣烫担任店长
2025年4月在邓州市公安局新华派出所担任治安巡防队员
至今"</f>
        <v>2021年9月在河南工业职业技术学院机械工程学院就读全日制专科
2023年10月在无锡恩捷股份有限公司担任工艺员
2024年6月在济源华新石油机械有限公司担任技术员
2024年10月在广东惠州市tcl工厂餐厅辣上瘾麻辣烫担任店长
2025年4月在邓州市公安局新华派出所担任治安巡防队员
至今</v>
      </c>
    </row>
    <row r="5450" spans="1:9">
      <c r="A5450" s="1" t="str">
        <f>"411326200009092428"</f>
        <v>411326200009092428</v>
      </c>
      <c r="B5450" s="1" t="str">
        <f>"共青团员"</f>
        <v>共青团员</v>
      </c>
      <c r="C5450" s="1" t="str">
        <f t="shared" ref="C5450:C5454" si="2691">"本科"</f>
        <v>本科</v>
      </c>
      <c r="D5450" s="1" t="str">
        <f>"20220701"</f>
        <v>20220701</v>
      </c>
      <c r="E5450" s="1" t="str">
        <f>"河南财政金融学院"</f>
        <v>河南财政金融学院</v>
      </c>
      <c r="F5450" s="1" t="str">
        <f>"社会工作"</f>
        <v>社会工作</v>
      </c>
      <c r="G5450" s="1" t="str">
        <f>"河南省南阳市南召县太山庙乡"</f>
        <v>河南省南阳市南召县太山庙乡</v>
      </c>
      <c r="H5450" s="1" t="str">
        <f t="shared" si="2687"/>
        <v>无</v>
      </c>
      <c r="I5450" s="1" t="str">
        <f>"201809-202206河南财政金融学院法学院社会工作专业就读 全日制学历
202207-202406南召县太山庙乡待业
202407-202501南阳新途径教育科技有限公司
202502-202507南召县太山庙乡待业"</f>
        <v>201809-202206河南财政金融学院法学院社会工作专业就读 全日制学历
202207-202406南召县太山庙乡待业
202407-202501南阳新途径教育科技有限公司
202502-202507南召县太山庙乡待业</v>
      </c>
    </row>
    <row r="5451" ht="175.5" spans="1:9">
      <c r="A5451" s="1" t="str">
        <f>"342201199105294411"</f>
        <v>342201199105294411</v>
      </c>
      <c r="B5451" s="1" t="str">
        <f t="shared" ref="B5451:B5455" si="2692">"群众"</f>
        <v>群众</v>
      </c>
      <c r="C5451" s="1" t="str">
        <f t="shared" si="2691"/>
        <v>本科</v>
      </c>
      <c r="D5451" s="1" t="str">
        <f>"20130620"</f>
        <v>20130620</v>
      </c>
      <c r="E5451" s="1" t="str">
        <f>"河北科技大学理工学院"</f>
        <v>河北科技大学理工学院</v>
      </c>
      <c r="F5451" s="1" t="str">
        <f>"国际经济与贸易"</f>
        <v>国际经济与贸易</v>
      </c>
      <c r="G5451" s="1" t="str">
        <f>"江苏省南京市秦淮区莺虹苑4幢10号302室"</f>
        <v>江苏省南京市秦淮区莺虹苑4幢10号302室</v>
      </c>
      <c r="H5451" s="1" t="str">
        <f>"中级经济师（金融）、中级经济师（工商管理）、中级统计师、中级审计师等。"</f>
        <v>中级经济师（金融）、中级经济师（工商管理）、中级统计师、中级审计师等。</v>
      </c>
      <c r="I5451" s="3" t="s">
        <v>293</v>
      </c>
    </row>
    <row r="5452" spans="1:9">
      <c r="A5452" s="1" t="str">
        <f>"411327199512051149"</f>
        <v>411327199512051149</v>
      </c>
      <c r="B5452" s="1" t="str">
        <f t="shared" si="2692"/>
        <v>群众</v>
      </c>
      <c r="C5452" s="1" t="str">
        <f t="shared" si="2691"/>
        <v>本科</v>
      </c>
      <c r="D5452" s="1" t="str">
        <f>"20180701"</f>
        <v>20180701</v>
      </c>
      <c r="E5452" s="1" t="str">
        <f>"洛阳师范学院"</f>
        <v>洛阳师范学院</v>
      </c>
      <c r="F5452" s="1" t="str">
        <f>"国际经济与贸易"</f>
        <v>国际经济与贸易</v>
      </c>
      <c r="G5452" s="1" t="str">
        <f>"河南省南阳市内乡县赤眉镇朱陈村"</f>
        <v>河南省南阳市内乡县赤眉镇朱陈村</v>
      </c>
      <c r="H5452" s="1" t="str">
        <f t="shared" ref="H5452:H5459" si="2693">"无"</f>
        <v>无</v>
      </c>
      <c r="I5452" s="1" t="str">
        <f>"2014.9.1-2018.7.1  洛阳师范学院商学院国际经济与贸易专业  全日制
2018.10.1-2021.4  杭州小尖科技任职前端开发工程师
2021.5.21-2025.6.25  南阳市张衡中学任职高中英语教师
2025.7.10起在家待业"</f>
        <v>2014.9.1-2018.7.1  洛阳师范学院商学院国际经济与贸易专业  全日制
2018.10.1-2021.4  杭州小尖科技任职前端开发工程师
2021.5.21-2025.6.25  南阳市张衡中学任职高中英语教师
2025.7.10起在家待业</v>
      </c>
    </row>
    <row r="5453" spans="1:9">
      <c r="A5453" s="1" t="str">
        <f>"411303199110010087"</f>
        <v>411303199110010087</v>
      </c>
      <c r="B5453" s="1" t="str">
        <f t="shared" si="2692"/>
        <v>群众</v>
      </c>
      <c r="C5453" s="1" t="str">
        <f t="shared" si="2691"/>
        <v>本科</v>
      </c>
      <c r="D5453" s="1" t="str">
        <f>"20220701"</f>
        <v>20220701</v>
      </c>
      <c r="E5453" s="1" t="str">
        <f>"南阳理工学院"</f>
        <v>南阳理工学院</v>
      </c>
      <c r="F5453" s="1" t="str">
        <f>"财务管理"</f>
        <v>财务管理</v>
      </c>
      <c r="G5453" s="1" t="str">
        <f>"河南省南阳市卧龙区中州西路"</f>
        <v>河南省南阳市卧龙区中州西路</v>
      </c>
      <c r="H5453" s="1" t="str">
        <f t="shared" si="2693"/>
        <v>无</v>
      </c>
      <c r="I5453" s="1" t="str">
        <f>"200809-201106 南阳经济贸易学校就读 全日制
201308-201906 河南美巢文化传播有限公司
201703-201907 南阳理工学院 会计电算化 非全日制
201909-202010 白河社会保障所
202003-202207 南阳理工学院 财务管理 非全日制
202011-202112 河南奥体康建实业有限公司
202201-202312 南阳市汉画馆
202401-至今      河南奥体康建实业有限公司
"</f>
        <v>200809-201106 南阳经济贸易学校就读 全日制
201308-201906 河南美巢文化传播有限公司
201703-201907 南阳理工学院 会计电算化 非全日制
201909-202010 白河社会保障所
202003-202207 南阳理工学院 财务管理 非全日制
202011-202112 河南奥体康建实业有限公司
202201-202312 南阳市汉画馆
202401-至今      河南奥体康建实业有限公司
</v>
      </c>
    </row>
    <row r="5454" spans="1:9">
      <c r="A5454" s="1" t="str">
        <f>"411325200011151603"</f>
        <v>411325200011151603</v>
      </c>
      <c r="B5454" s="1" t="str">
        <f t="shared" si="2692"/>
        <v>群众</v>
      </c>
      <c r="C5454" s="1" t="str">
        <f t="shared" si="2691"/>
        <v>本科</v>
      </c>
      <c r="D5454" s="1" t="str">
        <f>"20230701"</f>
        <v>20230701</v>
      </c>
      <c r="E5454" s="1" t="str">
        <f>"郑州工商学院"</f>
        <v>郑州工商学院</v>
      </c>
      <c r="F5454" s="1" t="str">
        <f>"法学"</f>
        <v>法学</v>
      </c>
      <c r="G5454" s="1" t="str">
        <f>"河南省南阳市内乡县宏达南路20巷"</f>
        <v>河南省南阳市内乡县宏达南路20巷</v>
      </c>
      <c r="H5454" s="1" t="str">
        <f t="shared" si="2693"/>
        <v>无</v>
      </c>
      <c r="I5454" s="1" t="str">
        <f>"201809-202107河南检察职业学院 就读检察系
202109-202307郑州工商学院 就读法学"</f>
        <v>201809-202107河南检察职业学院 就读检察系
202109-202307郑州工商学院 就读法学</v>
      </c>
    </row>
    <row r="5455" spans="1:9">
      <c r="A5455" s="1" t="str">
        <f>"411323199910263483"</f>
        <v>411323199910263483</v>
      </c>
      <c r="B5455" s="1" t="str">
        <f t="shared" si="2692"/>
        <v>群众</v>
      </c>
      <c r="C5455" s="1" t="str">
        <f>"硕士研究生"</f>
        <v>硕士研究生</v>
      </c>
      <c r="D5455" s="1" t="str">
        <f>"20230621"</f>
        <v>20230621</v>
      </c>
      <c r="E5455" s="1" t="str">
        <f>"黑龙江大学"</f>
        <v>黑龙江大学</v>
      </c>
      <c r="F5455" s="1" t="str">
        <f>"新闻与传播"</f>
        <v>新闻与传播</v>
      </c>
      <c r="G5455" s="1" t="str">
        <f>"河南省南阳市宛城区红泥湾镇姚家湾村"</f>
        <v>河南省南阳市宛城区红泥湾镇姚家湾村</v>
      </c>
      <c r="H5455" s="1" t="str">
        <f t="shared" si="2693"/>
        <v>无</v>
      </c>
      <c r="I5455" s="1" t="str">
        <f>"201709-202106 河南工业大学新闻与传播学院广告学就读 全日制学历
202109-202306 黑龙江大学新闻传播学院新闻与传播专业就读 全日制学历
202306至今待就业"</f>
        <v>201709-202106 河南工业大学新闻与传播学院广告学就读 全日制学历
202109-202306 黑龙江大学新闻传播学院新闻与传播专业就读 全日制学历
202306至今待就业</v>
      </c>
    </row>
    <row r="5456" spans="1:9">
      <c r="A5456" s="1" t="str">
        <f>"411527200102078580"</f>
        <v>411527200102078580</v>
      </c>
      <c r="B5456" s="1" t="str">
        <f>"共青团员"</f>
        <v>共青团员</v>
      </c>
      <c r="C5456" s="1" t="str">
        <f t="shared" ref="C5456:C5460" si="2694">"本科"</f>
        <v>本科</v>
      </c>
      <c r="D5456" s="1" t="str">
        <f>"20240605"</f>
        <v>20240605</v>
      </c>
      <c r="E5456" s="1" t="str">
        <f>"中原科技学院"</f>
        <v>中原科技学院</v>
      </c>
      <c r="F5456" s="1" t="str">
        <f>"汉语言文学"</f>
        <v>汉语言文学</v>
      </c>
      <c r="G5456" s="1" t="str">
        <f>"河南省信阳市平桥区前进街道"</f>
        <v>河南省信阳市平桥区前进街道</v>
      </c>
      <c r="H5456" s="1" t="str">
        <f t="shared" si="2693"/>
        <v>无</v>
      </c>
      <c r="I5456" s="1" t="str">
        <f>"201909—202206 信阳职业技术学院 就读 语言与传媒学院语文教育专业 全日制学历
202209—202406 中原科技学院 就读 文学与传媒学院汉语言文学专业
全日制学历"</f>
        <v>201909—202206 信阳职业技术学院 就读 语言与传媒学院语文教育专业 全日制学历
202209—202406 中原科技学院 就读 文学与传媒学院汉语言文学专业
全日制学历</v>
      </c>
    </row>
    <row r="5457" spans="1:9">
      <c r="A5457" s="1" t="str">
        <f>"411327200201193946"</f>
        <v>411327200201193946</v>
      </c>
      <c r="B5457" s="1" t="str">
        <f>"群众"</f>
        <v>群众</v>
      </c>
      <c r="C5457" s="1" t="str">
        <f t="shared" si="2694"/>
        <v>本科</v>
      </c>
      <c r="D5457" s="1" t="str">
        <f>"20230701"</f>
        <v>20230701</v>
      </c>
      <c r="E5457" s="1" t="str">
        <f>"郑州升达经贸管理学院"</f>
        <v>郑州升达经贸管理学院</v>
      </c>
      <c r="F5457" s="1" t="str">
        <f>"日语"</f>
        <v>日语</v>
      </c>
      <c r="G5457" s="1" t="str">
        <f>"河南省南阳市内乡县中央御景"</f>
        <v>河南省南阳市内乡县中央御景</v>
      </c>
      <c r="H5457" s="1" t="str">
        <f t="shared" si="2693"/>
        <v>无</v>
      </c>
      <c r="I5457" s="1" t="str">
        <f>"201909-202307 郑州升达经贸管理学院外国语学院日语专业就读 全日制本科"</f>
        <v>201909-202307 郑州升达经贸管理学院外国语学院日语专业就读 全日制本科</v>
      </c>
    </row>
    <row r="5458" spans="1:9">
      <c r="A5458" s="1" t="str">
        <f>"231102199806053236"</f>
        <v>231102199806053236</v>
      </c>
      <c r="B5458" s="1" t="str">
        <f t="shared" ref="B5458:B5463" si="2695">"中共党员"</f>
        <v>中共党员</v>
      </c>
      <c r="C5458" s="1" t="str">
        <f t="shared" si="2694"/>
        <v>本科</v>
      </c>
      <c r="D5458" s="1" t="str">
        <f>"202106"</f>
        <v>202106</v>
      </c>
      <c r="E5458" s="1" t="str">
        <f>"黑龙江工程学院"</f>
        <v>黑龙江工程学院</v>
      </c>
      <c r="F5458" s="1" t="str">
        <f>"土木工程"</f>
        <v>土木工程</v>
      </c>
      <c r="G5458" s="1" t="str">
        <f>"黑龙江省黑河市爱辉区农业技术推广中心集资楼"</f>
        <v>黑龙江省黑河市爱辉区农业技术推广中心集资楼</v>
      </c>
      <c r="H5458" s="1" t="str">
        <f t="shared" si="2693"/>
        <v>无</v>
      </c>
      <c r="I5458" s="1" t="str">
        <f>"201709-202106 黑龙江工程学院 就读 土木工程专业 全日制学历
202107-202407 中国建筑第八工程局发展建设有限公司 工作 质量工程师
202408-至今  在黑河市待业"</f>
        <v>201709-202106 黑龙江工程学院 就读 土木工程专业 全日制学历
202107-202407 中国建筑第八工程局发展建设有限公司 工作 质量工程师
202408-至今  在黑河市待业</v>
      </c>
    </row>
    <row r="5459" spans="1:9">
      <c r="A5459" s="1" t="str">
        <f>"411326200211104015"</f>
        <v>411326200211104015</v>
      </c>
      <c r="B5459" s="1" t="str">
        <f>"共青团员"</f>
        <v>共青团员</v>
      </c>
      <c r="C5459" s="1" t="str">
        <f t="shared" si="2694"/>
        <v>本科</v>
      </c>
      <c r="D5459" s="1" t="str">
        <f>"20250625"</f>
        <v>20250625</v>
      </c>
      <c r="E5459" s="1" t="str">
        <f>"华侨大学"</f>
        <v>华侨大学</v>
      </c>
      <c r="F5459" s="1" t="str">
        <f>"会展经济与管理"</f>
        <v>会展经济与管理</v>
      </c>
      <c r="G5459" s="1" t="str">
        <f>"河南省南阳市南召县康乐街五号"</f>
        <v>河南省南阳市南召县康乐街五号</v>
      </c>
      <c r="H5459" s="1" t="str">
        <f t="shared" si="2693"/>
        <v>无</v>
      </c>
      <c r="I5459" s="1" t="str">
        <f>"202109-202506 华侨大学旅游学院会展经济与管理专业就读，为全日制学历"</f>
        <v>202109-202506 华侨大学旅游学院会展经济与管理专业就读，为全日制学历</v>
      </c>
    </row>
    <row r="5460" spans="1:9">
      <c r="A5460" s="1" t="str">
        <f>"411330200206202045"</f>
        <v>411330200206202045</v>
      </c>
      <c r="B5460" s="1" t="str">
        <f>"群众"</f>
        <v>群众</v>
      </c>
      <c r="C5460" s="1" t="str">
        <f t="shared" si="2694"/>
        <v>本科</v>
      </c>
      <c r="D5460" s="1" t="str">
        <f>"20240630"</f>
        <v>20240630</v>
      </c>
      <c r="E5460" s="1" t="str">
        <f>"商丘师范学院"</f>
        <v>商丘师范学院</v>
      </c>
      <c r="F5460" s="1" t="str">
        <f>"数据科学与大数据技术"</f>
        <v>数据科学与大数据技术</v>
      </c>
      <c r="G5460" s="1" t="str">
        <f>"河南省南阳市西峡县丽景苑小区南楼六单元"</f>
        <v>河南省南阳市西峡县丽景苑小区南楼六单元</v>
      </c>
      <c r="H5460" s="1" t="str">
        <f>"工信部数据应用技术（Hadoop）中级"</f>
        <v>工信部数据应用技术（Hadoop）中级</v>
      </c>
      <c r="I5460" s="1" t="str">
        <f>"202009-202406 商丘师范学院信息技术学院数据科学与大数据技术专业就读"</f>
        <v>202009-202406 商丘师范学院信息技术学院数据科学与大数据技术专业就读</v>
      </c>
    </row>
    <row r="5461" spans="1:9">
      <c r="A5461" s="1" t="str">
        <f>"411327199803050314"</f>
        <v>411327199803050314</v>
      </c>
      <c r="B5461" s="1" t="str">
        <f t="shared" si="2695"/>
        <v>中共党员</v>
      </c>
      <c r="C5461" s="1" t="str">
        <f>"专科"</f>
        <v>专科</v>
      </c>
      <c r="D5461" s="1" t="str">
        <f>"2020-07-01"</f>
        <v>2020-07-01</v>
      </c>
      <c r="E5461" s="1" t="str">
        <f>"三门峡职业技术学院"</f>
        <v>三门峡职业技术学院</v>
      </c>
      <c r="F5461" s="1" t="str">
        <f>"建筑工程技术"</f>
        <v>建筑工程技术</v>
      </c>
      <c r="G5461" s="1" t="str">
        <f>"内乡县大桥乡泉水路1号"</f>
        <v>内乡县大桥乡泉水路1号</v>
      </c>
      <c r="H5461" s="1" t="str">
        <f t="shared" ref="H5461:H5468" si="2696">"无"</f>
        <v>无</v>
      </c>
      <c r="I5461" s="1" t="str">
        <f>"2017年9月-2020年7月三门峡职业技术学院（专科全日制）
2020年7月-2022年2月年待业（南阳市内乡县大桥乡）
2022年3月-2025年7月 在内乡县大桥乡杨沟村村民委员会（后备村干部处理日常文件、信息录入等）"</f>
        <v>2017年9月-2020年7月三门峡职业技术学院（专科全日制）
2020年7月-2022年2月年待业（南阳市内乡县大桥乡）
2022年3月-2025年7月 在内乡县大桥乡杨沟村村民委员会（后备村干部处理日常文件、信息录入等）</v>
      </c>
    </row>
    <row r="5462" spans="1:9">
      <c r="A5462" s="1" t="str">
        <f>"410105199703270010"</f>
        <v>410105199703270010</v>
      </c>
      <c r="B5462" s="1" t="str">
        <f>"共青团员"</f>
        <v>共青团员</v>
      </c>
      <c r="C5462" s="1" t="str">
        <f t="shared" ref="C5462:C5466" si="2697">"本科"</f>
        <v>本科</v>
      </c>
      <c r="D5462" s="1" t="str">
        <f>"2019-07-01"</f>
        <v>2019-07-01</v>
      </c>
      <c r="E5462" s="1" t="str">
        <f>"郑州商学院"</f>
        <v>郑州商学院</v>
      </c>
      <c r="F5462" s="1" t="str">
        <f>"财务管理（投资理财方向）"</f>
        <v>财务管理（投资理财方向）</v>
      </c>
      <c r="G5462" s="1" t="str">
        <f>"河南省郑州市郑东新区祭城政府家属院"</f>
        <v>河南省郑州市郑东新区祭城政府家属院</v>
      </c>
      <c r="H5462" s="1" t="str">
        <f>"会计初级"</f>
        <v>会计初级</v>
      </c>
      <c r="I5462" s="1" t="str">
        <f>"201509-201907 郑州商学院就读 管理学系 财务管理（投资理财方向）
"</f>
        <v>201509-201907 郑州商学院就读 管理学系 财务管理（投资理财方向）
</v>
      </c>
    </row>
    <row r="5463" spans="1:9">
      <c r="A5463" s="1" t="str">
        <f>"411327199606172953"</f>
        <v>411327199606172953</v>
      </c>
      <c r="B5463" s="1" t="str">
        <f t="shared" si="2695"/>
        <v>中共党员</v>
      </c>
      <c r="C5463" s="1" t="str">
        <f t="shared" si="2697"/>
        <v>本科</v>
      </c>
      <c r="D5463" s="1" t="str">
        <f>"2025.07"</f>
        <v>2025.07</v>
      </c>
      <c r="E5463" s="1" t="str">
        <f>"新乡学院"</f>
        <v>新乡学院</v>
      </c>
      <c r="F5463" s="1" t="str">
        <f>"体育教育"</f>
        <v>体育教育</v>
      </c>
      <c r="G5463" s="1" t="str">
        <f>"河南省南阳市内乡县丽都国际小区一期一号楼一单元802"</f>
        <v>河南省南阳市内乡县丽都国际小区一期一号楼一单元802</v>
      </c>
      <c r="H5463" s="1" t="str">
        <f t="shared" si="2696"/>
        <v>无</v>
      </c>
      <c r="I5463" s="1" t="str">
        <f>"201409-201707 华北水利水电大学 会计电算化 全日制学历
201709-202209 陆军炮兵防空兵学院南京校区服役
202304-202507 新乡学院 体育教育 函授
"</f>
        <v>201409-201707 华北水利水电大学 会计电算化 全日制学历
201709-202209 陆军炮兵防空兵学院南京校区服役
202304-202507 新乡学院 体育教育 函授
</v>
      </c>
    </row>
    <row r="5464" spans="1:9">
      <c r="A5464" s="1" t="str">
        <f>"411327200511211142"</f>
        <v>411327200511211142</v>
      </c>
      <c r="B5464" s="1" t="str">
        <f>"群众"</f>
        <v>群众</v>
      </c>
      <c r="C5464" s="1" t="str">
        <f>"专科"</f>
        <v>专科</v>
      </c>
      <c r="D5464" s="1" t="str">
        <f>"2024-07-01"</f>
        <v>2024-07-01</v>
      </c>
      <c r="E5464" s="1" t="str">
        <f>"驻马店幼儿师范高等专科学校"</f>
        <v>驻马店幼儿师范高等专科学校</v>
      </c>
      <c r="F5464" s="1" t="str">
        <f>"学前教育"</f>
        <v>学前教育</v>
      </c>
      <c r="G5464" s="1" t="str">
        <f>"河南省南阳市内乡县赤眉镇庙沟村薄西组"</f>
        <v>河南省南阳市内乡县赤眉镇庙沟村薄西组</v>
      </c>
      <c r="H5464" s="1" t="str">
        <f t="shared" si="2696"/>
        <v>无</v>
      </c>
      <c r="I5464" s="1" t="str">
        <f>"202109-202407驻马店幼儿师范高等专科学校学前教育学院全日制学历"</f>
        <v>202109-202407驻马店幼儿师范高等专科学校学前教育学院全日制学历</v>
      </c>
    </row>
    <row r="5465" spans="1:9">
      <c r="A5465" s="1" t="str">
        <f>"411224200102082824"</f>
        <v>411224200102082824</v>
      </c>
      <c r="B5465" s="1" t="str">
        <f>"中共党员"</f>
        <v>中共党员</v>
      </c>
      <c r="C5465" s="1" t="str">
        <f t="shared" si="2697"/>
        <v>本科</v>
      </c>
      <c r="D5465" s="1" t="str">
        <f>"20240701"</f>
        <v>20240701</v>
      </c>
      <c r="E5465" s="1" t="str">
        <f>"郑州升达经贸管理学院"</f>
        <v>郑州升达经贸管理学院</v>
      </c>
      <c r="F5465" s="1" t="str">
        <f>"学前教育"</f>
        <v>学前教育</v>
      </c>
      <c r="G5465" s="1" t="str">
        <f>"河南三门峡"</f>
        <v>河南三门峡</v>
      </c>
      <c r="H5465" s="1" t="str">
        <f t="shared" si="2696"/>
        <v>无</v>
      </c>
      <c r="I5465" s="1" t="str">
        <f>"201909-202207 平顶山职业技术学院就读 全日制
202209-202407 郑州升达经贸管理学院就读 全日制"</f>
        <v>201909-202207 平顶山职业技术学院就读 全日制
202209-202407 郑州升达经贸管理学院就读 全日制</v>
      </c>
    </row>
    <row r="5466" spans="1:9">
      <c r="A5466" s="1" t="str">
        <f>"411330200004230523"</f>
        <v>411330200004230523</v>
      </c>
      <c r="B5466" s="1" t="str">
        <f>"中共党员"</f>
        <v>中共党员</v>
      </c>
      <c r="C5466" s="1" t="str">
        <f t="shared" si="2697"/>
        <v>本科</v>
      </c>
      <c r="D5466" s="1" t="str">
        <f>"20230612"</f>
        <v>20230612</v>
      </c>
      <c r="E5466" s="1" t="str">
        <f>"新乡医学院"</f>
        <v>新乡医学院</v>
      </c>
      <c r="F5466" s="1" t="str">
        <f>"应用心理学"</f>
        <v>应用心理学</v>
      </c>
      <c r="G5466" s="1" t="str">
        <f>"河南省南阳市西峡县田关镇曹楼村路边组12号"</f>
        <v>河南省南阳市西峡县田关镇曹楼村路边组12号</v>
      </c>
      <c r="H5466" s="1" t="str">
        <f t="shared" si="2696"/>
        <v>无</v>
      </c>
      <c r="I5466" s="1" t="str">
        <f>"201909-202306新乡医学院心理学院应用心理学就读
是全日制学历"</f>
        <v>201909-202306新乡医学院心理学院应用心理学就读
是全日制学历</v>
      </c>
    </row>
    <row r="5467" spans="1:9">
      <c r="A5467" s="1" t="str">
        <f>"420683200107010013"</f>
        <v>420683200107010013</v>
      </c>
      <c r="B5467" s="1" t="str">
        <f t="shared" ref="B5467:B5472" si="2698">"共青团员"</f>
        <v>共青团员</v>
      </c>
      <c r="C5467" s="1" t="str">
        <f t="shared" ref="C5467:C5473" si="2699">"专科"</f>
        <v>专科</v>
      </c>
      <c r="D5467" s="1" t="str">
        <f>"20231231"</f>
        <v>20231231</v>
      </c>
      <c r="E5467" s="1" t="str">
        <f>"湖北中医药高等专科学校"</f>
        <v>湖北中医药高等专科学校</v>
      </c>
      <c r="F5467" s="1" t="str">
        <f>"中药学"</f>
        <v>中药学</v>
      </c>
      <c r="G5467" s="1" t="str">
        <f>"湖北省襄阳市枣阳市麻纺厂家属院八号楼6喽"</f>
        <v>湖北省襄阳市枣阳市麻纺厂家属院八号楼6喽</v>
      </c>
      <c r="H5467" s="1" t="str">
        <f t="shared" si="2696"/>
        <v>无</v>
      </c>
      <c r="I5467" s="1" t="str">
        <f>"202012-202312 湖北中医药高等专科学校 药学系 中药学专业 全日制就读
202407-202507 南漳县人民医院 门诊药房 就业 药师"</f>
        <v>202012-202312 湖北中医药高等专科学校 药学系 中药学专业 全日制就读
202407-202507 南漳县人民医院 门诊药房 就业 药师</v>
      </c>
    </row>
    <row r="5468" spans="1:9">
      <c r="A5468" s="1" t="str">
        <f>"411330200112154812"</f>
        <v>411330200112154812</v>
      </c>
      <c r="B5468" s="1" t="str">
        <f t="shared" si="2698"/>
        <v>共青团员</v>
      </c>
      <c r="C5468" s="1" t="str">
        <f t="shared" ref="C5468:C5470" si="2700">"本科"</f>
        <v>本科</v>
      </c>
      <c r="D5468" s="1" t="str">
        <f>"20250607"</f>
        <v>20250607</v>
      </c>
      <c r="E5468" s="1" t="str">
        <f>"新疆第二医学院"</f>
        <v>新疆第二医学院</v>
      </c>
      <c r="F5468" s="1" t="str">
        <f>"医学检验技术"</f>
        <v>医学检验技术</v>
      </c>
      <c r="G5468" s="1" t="str">
        <f>"河南省南阳市西峡县鱼库村鱼库组鱼库14号"</f>
        <v>河南省南阳市西峡县鱼库村鱼库组鱼库14号</v>
      </c>
      <c r="H5468" s="1" t="str">
        <f t="shared" si="2696"/>
        <v>无</v>
      </c>
      <c r="I5468" s="1" t="str">
        <f>"202009-202306 石河子大学 临床医学院 临床医学专业就读 全日制
202309-202506 新疆第二医学院 临床医学院 医学检验技术专业就读 全日制"</f>
        <v>202009-202306 石河子大学 临床医学院 临床医学专业就读 全日制
202309-202506 新疆第二医学院 临床医学院 医学检验技术专业就读 全日制</v>
      </c>
    </row>
    <row r="5469" spans="1:9">
      <c r="A5469" s="1" t="str">
        <f>"411327199910051523"</f>
        <v>411327199910051523</v>
      </c>
      <c r="B5469" s="1" t="str">
        <f t="shared" ref="B5469:B5475" si="2701">"群众"</f>
        <v>群众</v>
      </c>
      <c r="C5469" s="1" t="str">
        <f t="shared" si="2700"/>
        <v>本科</v>
      </c>
      <c r="D5469" s="1" t="str">
        <f>"20230701"</f>
        <v>20230701</v>
      </c>
      <c r="E5469" s="1" t="str">
        <f>"河南科技职业大学"</f>
        <v>河南科技职业大学</v>
      </c>
      <c r="F5469" s="1" t="str">
        <f>"护理"</f>
        <v>护理</v>
      </c>
      <c r="G5469" s="1" t="str">
        <f>"内乡县赵店乡"</f>
        <v>内乡县赵店乡</v>
      </c>
      <c r="H5469" s="1" t="str">
        <f>"护士执业证书，初级(士)"</f>
        <v>护士执业证书，初级(士)</v>
      </c>
      <c r="I5469" s="1" t="str">
        <f>"202109-202307河南科技职业大学护理专业就读，全日制学历。"</f>
        <v>202109-202307河南科技职业大学护理专业就读，全日制学历。</v>
      </c>
    </row>
    <row r="5470" spans="1:9">
      <c r="A5470" s="1" t="str">
        <f>"411525200105068721"</f>
        <v>411525200105068721</v>
      </c>
      <c r="B5470" s="1" t="str">
        <f t="shared" si="2701"/>
        <v>群众</v>
      </c>
      <c r="C5470" s="1" t="str">
        <f t="shared" si="2700"/>
        <v>本科</v>
      </c>
      <c r="D5470" s="1" t="str">
        <f>"20240701"</f>
        <v>20240701</v>
      </c>
      <c r="E5470" s="1" t="str">
        <f>"新乡医学院三全学院"</f>
        <v>新乡医学院三全学院</v>
      </c>
      <c r="F5470" s="1" t="str">
        <f>"医学检验技术"</f>
        <v>医学检验技术</v>
      </c>
      <c r="G5470" s="1" t="str">
        <f>"河南省信阳市固始县一银城"</f>
        <v>河南省信阳市固始县一银城</v>
      </c>
      <c r="H5470" s="1" t="str">
        <f>"检验士资格证"</f>
        <v>检验士资格证</v>
      </c>
      <c r="I5470" s="1" t="str">
        <f>"2019.09-2022.07在信阳职业技术学院医学检验技术专业就读，是全日制学历
 2022.09-2024.07在新乡医学院三全学院医学检验技术专业就读，是全日制学历"</f>
        <v>2019.09-2022.07在信阳职业技术学院医学检验技术专业就读，是全日制学历
 2022.09-2024.07在新乡医学院三全学院医学检验技术专业就读，是全日制学历</v>
      </c>
    </row>
    <row r="5471" spans="1:9">
      <c r="A5471" s="1" t="str">
        <f>"41062120010813501X"</f>
        <v>41062120010813501X</v>
      </c>
      <c r="B5471" s="1" t="str">
        <f t="shared" si="2698"/>
        <v>共青团员</v>
      </c>
      <c r="C5471" s="1" t="str">
        <f t="shared" si="2699"/>
        <v>专科</v>
      </c>
      <c r="D5471" s="1" t="str">
        <f>"20210607"</f>
        <v>20210607</v>
      </c>
      <c r="E5471" s="1" t="str">
        <f>"南阳医学高等专科学校"</f>
        <v>南阳医学高等专科学校</v>
      </c>
      <c r="F5471" s="1" t="str">
        <f>"临床医学"</f>
        <v>临床医学</v>
      </c>
      <c r="G5471" s="1" t="str">
        <f>"河南省南阳市"</f>
        <v>河南省南阳市</v>
      </c>
      <c r="H5471" s="1" t="str">
        <f t="shared" ref="H5471:H5475" si="2702">"无"</f>
        <v>无</v>
      </c>
      <c r="I5471" s="1" t="str">
        <f>"201909-202106南阳医学高等专科学校临床医学专业就读
202107-202409内乡县第二人民医院就职
202501至今就职于内乡县城关镇卫生院
"</f>
        <v>201909-202106南阳医学高等专科学校临床医学专业就读
202107-202409内乡县第二人民医院就职
202501至今就职于内乡县城关镇卫生院
</v>
      </c>
    </row>
    <row r="5472" spans="1:9">
      <c r="A5472" s="1" t="str">
        <f>"411381200208220861"</f>
        <v>411381200208220861</v>
      </c>
      <c r="B5472" s="1" t="str">
        <f t="shared" si="2698"/>
        <v>共青团员</v>
      </c>
      <c r="C5472" s="1" t="str">
        <f t="shared" si="2699"/>
        <v>专科</v>
      </c>
      <c r="D5472" s="1" t="str">
        <f>"20240630"</f>
        <v>20240630</v>
      </c>
      <c r="E5472" s="1" t="str">
        <f>"南阳科技职业学院"</f>
        <v>南阳科技职业学院</v>
      </c>
      <c r="F5472" s="1" t="str">
        <f t="shared" ref="F5472:F5477" si="2703">"护理"</f>
        <v>护理</v>
      </c>
      <c r="G5472" s="1" t="str">
        <f>"河南省南阳市邓州市湍河街道金雷村"</f>
        <v>河南省南阳市邓州市湍河街道金雷村</v>
      </c>
      <c r="H5472" s="1" t="str">
        <f>"护士执业证书"</f>
        <v>护士执业证书</v>
      </c>
      <c r="I5472" s="1" t="str">
        <f>"202110-202406南阳科技职业学院就读护理专业普通全日制学历
202406-至今在河南省南阳市邓州市待业"</f>
        <v>202110-202406南阳科技职业学院就读护理专业普通全日制学历
202406-至今在河南省南阳市邓州市待业</v>
      </c>
    </row>
    <row r="5473" spans="1:9">
      <c r="A5473" s="1" t="str">
        <f>"341222200401015575"</f>
        <v>341222200401015575</v>
      </c>
      <c r="B5473" s="1" t="str">
        <f t="shared" si="2701"/>
        <v>群众</v>
      </c>
      <c r="C5473" s="1" t="str">
        <f t="shared" si="2699"/>
        <v>专科</v>
      </c>
      <c r="D5473" s="1" t="str">
        <f>"20250701"</f>
        <v>20250701</v>
      </c>
      <c r="E5473" s="1" t="str">
        <f>"皖西卫生职业学院"</f>
        <v>皖西卫生职业学院</v>
      </c>
      <c r="F5473" s="1" t="str">
        <f>"中医学"</f>
        <v>中医学</v>
      </c>
      <c r="G5473" s="1" t="str">
        <f>"安徽僧阜阳市太和县坟台镇"</f>
        <v>安徽僧阜阳市太和县坟台镇</v>
      </c>
      <c r="H5473" s="1" t="str">
        <f t="shared" si="2702"/>
        <v>无</v>
      </c>
      <c r="I5473" s="1" t="str">
        <f>"202209-202507在皖西卫生职业学院临床医学系中医学专业就读，为全日制学历"</f>
        <v>202209-202507在皖西卫生职业学院临床医学系中医学专业就读，为全日制学历</v>
      </c>
    </row>
    <row r="5474" spans="1:9">
      <c r="A5474" s="1" t="str">
        <f>"411327199512311510"</f>
        <v>411327199512311510</v>
      </c>
      <c r="B5474" s="1" t="str">
        <f t="shared" si="2701"/>
        <v>群众</v>
      </c>
      <c r="C5474" s="1" t="str">
        <f t="shared" ref="C5474:C5479" si="2704">"本科"</f>
        <v>本科</v>
      </c>
      <c r="D5474" s="1" t="str">
        <f>"20200701"</f>
        <v>20200701</v>
      </c>
      <c r="E5474" s="1" t="str">
        <f>"新乡医学院三全学院"</f>
        <v>新乡医学院三全学院</v>
      </c>
      <c r="F5474" s="1" t="str">
        <f>"临床医学"</f>
        <v>临床医学</v>
      </c>
      <c r="G5474" s="1" t="str">
        <f>"河南省内乡县左岸皇朝"</f>
        <v>河南省内乡县左岸皇朝</v>
      </c>
      <c r="H5474" s="1" t="str">
        <f>"202241110411327199512311510"</f>
        <v>202241110411327199512311510</v>
      </c>
      <c r="I5474" s="1" t="str">
        <f>"201709-202007 新乡医学院三全学院 就读，全日制
"</f>
        <v>201709-202007 新乡医学院三全学院 就读，全日制
</v>
      </c>
    </row>
    <row r="5475" spans="1:9">
      <c r="A5475" s="1" t="str">
        <f>"41132720020630115X"</f>
        <v>41132720020630115X</v>
      </c>
      <c r="B5475" s="1" t="str">
        <f t="shared" si="2701"/>
        <v>群众</v>
      </c>
      <c r="C5475" s="1" t="str">
        <f t="shared" si="2704"/>
        <v>本科</v>
      </c>
      <c r="D5475" s="1" t="str">
        <f>"20250730"</f>
        <v>20250730</v>
      </c>
      <c r="E5475" s="1" t="str">
        <f>"郑州西亚斯学院"</f>
        <v>郑州西亚斯学院</v>
      </c>
      <c r="F5475" s="1" t="str">
        <f>"康复治疗学"</f>
        <v>康复治疗学</v>
      </c>
      <c r="G5475" s="1" t="str">
        <f>"河南省南阳市内乡县"</f>
        <v>河南省南阳市内乡县</v>
      </c>
      <c r="H5475" s="1" t="str">
        <f t="shared" si="2702"/>
        <v>无</v>
      </c>
      <c r="I5475" s="1" t="str">
        <f>"202109-202507 在郑州西亚斯学院医学院康复治疗学专业就读，为全日制"</f>
        <v>202109-202507 在郑州西亚斯学院医学院康复治疗学专业就读，为全日制</v>
      </c>
    </row>
    <row r="5476" spans="1:9">
      <c r="A5476" s="1" t="str">
        <f>"411324200403111145"</f>
        <v>411324200403111145</v>
      </c>
      <c r="B5476" s="1" t="str">
        <f t="shared" ref="B5476:B5483" si="2705">"共青团员"</f>
        <v>共青团员</v>
      </c>
      <c r="C5476" s="1" t="str">
        <f t="shared" ref="C5476:C5480" si="2706">"专科"</f>
        <v>专科</v>
      </c>
      <c r="D5476" s="1" t="str">
        <f>"20250607"</f>
        <v>20250607</v>
      </c>
      <c r="E5476" s="1" t="str">
        <f>"濮阳医学高等专科学校"</f>
        <v>濮阳医学高等专科学校</v>
      </c>
      <c r="F5476" s="1" t="str">
        <f t="shared" si="2703"/>
        <v>护理</v>
      </c>
      <c r="G5476" s="1" t="str">
        <f>"河南省南阳市镇平县毛巾厂三紫路321号"</f>
        <v>河南省南阳市镇平县毛巾厂三紫路321号</v>
      </c>
      <c r="H5476" s="1" t="str">
        <f>"护士资格证"</f>
        <v>护士资格证</v>
      </c>
      <c r="I5476" s="1" t="str">
        <f>"201909-202506   濮阳医学高等专科学校护理专业就读  全日制学历
202407-202506 在镇平县人民医院进行实习"</f>
        <v>201909-202506   濮阳医学高等专科学校护理专业就读  全日制学历
202407-202506 在镇平县人民医院进行实习</v>
      </c>
    </row>
    <row r="5477" spans="1:9">
      <c r="A5477" s="1" t="str">
        <f>"410922200204181342"</f>
        <v>410922200204181342</v>
      </c>
      <c r="B5477" s="1" t="str">
        <f t="shared" ref="B5477:B5480" si="2707">"群众"</f>
        <v>群众</v>
      </c>
      <c r="C5477" s="1" t="str">
        <f t="shared" si="2706"/>
        <v>专科</v>
      </c>
      <c r="D5477" s="1" t="str">
        <f>"2023630"</f>
        <v>2023630</v>
      </c>
      <c r="E5477" s="1" t="str">
        <f>"南阳科技职业学院"</f>
        <v>南阳科技职业学院</v>
      </c>
      <c r="F5477" s="1" t="str">
        <f t="shared" si="2703"/>
        <v>护理</v>
      </c>
      <c r="G5477" s="1" t="str">
        <f>"河南省清丰县巩营乡"</f>
        <v>河南省清丰县巩营乡</v>
      </c>
      <c r="H5477" s="1" t="str">
        <f>"护士执业资格证书"</f>
        <v>护士执业资格证书</v>
      </c>
      <c r="I5477" s="1" t="str">
        <f>"202010-202306于南阳科技职业学院护理专业就读，为全日制学历"</f>
        <v>202010-202306于南阳科技职业学院护理专业就读，为全日制学历</v>
      </c>
    </row>
    <row r="5478" spans="1:9">
      <c r="A5478" s="1" t="str">
        <f>"41133020020118452X"</f>
        <v>41133020020118452X</v>
      </c>
      <c r="B5478" s="1" t="str">
        <f t="shared" si="2705"/>
        <v>共青团员</v>
      </c>
      <c r="C5478" s="1" t="str">
        <f t="shared" si="2704"/>
        <v>本科</v>
      </c>
      <c r="D5478" s="1" t="str">
        <f>"2025年6月"</f>
        <v>2025年6月</v>
      </c>
      <c r="E5478" s="1" t="str">
        <f>"郑州工业应用技术学院"</f>
        <v>郑州工业应用技术学院</v>
      </c>
      <c r="F5478" s="1" t="str">
        <f>"药学"</f>
        <v>药学</v>
      </c>
      <c r="G5478" s="1" t="str">
        <f>"河南省南阳市西峡县五里桥稻香小区"</f>
        <v>河南省南阳市西峡县五里桥稻香小区</v>
      </c>
      <c r="H5478" s="1" t="str">
        <f>"无"</f>
        <v>无</v>
      </c>
      <c r="I5478" s="1" t="str">
        <f>"2023年9月—2025年6月就读于郑州工业应用技术学院药学与化学工程学院是全日制学历"</f>
        <v>2023年9月—2025年6月就读于郑州工业应用技术学院药学与化学工程学院是全日制学历</v>
      </c>
    </row>
    <row r="5479" spans="1:9">
      <c r="A5479" s="1" t="str">
        <f>"411327199803114525"</f>
        <v>411327199803114525</v>
      </c>
      <c r="B5479" s="1" t="str">
        <f t="shared" si="2707"/>
        <v>群众</v>
      </c>
      <c r="C5479" s="1" t="str">
        <f t="shared" si="2704"/>
        <v>本科</v>
      </c>
      <c r="D5479" s="1" t="str">
        <f>"20200701"</f>
        <v>20200701</v>
      </c>
      <c r="E5479" s="1" t="str">
        <f>"商丘工学院"</f>
        <v>商丘工学院</v>
      </c>
      <c r="F5479" s="1" t="str">
        <f>"护理学"</f>
        <v>护理学</v>
      </c>
      <c r="G5479" s="1" t="str">
        <f>"湍东镇五里堡华中石油对面"</f>
        <v>湍东镇五里堡华中石油对面</v>
      </c>
      <c r="H5479" s="1" t="str">
        <f>"护师资格证"</f>
        <v>护师资格证</v>
      </c>
      <c r="I5479" s="1" t="str">
        <f>"201609-202007商丘工学院护理学就读全日制学历
202006-202111内乡县中医院急诊科就业
202112-至今内乡县第二人民医院就业"</f>
        <v>201609-202007商丘工学院护理学就读全日制学历
202006-202111内乡县中医院急诊科就业
202112-至今内乡县第二人民医院就业</v>
      </c>
    </row>
    <row r="5480" spans="1:9">
      <c r="A5480" s="1" t="str">
        <f>"411327200312123940"</f>
        <v>411327200312123940</v>
      </c>
      <c r="B5480" s="1" t="str">
        <f t="shared" si="2707"/>
        <v>群众</v>
      </c>
      <c r="C5480" s="1" t="str">
        <f t="shared" si="2706"/>
        <v>专科</v>
      </c>
      <c r="D5480" s="1" t="str">
        <f>"20250607"</f>
        <v>20250607</v>
      </c>
      <c r="E5480" s="1" t="str">
        <f>"黄淮学院"</f>
        <v>黄淮学院</v>
      </c>
      <c r="F5480" s="1" t="str">
        <f>"护理"</f>
        <v>护理</v>
      </c>
      <c r="G5480" s="1" t="str">
        <f>"河南省南阳市内乡县乍曲镇"</f>
        <v>河南省南阳市内乡县乍曲镇</v>
      </c>
      <c r="H5480" s="1" t="str">
        <f>"护士资格证"</f>
        <v>护士资格证</v>
      </c>
      <c r="I5480" s="1" t="str">
        <f>"201009－201607 乍曲镇中心小学就读
201609－201907 乍曲初中就读
201909－202207 河南省南阳市内乡县普通高级中学就读
202209－202506 全日制黄淮学院医学院就读"</f>
        <v>201009－201607 乍曲镇中心小学就读
201609－201907 乍曲初中就读
201909－202207 河南省南阳市内乡县普通高级中学就读
202209－202506 全日制黄淮学院医学院就读</v>
      </c>
    </row>
    <row r="5481" spans="1:9">
      <c r="A5481" s="1" t="str">
        <f>"410324199605013723"</f>
        <v>410324199605013723</v>
      </c>
      <c r="B5481" s="1" t="str">
        <f t="shared" si="2705"/>
        <v>共青团员</v>
      </c>
      <c r="C5481" s="1" t="str">
        <f t="shared" ref="C5481:C5484" si="2708">"本科"</f>
        <v>本科</v>
      </c>
      <c r="D5481" s="1" t="str">
        <f>"20190701"</f>
        <v>20190701</v>
      </c>
      <c r="E5481" s="1" t="str">
        <f>"郑州工业应用技术学院"</f>
        <v>郑州工业应用技术学院</v>
      </c>
      <c r="F5481" s="1" t="str">
        <f>"药物制剂"</f>
        <v>药物制剂</v>
      </c>
      <c r="G5481" s="1" t="str">
        <f>"河南省栾川县君山花园9号楼2单元302"</f>
        <v>河南省栾川县君山花园9号楼2单元302</v>
      </c>
      <c r="H5481" s="1" t="str">
        <f>"无"</f>
        <v>无</v>
      </c>
      <c r="I5481" s="1" t="str">
        <f>"201509-201906在郑州工业应用技术学院，药学与化学工程学院（药物制剂）就读，全日制本科。"</f>
        <v>201509-201906在郑州工业应用技术学院，药学与化学工程学院（药物制剂）就读，全日制本科。</v>
      </c>
    </row>
    <row r="5482" spans="1:9">
      <c r="A5482" s="1" t="str">
        <f>"411323200106044429"</f>
        <v>411323200106044429</v>
      </c>
      <c r="B5482" s="1" t="str">
        <f t="shared" si="2705"/>
        <v>共青团员</v>
      </c>
      <c r="C5482" s="1" t="str">
        <f t="shared" ref="C5482:C5486" si="2709">"专科"</f>
        <v>专科</v>
      </c>
      <c r="D5482" s="1" t="str">
        <f>"20230701"</f>
        <v>20230701</v>
      </c>
      <c r="E5482" s="1" t="str">
        <f>"濮阳医学高等专科学校"</f>
        <v>濮阳医学高等专科学校</v>
      </c>
      <c r="F5482" s="1" t="str">
        <f>"临床医学"</f>
        <v>临床医学</v>
      </c>
      <c r="G5482" s="1" t="str">
        <f>"河南省南阳市淅川县"</f>
        <v>河南省南阳市淅川县</v>
      </c>
      <c r="H5482" s="1" t="str">
        <f>"执业助理医师资格证"</f>
        <v>执业助理医师资格证</v>
      </c>
      <c r="I5482" s="1" t="str">
        <f>"202009-202307在濮阳医学高等专科学校就读临床医学专业 全日制学历
202309至今在内心县人民医院参加助理全科医师规培"</f>
        <v>202009-202307在濮阳医学高等专科学校就读临床医学专业 全日制学历
202309至今在内心县人民医院参加助理全科医师规培</v>
      </c>
    </row>
    <row r="5483" spans="1:9">
      <c r="A5483" s="1" t="str">
        <f>"411325199709040416"</f>
        <v>411325199709040416</v>
      </c>
      <c r="B5483" s="1" t="str">
        <f t="shared" si="2705"/>
        <v>共青团员</v>
      </c>
      <c r="C5483" s="1" t="str">
        <f t="shared" si="2708"/>
        <v>本科</v>
      </c>
      <c r="D5483" s="1" t="str">
        <f>"20240622"</f>
        <v>20240622</v>
      </c>
      <c r="E5483" s="1" t="str">
        <f>"新乡医学院三全学院"</f>
        <v>新乡医学院三全学院</v>
      </c>
      <c r="F5483" s="1" t="str">
        <f>"医学检验技术"</f>
        <v>医学检验技术</v>
      </c>
      <c r="G5483" s="1" t="str">
        <f>"河南省南阳市唐河县滨河街道新华社区居委会120号"</f>
        <v>河南省南阳市唐河县滨河街道新华社区居委会120号</v>
      </c>
      <c r="H5483" s="1" t="str">
        <f>"临床医学检验技术初级（士）"</f>
        <v>临床医学检验技术初级（士）</v>
      </c>
      <c r="I5483" s="1" t="str">
        <f>"201709——202206 河南理工大学 医学院 医学检验技术 是全日制学历
201709——201909 武警广西总队
202209——202406 新乡医学院三全学院 医学检验技术 是全日制学历
202406——至今 待业"</f>
        <v>201709——202206 河南理工大学 医学院 医学检验技术 是全日制学历
201709——201909 武警广西总队
202209——202406 新乡医学院三全学院 医学检验技术 是全日制学历
202406——至今 待业</v>
      </c>
    </row>
    <row r="5484" spans="1:9">
      <c r="A5484" s="1" t="str">
        <f>"420321200310045945"</f>
        <v>420321200310045945</v>
      </c>
      <c r="B5484" s="1" t="str">
        <f t="shared" ref="B5484:B5494" si="2710">"群众"</f>
        <v>群众</v>
      </c>
      <c r="C5484" s="1" t="str">
        <f t="shared" si="2708"/>
        <v>本科</v>
      </c>
      <c r="D5484" s="1" t="str">
        <f>"20250630"</f>
        <v>20250630</v>
      </c>
      <c r="E5484" s="1" t="str">
        <f>"长江大学"</f>
        <v>长江大学</v>
      </c>
      <c r="F5484" s="1" t="str">
        <f>"医学检验技术"</f>
        <v>医学检验技术</v>
      </c>
      <c r="G5484" s="1" t="str">
        <f>"湖北省十堰市郧阳区谭山镇尚玉大道160"</f>
        <v>湖北省十堰市郧阳区谭山镇尚玉大道160</v>
      </c>
      <c r="H5484" s="1" t="str">
        <f>"无"</f>
        <v>无</v>
      </c>
      <c r="I5484" s="1" t="str">
        <f>"202109-202506 于长江大学医学部医学检验技术专业就读，全日制学历。"</f>
        <v>202109-202506 于长江大学医学部医学检验技术专业就读，全日制学历。</v>
      </c>
    </row>
    <row r="5485" spans="1:9">
      <c r="A5485" s="1" t="str">
        <f>"411321200004011818"</f>
        <v>411321200004011818</v>
      </c>
      <c r="B5485" s="1" t="str">
        <f>"中共党员"</f>
        <v>中共党员</v>
      </c>
      <c r="C5485" s="1" t="str">
        <f t="shared" si="2709"/>
        <v>专科</v>
      </c>
      <c r="D5485" s="1" t="str">
        <f>"20220701"</f>
        <v>20220701</v>
      </c>
      <c r="E5485" s="1" t="str">
        <f>"河南应用技术职业学院"</f>
        <v>河南应用技术职业学院</v>
      </c>
      <c r="F5485" s="1" t="str">
        <f>"药物制剂技术"</f>
        <v>药物制剂技术</v>
      </c>
      <c r="G5485" s="1" t="str">
        <f>"河南省南阳市桐柏县安棚镇大倪岗村"</f>
        <v>河南省南阳市桐柏县安棚镇大倪岗村</v>
      </c>
      <c r="H5485" s="1" t="str">
        <f>"药物制剂工三级"</f>
        <v>药物制剂工三级</v>
      </c>
      <c r="I5485" s="1" t="str">
        <f>"201909-202207 河南应用技术职业学院 制药工程学院 药物制剂技术专业就读 全日制
202208-202301 江苏中渊化学品有限公司 质量部QC岗位工作
202301-202302 在家待业
202303-202412 南阳能达劳务协作有限公司 派遣至桐柏县应急管理局工作
202412-至今 桐柏人才发展集团有限公司 派遣至桐柏县应急管理局工作"</f>
        <v>201909-202207 河南应用技术职业学院 制药工程学院 药物制剂技术专业就读 全日制
202208-202301 江苏中渊化学品有限公司 质量部QC岗位工作
202301-202302 在家待业
202303-202412 南阳能达劳务协作有限公司 派遣至桐柏县应急管理局工作
202412-至今 桐柏人才发展集团有限公司 派遣至桐柏县应急管理局工作</v>
      </c>
    </row>
    <row r="5486" spans="1:9">
      <c r="A5486" s="1" t="str">
        <f>"411327200304200010"</f>
        <v>411327200304200010</v>
      </c>
      <c r="B5486" s="1" t="str">
        <f t="shared" si="2710"/>
        <v>群众</v>
      </c>
      <c r="C5486" s="1" t="str">
        <f t="shared" si="2709"/>
        <v>专科</v>
      </c>
      <c r="D5486" s="1" t="str">
        <f>"20240701"</f>
        <v>20240701</v>
      </c>
      <c r="E5486" s="1" t="str">
        <f>"郑州澍青医学高等专科学校"</f>
        <v>郑州澍青医学高等专科学校</v>
      </c>
      <c r="F5486" s="1" t="str">
        <f>"中医学"</f>
        <v>中医学</v>
      </c>
      <c r="G5486" s="1" t="str">
        <f>"河南省南阳市内乡县"</f>
        <v>河南省南阳市内乡县</v>
      </c>
      <c r="H5486" s="1" t="str">
        <f>"健康管理师三级"</f>
        <v>健康管理师三级</v>
      </c>
      <c r="I5486" s="1" t="str">
        <f>"202109-202407郑州澍青医学高等专科学校中医学就读全日制
201809-202107内乡第三高级中学就读
201509-201807内乡实验初中就读
"</f>
        <v>202109-202407郑州澍青医学高等专科学校中医学就读全日制
201809-202107内乡第三高级中学就读
201509-201807内乡实验初中就读
</v>
      </c>
    </row>
    <row r="5487" spans="1:9">
      <c r="A5487" s="1" t="str">
        <f>"411323200009053868"</f>
        <v>411323200009053868</v>
      </c>
      <c r="B5487" s="1" t="str">
        <f t="shared" si="2710"/>
        <v>群众</v>
      </c>
      <c r="C5487" s="1" t="str">
        <f>"本科"</f>
        <v>本科</v>
      </c>
      <c r="D5487" s="1" t="str">
        <f>"20240701"</f>
        <v>20240701</v>
      </c>
      <c r="E5487" s="1" t="str">
        <f>"新乡医学院"</f>
        <v>新乡医学院</v>
      </c>
      <c r="F5487" s="1" t="str">
        <f>"临床药学"</f>
        <v>临床药学</v>
      </c>
      <c r="G5487" s="1" t="str">
        <f>"南阳市淅川县"</f>
        <v>南阳市淅川县</v>
      </c>
      <c r="H5487" s="1" t="str">
        <f>"无"</f>
        <v>无</v>
      </c>
      <c r="I5487" s="1" t="str">
        <f>"2019年9月1号至2024年7月1号在新乡医学院临床药学专业就读，全日制本科学历"</f>
        <v>2019年9月1号至2024年7月1号在新乡医学院临床药学专业就读，全日制本科学历</v>
      </c>
    </row>
    <row r="5488" spans="1:9">
      <c r="A5488" s="1" t="str">
        <f>"411327199902190021"</f>
        <v>411327199902190021</v>
      </c>
      <c r="B5488" s="1" t="str">
        <f t="shared" si="2710"/>
        <v>群众</v>
      </c>
      <c r="C5488" s="1" t="str">
        <f t="shared" ref="C5488:C5497" si="2711">"专科"</f>
        <v>专科</v>
      </c>
      <c r="D5488" s="1" t="str">
        <f>"20200701"</f>
        <v>20200701</v>
      </c>
      <c r="E5488" s="1" t="str">
        <f>"南阳医学高等专科学校"</f>
        <v>南阳医学高等专科学校</v>
      </c>
      <c r="F5488" s="1" t="str">
        <f>"临床医学"</f>
        <v>临床医学</v>
      </c>
      <c r="G5488" s="1" t="str">
        <f>"内乡县城关镇幸福小区"</f>
        <v>内乡县城关镇幸福小区</v>
      </c>
      <c r="H5488" s="1" t="str">
        <f>"助理医师证书"</f>
        <v>助理医师证书</v>
      </c>
      <c r="I5488" s="1" t="str">
        <f>"20170701-20200701  南阳医学高等专科学校临床医学专业就读
20200901-20220831  内乡县人民医院助理医师规范化培训
20221001-至今           内乡县人民医院职工"</f>
        <v>20170701-20200701  南阳医学高等专科学校临床医学专业就读
20200901-20220831  内乡县人民医院助理医师规范化培训
20221001-至今           内乡县人民医院职工</v>
      </c>
    </row>
    <row r="5489" spans="1:9">
      <c r="A5489" s="1" t="str">
        <f>"411327199710261526"</f>
        <v>411327199710261526</v>
      </c>
      <c r="B5489" s="1" t="str">
        <f t="shared" si="2710"/>
        <v>群众</v>
      </c>
      <c r="C5489" s="1" t="str">
        <f>"本科"</f>
        <v>本科</v>
      </c>
      <c r="D5489" s="1" t="str">
        <f>"20220701"</f>
        <v>20220701</v>
      </c>
      <c r="E5489" s="1" t="str">
        <f>"新乡医学院三全学院"</f>
        <v>新乡医学院三全学院</v>
      </c>
      <c r="F5489" s="1" t="str">
        <f>"临床医学"</f>
        <v>临床医学</v>
      </c>
      <c r="G5489" s="1" t="str">
        <f>"河南省南阳市城关镇滨河家园"</f>
        <v>河南省南阳市城关镇滨河家园</v>
      </c>
      <c r="H5489" s="1" t="str">
        <f>"执业医师资格证"</f>
        <v>执业医师资格证</v>
      </c>
      <c r="I5489" s="1" t="str">
        <f>"201609-201906 南阳医学高等专科学校
201909-202206 新乡医学院三全学院"</f>
        <v>201609-201906 南阳医学高等专科学校
201909-202206 新乡医学院三全学院</v>
      </c>
    </row>
    <row r="5490" spans="1:9">
      <c r="A5490" s="1" t="str">
        <f>"411381200204182642"</f>
        <v>411381200204182642</v>
      </c>
      <c r="B5490" s="1" t="str">
        <f t="shared" si="2710"/>
        <v>群众</v>
      </c>
      <c r="C5490" s="1" t="str">
        <f t="shared" si="2711"/>
        <v>专科</v>
      </c>
      <c r="D5490" s="1" t="str">
        <f>"2022.07"</f>
        <v>2022.07</v>
      </c>
      <c r="E5490" s="1" t="str">
        <f>"洛阳职业技术学院"</f>
        <v>洛阳职业技术学院</v>
      </c>
      <c r="F5490" s="1" t="str">
        <f t="shared" ref="F5490:F5494" si="2712">"护理"</f>
        <v>护理</v>
      </c>
      <c r="G5490" s="1" t="str">
        <f>"河南省南阳市镇平县"</f>
        <v>河南省南阳市镇平县</v>
      </c>
      <c r="H5490" s="1" t="str">
        <f>"护士资格证"</f>
        <v>护士资格证</v>
      </c>
      <c r="I5490" s="1" t="str">
        <f>"2019年9月至2022年7月 在洛阳职业技术学院就读 全日制专科"</f>
        <v>2019年9月至2022年7月 在洛阳职业技术学院就读 全日制专科</v>
      </c>
    </row>
    <row r="5491" spans="1:9">
      <c r="A5491" s="1" t="str">
        <f>"411381200305178220"</f>
        <v>411381200305178220</v>
      </c>
      <c r="B5491" s="1" t="str">
        <f t="shared" si="2710"/>
        <v>群众</v>
      </c>
      <c r="C5491" s="1" t="str">
        <f t="shared" si="2711"/>
        <v>专科</v>
      </c>
      <c r="D5491" s="1" t="str">
        <f>"20210701"</f>
        <v>20210701</v>
      </c>
      <c r="E5491" s="1" t="str">
        <f>"河南应用技术职业学院"</f>
        <v>河南应用技术职业学院</v>
      </c>
      <c r="F5491" s="1" t="str">
        <f>"药学"</f>
        <v>药学</v>
      </c>
      <c r="G5491" s="1" t="str">
        <f>"河南省南阳市内乡县南关师苑小区"</f>
        <v>河南省南阳市内乡县南关师苑小区</v>
      </c>
      <c r="H5491" s="1" t="str">
        <f>"无20"</f>
        <v>无20</v>
      </c>
      <c r="I5491" s="1" t="str">
        <f>"20210-202407 河南应用技术职业学院，医药学院药学专业就读，为全日制学历。"</f>
        <v>20210-202407 河南应用技术职业学院，医药学院药学专业就读，为全日制学历。</v>
      </c>
    </row>
    <row r="5492" spans="1:9">
      <c r="A5492" s="1" t="str">
        <f>"411323200512126331"</f>
        <v>411323200512126331</v>
      </c>
      <c r="B5492" s="1" t="str">
        <f t="shared" si="2710"/>
        <v>群众</v>
      </c>
      <c r="C5492" s="1" t="str">
        <f t="shared" si="2711"/>
        <v>专科</v>
      </c>
      <c r="D5492" s="1" t="str">
        <f>"20230701"</f>
        <v>20230701</v>
      </c>
      <c r="E5492" s="1" t="str">
        <f>"漯河医学高等专科学校"</f>
        <v>漯河医学高等专科学校</v>
      </c>
      <c r="F5492" s="1" t="str">
        <f>"临床医学（卓越医生教育培养计划）"</f>
        <v>临床医学（卓越医生教育培养计划）</v>
      </c>
      <c r="G5492" s="1" t="str">
        <f>"河南省南阳市"</f>
        <v>河南省南阳市</v>
      </c>
      <c r="H5492" s="1" t="str">
        <f>"助理医师资格证"</f>
        <v>助理医师资格证</v>
      </c>
      <c r="I5492" s="1" t="str">
        <f>"202009-202307   漯河医学高等专科学校  临床医学  全日制
202308-202508   邓州市中心医院  助理医师规范化培训"</f>
        <v>202009-202307   漯河医学高等专科学校  临床医学  全日制
202308-202508   邓州市中心医院  助理医师规范化培训</v>
      </c>
    </row>
    <row r="5493" spans="1:9">
      <c r="A5493" s="1" t="str">
        <f>"411327200402254223"</f>
        <v>411327200402254223</v>
      </c>
      <c r="B5493" s="1" t="str">
        <f t="shared" si="2710"/>
        <v>群众</v>
      </c>
      <c r="C5493" s="1" t="str">
        <f t="shared" si="2711"/>
        <v>专科</v>
      </c>
      <c r="D5493" s="1" t="str">
        <f>"2025628"</f>
        <v>2025628</v>
      </c>
      <c r="E5493" s="1" t="str">
        <f>"南阳医学高等专科学校"</f>
        <v>南阳医学高等专科学校</v>
      </c>
      <c r="F5493" s="1" t="str">
        <f t="shared" si="2712"/>
        <v>护理</v>
      </c>
      <c r="G5493" s="1" t="str">
        <f>"河南省内乡县赤眉镇郑州烩面"</f>
        <v>河南省内乡县赤眉镇郑州烩面</v>
      </c>
      <c r="H5493" s="1" t="str">
        <f t="shared" ref="H5493:H5498" si="2713">"无"</f>
        <v>无</v>
      </c>
      <c r="I5493" s="1" t="str">
        <f>"202209-202506南阳医学高等专科学校护理专业就读"</f>
        <v>202209-202506南阳医学高等专科学校护理专业就读</v>
      </c>
    </row>
    <row r="5494" spans="1:9">
      <c r="A5494" s="1" t="str">
        <f>"411327200207084521"</f>
        <v>411327200207084521</v>
      </c>
      <c r="B5494" s="1" t="str">
        <f t="shared" si="2710"/>
        <v>群众</v>
      </c>
      <c r="C5494" s="1" t="str">
        <f t="shared" si="2711"/>
        <v>专科</v>
      </c>
      <c r="D5494" s="1" t="str">
        <f>"20250625"</f>
        <v>20250625</v>
      </c>
      <c r="E5494" s="1" t="str">
        <f>"三门峡职业技术学院"</f>
        <v>三门峡职业技术学院</v>
      </c>
      <c r="F5494" s="1" t="str">
        <f t="shared" si="2712"/>
        <v>护理</v>
      </c>
      <c r="G5494" s="1" t="str">
        <f>"河南省内乡县赵店乡"</f>
        <v>河南省内乡县赵店乡</v>
      </c>
      <c r="H5494" s="1" t="str">
        <f>"护士职业资格证"</f>
        <v>护士职业资格证</v>
      </c>
      <c r="I5494" s="1" t="str">
        <f>"202209-202506三门峡职业技术学院医护学院护理专业就读，全日制学历"</f>
        <v>202209-202506三门峡职业技术学院医护学院护理专业就读，全日制学历</v>
      </c>
    </row>
    <row r="5495" spans="1:9">
      <c r="A5495" s="1" t="str">
        <f>"411327200212250627"</f>
        <v>411327200212250627</v>
      </c>
      <c r="B5495" s="1" t="str">
        <f t="shared" ref="B5495:B5498" si="2714">"共青团员"</f>
        <v>共青团员</v>
      </c>
      <c r="C5495" s="1" t="str">
        <f t="shared" si="2711"/>
        <v>专科</v>
      </c>
      <c r="D5495" s="1" t="str">
        <f>"2023-06-20"</f>
        <v>2023-06-20</v>
      </c>
      <c r="E5495" s="1" t="str">
        <f>"南阳医学高等专科学校"</f>
        <v>南阳医学高等专科学校</v>
      </c>
      <c r="F5495" s="1" t="str">
        <f>"药品经营与管理"</f>
        <v>药品经营与管理</v>
      </c>
      <c r="G5495" s="1" t="str">
        <f>"内乡县城关镇范蠡大街南"</f>
        <v>内乡县城关镇范蠡大街南</v>
      </c>
      <c r="H5495" s="1" t="str">
        <f t="shared" si="2713"/>
        <v>无</v>
      </c>
      <c r="I5495" s="1" t="str">
        <f>"201801-202307在南阳医学高等专科学校药学系药品经营与管理就读 是全日制学历"</f>
        <v>201801-202307在南阳医学高等专科学校药学系药品经营与管理就读 是全日制学历</v>
      </c>
    </row>
    <row r="5496" spans="1:9">
      <c r="A5496" s="1" t="str">
        <f>"411327200303113142"</f>
        <v>411327200303113142</v>
      </c>
      <c r="B5496" s="1" t="str">
        <f t="shared" si="2714"/>
        <v>共青团员</v>
      </c>
      <c r="C5496" s="1" t="str">
        <f t="shared" si="2711"/>
        <v>专科</v>
      </c>
      <c r="D5496" s="1" t="str">
        <f>"20240701"</f>
        <v>20240701</v>
      </c>
      <c r="E5496" s="1" t="str">
        <f>"濮阳医学高等专科学校"</f>
        <v>濮阳医学高等专科学校</v>
      </c>
      <c r="F5496" s="1" t="str">
        <f t="shared" ref="F5496:F5500" si="2715">"护理"</f>
        <v>护理</v>
      </c>
      <c r="G5496" s="1" t="str">
        <f>"河南省南阳市内乡县夏馆镇杜家堰"</f>
        <v>河南省南阳市内乡县夏馆镇杜家堰</v>
      </c>
      <c r="H5496" s="1" t="str">
        <f>"护士资格证"</f>
        <v>护士资格证</v>
      </c>
      <c r="I5496" s="1" t="str">
        <f>"2021.10-2024.07濮阳医学高等专科学校学校护理专业就读。是全日制学历"</f>
        <v>2021.10-2024.07濮阳医学高等专科学校学校护理专业就读。是全日制学历</v>
      </c>
    </row>
    <row r="5497" spans="1:9">
      <c r="A5497" s="1" t="str">
        <f>"41132719981203253X"</f>
        <v>41132719981203253X</v>
      </c>
      <c r="B5497" s="1" t="str">
        <f t="shared" ref="B5497:B5500" si="2716">"群众"</f>
        <v>群众</v>
      </c>
      <c r="C5497" s="1" t="str">
        <f t="shared" si="2711"/>
        <v>专科</v>
      </c>
      <c r="D5497" s="1" t="str">
        <f>"2020-07-10"</f>
        <v>2020-07-10</v>
      </c>
      <c r="E5497" s="1" t="str">
        <f>"郑州铁路职业技术学院"</f>
        <v>郑州铁路职业技术学院</v>
      </c>
      <c r="F5497" s="1" t="str">
        <f t="shared" si="2715"/>
        <v>护理</v>
      </c>
      <c r="G5497" s="1" t="str">
        <f>"河南省南阳市内乡县丽都花园29号楼1101"</f>
        <v>河南省南阳市内乡县丽都花园29号楼1101</v>
      </c>
      <c r="H5497" s="1" t="str">
        <f>"护士资格证"</f>
        <v>护士资格证</v>
      </c>
      <c r="I5497" s="1" t="str">
        <f>"2017.09—2020.07 于郑州铁路职业技术学院学习
2020.07—2021.01 于南阳市第四人民医院工作
2021.02 至今于内乡县人民医院工作
"</f>
        <v>2017.09—2020.07 于郑州铁路职业技术学院学习
2020.07—2021.01 于南阳市第四人民医院工作
2021.02 至今于内乡县人民医院工作
</v>
      </c>
    </row>
    <row r="5498" spans="1:9">
      <c r="A5498" s="1" t="str">
        <f>"411524200204126548"</f>
        <v>411524200204126548</v>
      </c>
      <c r="B5498" s="1" t="str">
        <f t="shared" si="2714"/>
        <v>共青团员</v>
      </c>
      <c r="C5498" s="1" t="str">
        <f>"本科"</f>
        <v>本科</v>
      </c>
      <c r="D5498" s="1" t="str">
        <f>"2025-06-01"</f>
        <v>2025-06-01</v>
      </c>
      <c r="E5498" s="1" t="str">
        <f>"许昌学院"</f>
        <v>许昌学院</v>
      </c>
      <c r="F5498" s="1" t="str">
        <f>"医学检验技术"</f>
        <v>医学检验技术</v>
      </c>
      <c r="G5498" s="1" t="str">
        <f>"河南省信阳市商城县商城大道"</f>
        <v>河南省信阳市商城县商城大道</v>
      </c>
      <c r="H5498" s="1" t="str">
        <f t="shared" si="2713"/>
        <v>无</v>
      </c>
      <c r="I5498" s="1" t="str">
        <f>"202109-202506许昌学院医学院就读医学检验技术专业，全日制本科学历。"</f>
        <v>202109-202506许昌学院医学院就读医学检验技术专业，全日制本科学历。</v>
      </c>
    </row>
    <row r="5499" spans="1:9">
      <c r="A5499" s="1" t="str">
        <f>"41132719960203422X"</f>
        <v>41132719960203422X</v>
      </c>
      <c r="B5499" s="1" t="str">
        <f t="shared" si="2716"/>
        <v>群众</v>
      </c>
      <c r="C5499" s="1" t="str">
        <f>"本科"</f>
        <v>本科</v>
      </c>
      <c r="D5499" s="1" t="str">
        <f>"20200701"</f>
        <v>20200701</v>
      </c>
      <c r="E5499" s="1" t="str">
        <f>"长治医学院"</f>
        <v>长治医学院</v>
      </c>
      <c r="F5499" s="1" t="str">
        <f>"护理学"</f>
        <v>护理学</v>
      </c>
      <c r="G5499" s="1" t="str">
        <f>"河南省南阳市内乡县余关乡麦山村水泉组"</f>
        <v>河南省南阳市内乡县余关乡麦山村水泉组</v>
      </c>
      <c r="H5499" s="1" t="str">
        <f>"护士资格证初级（士），护士执业证"</f>
        <v>护士资格证初级（士），护士执业证</v>
      </c>
      <c r="I5499" s="1" t="str">
        <f>"201509-201807山西医科大学汾阳学院护理学系护理专业，全日制
201809-202007长治医学院护理学系护理学专业，全日制"</f>
        <v>201509-201807山西医科大学汾阳学院护理学系护理专业，全日制
201809-202007长治医学院护理学系护理学专业，全日制</v>
      </c>
    </row>
    <row r="5500" spans="1:9">
      <c r="A5500" s="1" t="str">
        <f>"411327199802130064"</f>
        <v>411327199802130064</v>
      </c>
      <c r="B5500" s="1" t="str">
        <f t="shared" si="2716"/>
        <v>群众</v>
      </c>
      <c r="C5500" s="1" t="str">
        <f t="shared" ref="C5500:C5504" si="2717">"专科"</f>
        <v>专科</v>
      </c>
      <c r="D5500" s="1" t="str">
        <f>"20190701"</f>
        <v>20190701</v>
      </c>
      <c r="E5500" s="1" t="str">
        <f>"平顶山学院"</f>
        <v>平顶山学院</v>
      </c>
      <c r="F5500" s="1" t="str">
        <f t="shared" si="2715"/>
        <v>护理</v>
      </c>
      <c r="G5500" s="1" t="str">
        <f>"河南省南阳市内乡县城关镇范蠡大街"</f>
        <v>河南省南阳市内乡县城关镇范蠡大街</v>
      </c>
      <c r="H5500" s="1" t="str">
        <f>"护师资格证"</f>
        <v>护师资格证</v>
      </c>
      <c r="I5500" s="1" t="str">
        <f>"201609-201907平顶山学院护理专业，大专
201910内乡县人民医院麻醉科手术室至今"</f>
        <v>201609-201907平顶山学院护理专业，大专
201910内乡县人民医院麻醉科手术室至今</v>
      </c>
    </row>
    <row r="5501" spans="1:9">
      <c r="A5501" s="1" t="str">
        <f>"412825199807102084"</f>
        <v>412825199807102084</v>
      </c>
      <c r="B5501" s="1" t="str">
        <f t="shared" ref="B5501:B5505" si="2718">"共青团员"</f>
        <v>共青团员</v>
      </c>
      <c r="C5501" s="1" t="str">
        <f>"硕士研究生"</f>
        <v>硕士研究生</v>
      </c>
      <c r="D5501" s="1" t="str">
        <f>"20240630"</f>
        <v>20240630</v>
      </c>
      <c r="E5501" s="1" t="str">
        <f>"沈阳药科大学"</f>
        <v>沈阳药科大学</v>
      </c>
      <c r="F5501" s="1" t="str">
        <f>"药学"</f>
        <v>药学</v>
      </c>
      <c r="G5501" s="1" t="str">
        <f>"河南省驻马店市上蔡县和店乡曹庄村齐庄"</f>
        <v>河南省驻马店市上蔡县和店乡曹庄村齐庄</v>
      </c>
      <c r="H5501" s="1" t="str">
        <f>"初级药师资格证书"</f>
        <v>初级药师资格证书</v>
      </c>
      <c r="I5501" s="1" t="str">
        <f>"202407-至今 南京海纳医药科技有限公司 制剂研究员
202109-202406 沈阳药科大学 药学院 药学专业 全日制硕士研究生
201709-202106 河南中医药大学 药学院 药学专业 全日制学士本科"</f>
        <v>202407-至今 南京海纳医药科技有限公司 制剂研究员
202109-202406 沈阳药科大学 药学院 药学专业 全日制硕士研究生
201709-202106 河南中医药大学 药学院 药学专业 全日制学士本科</v>
      </c>
    </row>
    <row r="5502" spans="1:9">
      <c r="A5502" s="1" t="str">
        <f>"41132719980203032X"</f>
        <v>41132719980203032X</v>
      </c>
      <c r="B5502" s="1" t="str">
        <f t="shared" si="2718"/>
        <v>共青团员</v>
      </c>
      <c r="C5502" s="1" t="str">
        <f t="shared" si="2717"/>
        <v>专科</v>
      </c>
      <c r="D5502" s="1" t="str">
        <f>"20190620"</f>
        <v>20190620</v>
      </c>
      <c r="E5502" s="1" t="str">
        <f>"泰州职业技术学院"</f>
        <v>泰州职业技术学院</v>
      </c>
      <c r="F5502" s="1" t="str">
        <f>"护理"</f>
        <v>护理</v>
      </c>
      <c r="G5502" s="1" t="str">
        <f>"河南省南阳市内乡县"</f>
        <v>河南省南阳市内乡县</v>
      </c>
      <c r="H5502" s="1" t="str">
        <f>"护师资格证"</f>
        <v>护师资格证</v>
      </c>
      <c r="I5502" s="1" t="str">
        <f>"201609-201906 在泰州职业技术学院护理系护理专业就读，全日制学历
201810-202009 在南京医科大学护理学专业就读，高等教育自学考试，有学位证"</f>
        <v>201609-201906 在泰州职业技术学院护理系护理专业就读，全日制学历
201810-202009 在南京医科大学护理学专业就读，高等教育自学考试，有学位证</v>
      </c>
    </row>
    <row r="5503" spans="1:9">
      <c r="A5503" s="1" t="str">
        <f>"411327200305220080"</f>
        <v>411327200305220080</v>
      </c>
      <c r="B5503" s="1" t="str">
        <f t="shared" ref="B5503:B5508" si="2719">"群众"</f>
        <v>群众</v>
      </c>
      <c r="C5503" s="1" t="str">
        <f t="shared" si="2717"/>
        <v>专科</v>
      </c>
      <c r="D5503" s="1" t="str">
        <f>"20240601"</f>
        <v>20240601</v>
      </c>
      <c r="E5503" s="1" t="str">
        <f>"洛阳职业技术学院"</f>
        <v>洛阳职业技术学院</v>
      </c>
      <c r="F5503" s="1" t="str">
        <f>"护理学"</f>
        <v>护理学</v>
      </c>
      <c r="G5503" s="1" t="str">
        <f>"河南省南阳市内乡县天春苑小区"</f>
        <v>河南省南阳市内乡县天春苑小区</v>
      </c>
      <c r="H5503" s="1" t="str">
        <f>"护士资格证"</f>
        <v>护士资格证</v>
      </c>
      <c r="I5503" s="1" t="str">
        <f>"202109-202406就读于全日制洛阳职业技术学院
护理与康养学院护理学专业
"</f>
        <v>202109-202406就读于全日制洛阳职业技术学院
护理与康养学院护理学专业
</v>
      </c>
    </row>
    <row r="5504" spans="1:9">
      <c r="A5504" s="1" t="str">
        <f>"411326200206100714"</f>
        <v>411326200206100714</v>
      </c>
      <c r="B5504" s="1" t="str">
        <f t="shared" si="2718"/>
        <v>共青团员</v>
      </c>
      <c r="C5504" s="1" t="str">
        <f t="shared" si="2717"/>
        <v>专科</v>
      </c>
      <c r="D5504" s="1" t="str">
        <f>"20230701"</f>
        <v>20230701</v>
      </c>
      <c r="E5504" s="1" t="str">
        <f>"郑州澍青医学高等专科学校"</f>
        <v>郑州澍青医学高等专科学校</v>
      </c>
      <c r="F5504" s="1" t="str">
        <f>"临床医学"</f>
        <v>临床医学</v>
      </c>
      <c r="G5504" s="1" t="str">
        <f>"河南省南阳市南召县留山镇东街村"</f>
        <v>河南省南阳市南召县留山镇东街村</v>
      </c>
      <c r="H5504" s="1" t="str">
        <f>"临床执业助理医师"</f>
        <v>临床执业助理医师</v>
      </c>
      <c r="I5504" s="1" t="str">
        <f>"202009-202307 郑州澍青医学高等专科学校 就读
202307-至今待业"</f>
        <v>202009-202307 郑州澍青医学高等专科学校 就读
202307-至今待业</v>
      </c>
    </row>
    <row r="5505" spans="1:9">
      <c r="A5505" s="1" t="str">
        <f>"411323200112144426"</f>
        <v>411323200112144426</v>
      </c>
      <c r="B5505" s="1" t="str">
        <f t="shared" si="2718"/>
        <v>共青团员</v>
      </c>
      <c r="C5505" s="1" t="str">
        <f t="shared" ref="C5505:C5507" si="2720">"本科"</f>
        <v>本科</v>
      </c>
      <c r="D5505" s="1" t="str">
        <f>"20230710"</f>
        <v>20230710</v>
      </c>
      <c r="E5505" s="1" t="str">
        <f>"濮阳医学高等专科学校"</f>
        <v>濮阳医学高等专科学校</v>
      </c>
      <c r="F5505" s="1" t="str">
        <f>"护理"</f>
        <v>护理</v>
      </c>
      <c r="G5505" s="1" t="str">
        <f>"河南省南阳市淅川县"</f>
        <v>河南省南阳市淅川县</v>
      </c>
      <c r="H5505" s="1" t="str">
        <f>"护士"</f>
        <v>护士</v>
      </c>
      <c r="I5505" s="1" t="str">
        <f>"202010-202307在濮阳医学高等专科学校护理系护理专业就读，为全日制专科。后又在网上报考专升本，在湖北理工学院护理学科就读，为非全日制本科。
20222.7-2023.4在南阳市第一人民医院实习。
2023.9在石鼓卫生院工作至今，2023.12在十堰茅箭区进修，2025.5在丹江口市人民医院参加心肺复苏比赛。
"</f>
        <v>202010-202307在濮阳医学高等专科学校护理系护理专业就读，为全日制专科。后又在网上报考专升本，在湖北理工学院护理学科就读，为非全日制本科。
20222.7-2023.4在南阳市第一人民医院实习。
2023.9在石鼓卫生院工作至今，2023.12在十堰茅箭区进修，2025.5在丹江口市人民医院参加心肺复苏比赛。
</v>
      </c>
    </row>
    <row r="5506" ht="121.5" spans="1:9">
      <c r="A5506" s="1" t="str">
        <f>"41088219980701854X"</f>
        <v>41088219980701854X</v>
      </c>
      <c r="B5506" s="1" t="str">
        <f t="shared" si="2719"/>
        <v>群众</v>
      </c>
      <c r="C5506" s="1" t="str">
        <f t="shared" si="2720"/>
        <v>本科</v>
      </c>
      <c r="D5506" s="1" t="str">
        <f>"2021-07-01"</f>
        <v>2021-07-01</v>
      </c>
      <c r="E5506" s="1" t="str">
        <f>"新乡医学院三全学院"</f>
        <v>新乡医学院三全学院</v>
      </c>
      <c r="F5506" s="1" t="str">
        <f>"医学检验技术"</f>
        <v>医学检验技术</v>
      </c>
      <c r="G5506" s="1" t="str">
        <f>"河南省郑州市管城回族区中海如园"</f>
        <v>河南省郑州市管城回族区中海如园</v>
      </c>
      <c r="H5506" s="1" t="str">
        <f>"临床医学检验技术初级（师）"</f>
        <v>临床医学检验技术初级（师）</v>
      </c>
      <c r="I5506" s="3" t="s">
        <v>294</v>
      </c>
    </row>
    <row r="5507" spans="1:9">
      <c r="A5507" s="1" t="str">
        <f>"411303200104026766"</f>
        <v>411303200104026766</v>
      </c>
      <c r="B5507" s="1" t="str">
        <f>"共青团员"</f>
        <v>共青团员</v>
      </c>
      <c r="C5507" s="1" t="str">
        <f t="shared" si="2720"/>
        <v>本科</v>
      </c>
      <c r="D5507" s="1" t="str">
        <f>"20240628"</f>
        <v>20240628</v>
      </c>
      <c r="E5507" s="1" t="str">
        <f>"福建中医药大学"</f>
        <v>福建中医药大学</v>
      </c>
      <c r="F5507" s="1" t="str">
        <f>"药物制剂"</f>
        <v>药物制剂</v>
      </c>
      <c r="G5507" s="1" t="str">
        <f>"河南省南阳市卧龙区北京大道中原厂"</f>
        <v>河南省南阳市卧龙区北京大道中原厂</v>
      </c>
      <c r="H5507" s="1" t="str">
        <f t="shared" ref="H5507:H5510" si="2721">"无"</f>
        <v>无</v>
      </c>
      <c r="I5507" s="1" t="str">
        <f>"202010-202406在福建中医药大学药学院药物制剂专业就读，
202407-202411在上海瑞泰来医药科技有限公司工作，
202412-202502在河南省树铭药业公司工作，
202503-至今在南阳启胜药业公司工作"</f>
        <v>202010-202406在福建中医药大学药学院药物制剂专业就读，
202407-202411在上海瑞泰来医药科技有限公司工作，
202412-202502在河南省树铭药业公司工作，
202503-至今在南阳启胜药业公司工作</v>
      </c>
    </row>
    <row r="5508" spans="1:9">
      <c r="A5508" s="1" t="str">
        <f>"411330199905223827"</f>
        <v>411330199905223827</v>
      </c>
      <c r="B5508" s="1" t="str">
        <f t="shared" si="2719"/>
        <v>群众</v>
      </c>
      <c r="C5508" s="1" t="str">
        <f t="shared" ref="C5508:C5511" si="2722">"专科"</f>
        <v>专科</v>
      </c>
      <c r="D5508" s="1" t="str">
        <f>"2021-07-01"</f>
        <v>2021-07-01</v>
      </c>
      <c r="E5508" s="1" t="str">
        <f>"河南护理职业学院"</f>
        <v>河南护理职业学院</v>
      </c>
      <c r="F5508" s="1" t="str">
        <f>"护理"</f>
        <v>护理</v>
      </c>
      <c r="G5508" s="1" t="str">
        <f>"西峡县城关镇白羽街道龙湾路一号"</f>
        <v>西峡县城关镇白羽街道龙湾路一号</v>
      </c>
      <c r="H5508" s="1" t="str">
        <f>"护士资格证"</f>
        <v>护士资格证</v>
      </c>
      <c r="I5508" s="1" t="str">
        <f>"2018.09-2021.07河南护理职业学院护理学就读  全日制
2021.07至今西峡县人民医院"</f>
        <v>2018.09-2021.07河南护理职业学院护理学就读  全日制
2021.07至今西峡县人民医院</v>
      </c>
    </row>
    <row r="5509" spans="1:9">
      <c r="A5509" s="1" t="str">
        <f>"411324199202055516"</f>
        <v>411324199202055516</v>
      </c>
      <c r="B5509" s="1" t="str">
        <f>"中共党员"</f>
        <v>中共党员</v>
      </c>
      <c r="C5509" s="1" t="str">
        <f t="shared" si="2722"/>
        <v>专科</v>
      </c>
      <c r="D5509" s="1" t="str">
        <f>"20150701"</f>
        <v>20150701</v>
      </c>
      <c r="E5509" s="1" t="str">
        <f>"信阳职业技术学校"</f>
        <v>信阳职业技术学校</v>
      </c>
      <c r="F5509" s="1" t="str">
        <f t="shared" ref="F5509:F5515" si="2723">"临床医学"</f>
        <v>临床医学</v>
      </c>
      <c r="G5509" s="1" t="str">
        <f>"河南省南阳市镇平县天和家园"</f>
        <v>河南省南阳市镇平县天和家园</v>
      </c>
      <c r="H5509" s="1" t="str">
        <f t="shared" si="2721"/>
        <v>无</v>
      </c>
      <c r="I5509" s="1" t="str">
        <f>"2012年9月1日至2015年7月1日在信阳职业技术学院临床医学专业就读，学历为全日制大专，2014年9月至2024年9月在江苏省无锡市滨湖区武警部队担任卫生员一职，2024年9月退伍至今，在家备考公务员。"</f>
        <v>2012年9月1日至2015年7月1日在信阳职业技术学院临床医学专业就读，学历为全日制大专，2014年9月至2024年9月在江苏省无锡市滨湖区武警部队担任卫生员一职，2024年9月退伍至今，在家备考公务员。</v>
      </c>
    </row>
    <row r="5510" spans="1:9">
      <c r="A5510" s="1" t="str">
        <f>"411324200206160538"</f>
        <v>411324200206160538</v>
      </c>
      <c r="B5510" s="1" t="str">
        <f t="shared" ref="B5510:B5514" si="2724">"群众"</f>
        <v>群众</v>
      </c>
      <c r="C5510" s="1" t="str">
        <f t="shared" si="2722"/>
        <v>专科</v>
      </c>
      <c r="D5510" s="1" t="str">
        <f>"20230701"</f>
        <v>20230701</v>
      </c>
      <c r="E5510" s="1" t="str">
        <f>"商丘医学高等专科学校"</f>
        <v>商丘医学高等专科学校</v>
      </c>
      <c r="F5510" s="1" t="str">
        <f t="shared" si="2723"/>
        <v>临床医学</v>
      </c>
      <c r="G5510" s="1" t="str">
        <f>"河南省内乡县"</f>
        <v>河南省内乡县</v>
      </c>
      <c r="H5510" s="1" t="str">
        <f t="shared" si="2721"/>
        <v>无</v>
      </c>
      <c r="I5510" s="1" t="str">
        <f>"20200901-20230701在商丘医学高等专科学校临床医学系临床医学专业就读，是全日制学历
202309-202508在内乡县人民医院助理全科医师规范化培训"</f>
        <v>20200901-20230701在商丘医学高等专科学校临床医学系临床医学专业就读，是全日制学历
202309-202508在内乡县人民医院助理全科医师规范化培训</v>
      </c>
    </row>
    <row r="5511" spans="1:9">
      <c r="A5511" s="1" t="str">
        <f>"411323200108141126"</f>
        <v>411323200108141126</v>
      </c>
      <c r="B5511" s="1" t="str">
        <f t="shared" ref="B5511:B5518" si="2725">"共青团员"</f>
        <v>共青团员</v>
      </c>
      <c r="C5511" s="1" t="str">
        <f t="shared" si="2722"/>
        <v>专科</v>
      </c>
      <c r="D5511" s="1" t="str">
        <f>"2023年7月"</f>
        <v>2023年7月</v>
      </c>
      <c r="E5511" s="1" t="str">
        <f>"南阳医学高等专科学校"</f>
        <v>南阳医学高等专科学校</v>
      </c>
      <c r="F5511" s="1" t="str">
        <f>"临床医生"</f>
        <v>临床医生</v>
      </c>
      <c r="G5511" s="1" t="str">
        <f>"淅川县"</f>
        <v>淅川县</v>
      </c>
      <c r="H5511" s="1" t="str">
        <f>"助理医师资格证"</f>
        <v>助理医师资格证</v>
      </c>
      <c r="I5511" s="1" t="str">
        <f>"2020.09-2022.06:于南阳医学高等专科学校临床医学系就读（全日制）
2022.07～2023.06:南石医院实习
2023.09～2025.08:内乡县人民医院规培，期间考取助理医师资格证"</f>
        <v>2020.09-2022.06:于南阳医学高等专科学校临床医学系就读（全日制）
2022.07～2023.06:南石医院实习
2023.09～2025.08:内乡县人民医院规培，期间考取助理医师资格证</v>
      </c>
    </row>
    <row r="5512" spans="1:9">
      <c r="A5512" s="1" t="str">
        <f>"411381200303010627"</f>
        <v>411381200303010627</v>
      </c>
      <c r="B5512" s="1" t="str">
        <f>"中共党员"</f>
        <v>中共党员</v>
      </c>
      <c r="C5512" s="1" t="str">
        <f t="shared" ref="C5512:C5518" si="2726">"本科"</f>
        <v>本科</v>
      </c>
      <c r="D5512" s="1" t="str">
        <f>"20250612"</f>
        <v>20250612</v>
      </c>
      <c r="E5512" s="1" t="str">
        <f>"黄河科技学院"</f>
        <v>黄河科技学院</v>
      </c>
      <c r="F5512" s="1" t="str">
        <f>"医学影像技术"</f>
        <v>医学影像技术</v>
      </c>
      <c r="G5512" s="1" t="str">
        <f>"2305093404@qq.com"</f>
        <v>2305093404@qq.com</v>
      </c>
      <c r="H5512" s="1" t="str">
        <f t="shared" ref="H5512:H5516" si="2727">"无"</f>
        <v>无</v>
      </c>
      <c r="I5512" s="1" t="str">
        <f>"202109-202506 黄河科技学院就读 医学影像技术专业就读 是全日制学历 "</f>
        <v>202109-202506 黄河科技学院就读 医学影像技术专业就读 是全日制学历 </v>
      </c>
    </row>
    <row r="5513" spans="1:9">
      <c r="A5513" s="1" t="str">
        <f>"411321200106204442"</f>
        <v>411321200106204442</v>
      </c>
      <c r="B5513" s="1" t="str">
        <f t="shared" si="2724"/>
        <v>群众</v>
      </c>
      <c r="C5513" s="1" t="str">
        <f t="shared" ref="C5513:C5516" si="2728">"专科"</f>
        <v>专科</v>
      </c>
      <c r="D5513" s="1" t="str">
        <f>"2023.07"</f>
        <v>2023.07</v>
      </c>
      <c r="E5513" s="1" t="str">
        <f>"商丘医学高等专科学校"</f>
        <v>商丘医学高等专科学校</v>
      </c>
      <c r="F5513" s="1" t="str">
        <f t="shared" si="2723"/>
        <v>临床医学</v>
      </c>
      <c r="G5513" s="1" t="str">
        <f>"南阳市南召县人民路374号"</f>
        <v>南阳市南召县人民路374号</v>
      </c>
      <c r="H5513" s="1" t="str">
        <f>"助理医师资格证"</f>
        <v>助理医师资格证</v>
      </c>
      <c r="I5513" s="1" t="str">
        <f>"2020.09-2023.07   在商丘医学高等专科学校就读
2023.07-2025.05    待业
2025.05-至今     在南召县康养公司就职"</f>
        <v>2020.09-2023.07   在商丘医学高等专科学校就读
2023.07-2025.05    待业
2025.05-至今     在南召县康养公司就职</v>
      </c>
    </row>
    <row r="5514" spans="1:9">
      <c r="A5514" s="1" t="str">
        <f>"410426199704244031"</f>
        <v>410426199704244031</v>
      </c>
      <c r="B5514" s="1" t="str">
        <f t="shared" si="2724"/>
        <v>群众</v>
      </c>
      <c r="C5514" s="1" t="str">
        <f t="shared" si="2726"/>
        <v>本科</v>
      </c>
      <c r="D5514" s="1" t="str">
        <f>"20200701"</f>
        <v>20200701</v>
      </c>
      <c r="E5514" s="1" t="str">
        <f>"新乡医学院"</f>
        <v>新乡医学院</v>
      </c>
      <c r="F5514" s="1" t="str">
        <f t="shared" si="2723"/>
        <v>临床医学</v>
      </c>
      <c r="G5514" s="1" t="str">
        <f>"河南省襄城县丁营乡苗府村"</f>
        <v>河南省襄城县丁营乡苗府村</v>
      </c>
      <c r="H5514" s="1" t="str">
        <f>"医师资格证书，医师执业证书"</f>
        <v>医师资格证书，医师执业证书</v>
      </c>
      <c r="I5514" s="1" t="str">
        <f>"201509-202007，新乡医学院临床医学专业就读，全日制
202009-202307，扬州大学附属医院规培，
202307-至今，待业"</f>
        <v>201509-202007，新乡医学院临床医学专业就读，全日制
202009-202307，扬州大学附属医院规培，
202307-至今，待业</v>
      </c>
    </row>
    <row r="5515" spans="1:9">
      <c r="A5515" s="1" t="str">
        <f>"411327200401214932"</f>
        <v>411327200401214932</v>
      </c>
      <c r="B5515" s="1" t="str">
        <f t="shared" si="2725"/>
        <v>共青团员</v>
      </c>
      <c r="C5515" s="1" t="str">
        <f t="shared" si="2728"/>
        <v>专科</v>
      </c>
      <c r="D5515" s="1" t="str">
        <f>"20250701"</f>
        <v>20250701</v>
      </c>
      <c r="E5515" s="1" t="str">
        <f>"河南护理职业学院"</f>
        <v>河南护理职业学院</v>
      </c>
      <c r="F5515" s="1" t="str">
        <f t="shared" si="2723"/>
        <v>临床医学</v>
      </c>
      <c r="G5515" s="1" t="str">
        <f>"河南省南阳市内乡县城关镇"</f>
        <v>河南省南阳市内乡县城关镇</v>
      </c>
      <c r="H5515" s="1" t="str">
        <f t="shared" si="2727"/>
        <v>无</v>
      </c>
      <c r="I5515" s="1" t="str">
        <f>"202209-202507河南护理学院就读
202209-202507河南护理职业学院临床医学专业就读
为全日制专科"</f>
        <v>202209-202507河南护理学院就读
202209-202507河南护理职业学院临床医学专业就读
为全日制专科</v>
      </c>
    </row>
    <row r="5516" spans="1:9">
      <c r="A5516" s="1" t="str">
        <f>"411324200305255815"</f>
        <v>411324200305255815</v>
      </c>
      <c r="B5516" s="1" t="str">
        <f t="shared" si="2725"/>
        <v>共青团员</v>
      </c>
      <c r="C5516" s="1" t="str">
        <f t="shared" si="2728"/>
        <v>专科</v>
      </c>
      <c r="D5516" s="1" t="str">
        <f>"20240701"</f>
        <v>20240701</v>
      </c>
      <c r="E5516" s="1" t="str">
        <f>"濮阳医学高等专科学校"</f>
        <v>濮阳医学高等专科学校</v>
      </c>
      <c r="F5516" s="1" t="str">
        <f>"中医学"</f>
        <v>中医学</v>
      </c>
      <c r="G5516" s="1" t="str">
        <f>"河南省南阳市卧龙区百里奚街道中州西路祥和嘉苑"</f>
        <v>河南省南阳市卧龙区百里奚街道中州西路祥和嘉苑</v>
      </c>
      <c r="H5516" s="1" t="str">
        <f t="shared" si="2727"/>
        <v>无</v>
      </c>
      <c r="I5516" s="1" t="str">
        <f>"20211001-20240701 濮阳医学高等专科学校中医学专业就读 是全日制"</f>
        <v>20211001-20240701 濮阳医学高等专科学校中医学专业就读 是全日制</v>
      </c>
    </row>
    <row r="5517" spans="1:9">
      <c r="A5517" s="1" t="str">
        <f>"411330200205252024"</f>
        <v>411330200205252024</v>
      </c>
      <c r="B5517" s="1" t="str">
        <f t="shared" si="2725"/>
        <v>共青团员</v>
      </c>
      <c r="C5517" s="1" t="str">
        <f t="shared" si="2726"/>
        <v>本科</v>
      </c>
      <c r="D5517" s="1" t="str">
        <f>"20250612"</f>
        <v>20250612</v>
      </c>
      <c r="E5517" s="1" t="str">
        <f>"郑州工业应用技术学院"</f>
        <v>郑州工业应用技术学院</v>
      </c>
      <c r="F5517" s="1" t="str">
        <f>"护理学"</f>
        <v>护理学</v>
      </c>
      <c r="G5517" s="1" t="str">
        <f>"河南省南阳市西峡县幸福佳苑西区"</f>
        <v>河南省南阳市西峡县幸福佳苑西区</v>
      </c>
      <c r="H5517" s="1" t="str">
        <f>"护士资格证执业证"</f>
        <v>护士资格证执业证</v>
      </c>
      <c r="I5517" s="1" t="str">
        <f>"于202009-202307在南阳医学高等专科学校护理专业完成全日制专科学习且取得毕业证书
于202309-202506在郑州工业应用技术学院护理学专业完成全日制本科学习且取得相应的毕业证书以及学位证书"</f>
        <v>于202009-202307在南阳医学高等专科学校护理专业完成全日制专科学习且取得毕业证书
于202309-202506在郑州工业应用技术学院护理学专业完成全日制本科学习且取得相应的毕业证书以及学位证书</v>
      </c>
    </row>
    <row r="5518" spans="1:9">
      <c r="A5518" s="1" t="str">
        <f>"41133019971012006X"</f>
        <v>41133019971012006X</v>
      </c>
      <c r="B5518" s="1" t="str">
        <f t="shared" si="2725"/>
        <v>共青团员</v>
      </c>
      <c r="C5518" s="1" t="str">
        <f t="shared" si="2726"/>
        <v>本科</v>
      </c>
      <c r="D5518" s="1" t="str">
        <f>"20220701"</f>
        <v>20220701</v>
      </c>
      <c r="E5518" s="1" t="str">
        <f>"郑州工业应用技术学院"</f>
        <v>郑州工业应用技术学院</v>
      </c>
      <c r="F5518" s="1" t="str">
        <f>"康复治疗学"</f>
        <v>康复治疗学</v>
      </c>
      <c r="G5518" s="1" t="str">
        <f>"河南省内乡县湍东镇郦都国际三期三号楼1603"</f>
        <v>河南省内乡县湍东镇郦都国际三期三号楼1603</v>
      </c>
      <c r="H5518" s="1" t="str">
        <f>"初级康复治疗师"</f>
        <v>初级康复治疗师</v>
      </c>
      <c r="I5518" s="1" t="str">
        <f>"201709-202006在南阳医学高等专科学校康复治疗技术专业就读，全日制专科学历；202009-202207在郑州工业应用技术学院康复治疗学专业，全日制本科学历"</f>
        <v>201709-202006在南阳医学高等专科学校康复治疗技术专业就读，全日制专科学历；202009-202207在郑州工业应用技术学院康复治疗学专业，全日制本科学历</v>
      </c>
    </row>
    <row r="5519" spans="1:9">
      <c r="A5519" s="1" t="str">
        <f>"411327199302074940"</f>
        <v>411327199302074940</v>
      </c>
      <c r="B5519" s="1" t="str">
        <f t="shared" ref="B5519:B5523" si="2729">"群众"</f>
        <v>群众</v>
      </c>
      <c r="C5519" s="1" t="str">
        <f t="shared" ref="C5519:C5523" si="2730">"专科"</f>
        <v>专科</v>
      </c>
      <c r="D5519" s="1" t="str">
        <f>"20160701"</f>
        <v>20160701</v>
      </c>
      <c r="E5519" s="1" t="str">
        <f>"河南医学高等专科学校"</f>
        <v>河南医学高等专科学校</v>
      </c>
      <c r="F5519" s="1" t="str">
        <f>"药学"</f>
        <v>药学</v>
      </c>
      <c r="G5519" s="1" t="str">
        <f>"内乡县学府公馆"</f>
        <v>内乡县学府公馆</v>
      </c>
      <c r="H5519" s="1" t="str">
        <f>"药士"</f>
        <v>药士</v>
      </c>
      <c r="I5519" s="1" t="str">
        <f>"201309-201607河南医学高等专科学校就读（全日制）
201609-201809郑州康弘中医门诊药房
201809-至今内乡县自明教育机器人学校工作"</f>
        <v>201309-201607河南医学高等专科学校就读（全日制）
201609-201809郑州康弘中医门诊药房
201809-至今内乡县自明教育机器人学校工作</v>
      </c>
    </row>
    <row r="5520" spans="1:9">
      <c r="A5520" s="1" t="str">
        <f>"411327200010180042"</f>
        <v>411327200010180042</v>
      </c>
      <c r="B5520" s="1" t="str">
        <f t="shared" ref="B5520:B5526" si="2731">"共青团员"</f>
        <v>共青团员</v>
      </c>
      <c r="C5520" s="1" t="str">
        <f t="shared" ref="C5520:C5526" si="2732">"本科"</f>
        <v>本科</v>
      </c>
      <c r="D5520" s="1" t="str">
        <f>"20230701"</f>
        <v>20230701</v>
      </c>
      <c r="E5520" s="1" t="str">
        <f>"新乡医学院三全学院"</f>
        <v>新乡医学院三全学院</v>
      </c>
      <c r="F5520" s="1" t="str">
        <f>"医学检验技术"</f>
        <v>医学检验技术</v>
      </c>
      <c r="G5520" s="1" t="str">
        <f>"河南省南阳市内乡县桂苑小区"</f>
        <v>河南省南阳市内乡县桂苑小区</v>
      </c>
      <c r="H5520" s="1" t="str">
        <f>"初级检验师"</f>
        <v>初级检验师</v>
      </c>
      <c r="I5520" s="1" t="str">
        <f>"201909-202306于新乡医学院三全学院全日制就读
202306至今于内乡县妇幼保健院上班"</f>
        <v>201909-202306于新乡医学院三全学院全日制就读
202306至今于内乡县妇幼保健院上班</v>
      </c>
    </row>
    <row r="5521" spans="1:9">
      <c r="A5521" s="1" t="str">
        <f>"411327199406010028"</f>
        <v>411327199406010028</v>
      </c>
      <c r="B5521" s="1" t="str">
        <f t="shared" si="2729"/>
        <v>群众</v>
      </c>
      <c r="C5521" s="1" t="str">
        <f t="shared" si="2730"/>
        <v>专科</v>
      </c>
      <c r="D5521" s="1" t="str">
        <f>"2017年7月1日"</f>
        <v>2017年7月1日</v>
      </c>
      <c r="E5521" s="1" t="str">
        <f>"郑州黄河护理职业学院"</f>
        <v>郑州黄河护理职业学院</v>
      </c>
      <c r="F5521" s="1" t="str">
        <f>"护理（高级护理）"</f>
        <v>护理（高级护理）</v>
      </c>
      <c r="G5521" s="1" t="str">
        <f>"河南省南阳市内乡县"</f>
        <v>河南省南阳市内乡县</v>
      </c>
      <c r="H5521" s="1" t="str">
        <f>"护士"</f>
        <v>护士</v>
      </c>
      <c r="I5521" s="1" t="str">
        <f>"2014年9月-2017年7月就读于郑州黄河护理职业学院
2017年8月-2021年4月在郑州待业
2021年5月就职于内乡县第二人民医院"</f>
        <v>2014年9月-2017年7月就读于郑州黄河护理职业学院
2017年8月-2021年4月在郑州待业
2021年5月就职于内乡县第二人民医院</v>
      </c>
    </row>
    <row r="5522" spans="1:9">
      <c r="A5522" s="1" t="str">
        <f>"411330199905240045"</f>
        <v>411330199905240045</v>
      </c>
      <c r="B5522" s="1" t="str">
        <f t="shared" si="2731"/>
        <v>共青团员</v>
      </c>
      <c r="C5522" s="1" t="str">
        <f t="shared" si="2730"/>
        <v>专科</v>
      </c>
      <c r="D5522" s="1" t="str">
        <f>"20200701"</f>
        <v>20200701</v>
      </c>
      <c r="E5522" s="1" t="str">
        <f>"郑州黄河护理职业学院"</f>
        <v>郑州黄河护理职业学院</v>
      </c>
      <c r="F5522" s="1" t="str">
        <f>"护理"</f>
        <v>护理</v>
      </c>
      <c r="G5522" s="1" t="str">
        <f>"河南省南阳市西峡县阳城镇"</f>
        <v>河南省南阳市西峡县阳城镇</v>
      </c>
      <c r="H5522" s="1" t="str">
        <f>"护士资格证 、护士职业证、小学教师资格证（数学）"</f>
        <v>护士资格证 、护士职业证、小学教师资格证（数学）</v>
      </c>
      <c r="I5522" s="1" t="str">
        <f>"2017.09.01-2020.07.01在郑州黄河护理职业学院就读，全日制专科 ，在校期间每周一在三院进行见习。
2019.07.01-2020.04在西峡县人民医院实习
2020.12-2022.10在西峡县人民医院工作
2022.10-至今在阳城镇卫生院工作"</f>
        <v>2017.09.01-2020.07.01在郑州黄河护理职业学院就读，全日制专科 ，在校期间每周一在三院进行见习。
2019.07.01-2020.04在西峡县人民医院实习
2020.12-2022.10在西峡县人民医院工作
2022.10-至今在阳城镇卫生院工作</v>
      </c>
    </row>
    <row r="5523" spans="1:9">
      <c r="A5523" s="1" t="str">
        <f>"411381200110160020"</f>
        <v>411381200110160020</v>
      </c>
      <c r="B5523" s="1" t="str">
        <f t="shared" si="2729"/>
        <v>群众</v>
      </c>
      <c r="C5523" s="1" t="str">
        <f t="shared" si="2730"/>
        <v>专科</v>
      </c>
      <c r="D5523" s="1" t="str">
        <f>"20220701"</f>
        <v>20220701</v>
      </c>
      <c r="E5523" s="1" t="str">
        <f>"南阳医学高等专科学校"</f>
        <v>南阳医学高等专科学校</v>
      </c>
      <c r="F5523" s="1" t="str">
        <f>"临床医学"</f>
        <v>临床医学</v>
      </c>
      <c r="G5523" s="1" t="str">
        <f>"河南省邓州市花洲街道东一环与新华路交叉口50米栖枫园农贸市场"</f>
        <v>河南省邓州市花洲街道东一环与新华路交叉口50米栖枫园农贸市场</v>
      </c>
      <c r="H5523" s="1" t="str">
        <f>"执业助理医师"</f>
        <v>执业助理医师</v>
      </c>
      <c r="I5523" s="1" t="str">
        <f>"201909-202207在南阳医学高等专科学校国际教育学院临床医学专业就读，是全日制学历"</f>
        <v>201909-202207在南阳医学高等专科学校国际教育学院临床医学专业就读，是全日制学历</v>
      </c>
    </row>
    <row r="5524" spans="1:9">
      <c r="A5524" s="1" t="str">
        <f>"411302200101210529"</f>
        <v>411302200101210529</v>
      </c>
      <c r="B5524" s="1" t="str">
        <f t="shared" si="2731"/>
        <v>共青团员</v>
      </c>
      <c r="C5524" s="1" t="str">
        <f t="shared" si="2732"/>
        <v>本科</v>
      </c>
      <c r="D5524" s="1" t="str">
        <f>"20230701"</f>
        <v>20230701</v>
      </c>
      <c r="E5524" s="1" t="str">
        <f>"新乡医学院三全学院"</f>
        <v>新乡医学院三全学院</v>
      </c>
      <c r="F5524" s="1" t="str">
        <f>"医学检验技术"</f>
        <v>医学检验技术</v>
      </c>
      <c r="G5524" s="1" t="str">
        <f>"河南省南阳市张衡东路尚座花园"</f>
        <v>河南省南阳市张衡东路尚座花园</v>
      </c>
      <c r="H5524" s="1" t="str">
        <f t="shared" ref="H5524:H5528" si="2733">"无"</f>
        <v>无</v>
      </c>
      <c r="I5524" s="1" t="str">
        <f>"201809-202107河南理工大学就读于医学院的医学检验技术专业 全日制
202109-202307新乡医学院三全学院就读于崇德书院的医学检验技术专业 全日制
202307-至今待业"</f>
        <v>201809-202107河南理工大学就读于医学院的医学检验技术专业 全日制
202109-202307新乡医学院三全学院就读于崇德书院的医学检验技术专业 全日制
202307-至今待业</v>
      </c>
    </row>
    <row r="5525" spans="1:9">
      <c r="A5525" s="1" t="str">
        <f>"411324200011185268"</f>
        <v>411324200011185268</v>
      </c>
      <c r="B5525" s="1" t="str">
        <f t="shared" si="2731"/>
        <v>共青团员</v>
      </c>
      <c r="C5525" s="1" t="str">
        <f t="shared" si="2732"/>
        <v>本科</v>
      </c>
      <c r="D5525" s="1" t="str">
        <f>"20240618"</f>
        <v>20240618</v>
      </c>
      <c r="E5525" s="1" t="str">
        <f>"郑州工业应用技术学院"</f>
        <v>郑州工业应用技术学院</v>
      </c>
      <c r="F5525" s="1" t="str">
        <f>"药学"</f>
        <v>药学</v>
      </c>
      <c r="G5525" s="1" t="str">
        <f>"河南省南阳市镇平县老面粉厂小区"</f>
        <v>河南省南阳市镇平县老面粉厂小区</v>
      </c>
      <c r="H5525" s="1" t="str">
        <f t="shared" si="2733"/>
        <v>无</v>
      </c>
      <c r="I5525" s="1" t="str">
        <f>"20190901-20220701 南阳医学高等专科学校
20220901-20240618 郑州工业应用技术学院"</f>
        <v>20190901-20220701 南阳医学高等专科学校
20220901-20240618 郑州工业应用技术学院</v>
      </c>
    </row>
    <row r="5526" spans="1:9">
      <c r="A5526" s="1" t="str">
        <f>"411327200009064546"</f>
        <v>411327200009064546</v>
      </c>
      <c r="B5526" s="1" t="str">
        <f t="shared" si="2731"/>
        <v>共青团员</v>
      </c>
      <c r="C5526" s="1" t="str">
        <f t="shared" si="2732"/>
        <v>本科</v>
      </c>
      <c r="D5526" s="1" t="str">
        <f>"20220701"</f>
        <v>20220701</v>
      </c>
      <c r="E5526" s="1" t="str">
        <f>"新乡医学院三全学院"</f>
        <v>新乡医学院三全学院</v>
      </c>
      <c r="F5526" s="1" t="str">
        <f>"护理学"</f>
        <v>护理学</v>
      </c>
      <c r="G5526" s="1" t="str">
        <f>"河南省南阳市内乡县教育路民政局旁老一高家属院"</f>
        <v>河南省南阳市内乡县教育路民政局旁老一高家属院</v>
      </c>
      <c r="H5526" s="1" t="str">
        <f>"护师资格证"</f>
        <v>护师资格证</v>
      </c>
      <c r="I5526" s="1" t="str">
        <f>"201809-202207于新乡医学院三全学院护理学专业就读 全日制本科
202207-202504于新乡市中心医院临床科室工作"</f>
        <v>201809-202207于新乡医学院三全学院护理学专业就读 全日制本科
202207-202504于新乡市中心医院临床科室工作</v>
      </c>
    </row>
    <row r="5527" spans="1:9">
      <c r="A5527" s="1" t="str">
        <f>"411327199506020629"</f>
        <v>411327199506020629</v>
      </c>
      <c r="B5527" s="1" t="str">
        <f>"群众"</f>
        <v>群众</v>
      </c>
      <c r="C5527" s="1" t="str">
        <f t="shared" ref="C5527:C5529" si="2734">"专科"</f>
        <v>专科</v>
      </c>
      <c r="D5527" s="1" t="str">
        <f>"20180701"</f>
        <v>20180701</v>
      </c>
      <c r="E5527" s="1" t="str">
        <f>"河南应用技术职业学院"</f>
        <v>河南应用技术职业学院</v>
      </c>
      <c r="F5527" s="1" t="str">
        <f>"药物制剂技术"</f>
        <v>药物制剂技术</v>
      </c>
      <c r="G5527" s="1" t="str">
        <f>"内乡县城关镇清真寺村"</f>
        <v>内乡县城关镇清真寺村</v>
      </c>
      <c r="H5527" s="1" t="str">
        <f>"初级药师，执业药师"</f>
        <v>初级药师，执业药师</v>
      </c>
      <c r="I5527" s="1" t="str">
        <f>"201506--201807  河南应用技术职业学院就读  药物制剂技术 全日制
201807--202207  内乡菊潭医院  药师
202210--202403  武汉市第七医院  药师
202403--至今   湍东镇卫生院  药师"</f>
        <v>201506--201807  河南应用技术职业学院就读  药物制剂技术 全日制
201807--202207  内乡菊潭医院  药师
202210--202403  武汉市第七医院  药师
202403--至今   湍东镇卫生院  药师</v>
      </c>
    </row>
    <row r="5528" spans="1:9">
      <c r="A5528" s="1" t="str">
        <f>"41132319990702342X"</f>
        <v>41132319990702342X</v>
      </c>
      <c r="B5528" s="1" t="str">
        <f t="shared" ref="B5528:B5530" si="2735">"共青团员"</f>
        <v>共青团员</v>
      </c>
      <c r="C5528" s="1" t="str">
        <f t="shared" si="2734"/>
        <v>专科</v>
      </c>
      <c r="D5528" s="1" t="str">
        <f>"20210701"</f>
        <v>20210701</v>
      </c>
      <c r="E5528" s="1" t="str">
        <f>"新乡学院"</f>
        <v>新乡学院</v>
      </c>
      <c r="F5528" s="1" t="str">
        <f>"药学"</f>
        <v>药学</v>
      </c>
      <c r="G5528" s="1" t="str">
        <f>"河南省南阳市"</f>
        <v>河南省南阳市</v>
      </c>
      <c r="H5528" s="1" t="str">
        <f t="shared" si="2733"/>
        <v>无</v>
      </c>
      <c r="I5528" s="1" t="str">
        <f>"201809-202107在新乡学院医学院药学专业就读，全日制。
202109-202407在吉林大学药学院药学专业就读，非全日制。
202407-202507在河南省南阳市待业。"</f>
        <v>201809-202107在新乡学院医学院药学专业就读，全日制。
202109-202407在吉林大学药学院药学专业就读，非全日制。
202407-202507在河南省南阳市待业。</v>
      </c>
    </row>
    <row r="5529" spans="1:9">
      <c r="A5529" s="1" t="str">
        <f>"411327200108040021"</f>
        <v>411327200108040021</v>
      </c>
      <c r="B5529" s="1" t="str">
        <f t="shared" si="2735"/>
        <v>共青团员</v>
      </c>
      <c r="C5529" s="1" t="str">
        <f t="shared" si="2734"/>
        <v>专科</v>
      </c>
      <c r="D5529" s="1" t="str">
        <f>"2023-07-01"</f>
        <v>2023-07-01</v>
      </c>
      <c r="E5529" s="1" t="str">
        <f>"郑州黄河护理职业学院"</f>
        <v>郑州黄河护理职业学院</v>
      </c>
      <c r="F5529" s="1" t="str">
        <f t="shared" ref="F5529:F5534" si="2736">"护理"</f>
        <v>护理</v>
      </c>
      <c r="G5529" s="1" t="str">
        <f>"河南省南阳市内乡县城关镇公园南路四巷十六号"</f>
        <v>河南省南阳市内乡县城关镇公园南路四巷十六号</v>
      </c>
      <c r="H5529" s="1" t="str">
        <f>"护士资格证"</f>
        <v>护士资格证</v>
      </c>
      <c r="I5529" s="1" t="str">
        <f>"202010-20237 郑州黄河护理职业学院 就读 全日制学历
2025528于内乡县人民医院就职"</f>
        <v>202010-20237 郑州黄河护理职业学院 就读 全日制学历
2025528于内乡县人民医院就职</v>
      </c>
    </row>
    <row r="5530" spans="1:9">
      <c r="A5530" s="1" t="str">
        <f>"411330200203061566"</f>
        <v>411330200203061566</v>
      </c>
      <c r="B5530" s="1" t="str">
        <f t="shared" si="2735"/>
        <v>共青团员</v>
      </c>
      <c r="C5530" s="1" t="str">
        <f>"本科"</f>
        <v>本科</v>
      </c>
      <c r="D5530" s="1" t="str">
        <f>"2024-06-22"</f>
        <v>2024-06-22</v>
      </c>
      <c r="E5530" s="1" t="str">
        <f>"新乡医学院三全学院"</f>
        <v>新乡医学院三全学院</v>
      </c>
      <c r="F5530" s="1" t="str">
        <f>"医学检验技术"</f>
        <v>医学检验技术</v>
      </c>
      <c r="G5530" s="1" t="str">
        <f>"河南省南阳市西峡县五里桥镇老庄组100号"</f>
        <v>河南省南阳市西峡县五里桥镇老庄组100号</v>
      </c>
      <c r="H5530" s="1" t="str">
        <f>"无"</f>
        <v>无</v>
      </c>
      <c r="I5530" s="1" t="str">
        <f>"202009-202406 新乡医学院三全学院德馨书院医学检验技术专业就读，全日制学历
202406-202507 西峡县待业
"</f>
        <v>202009-202406 新乡医学院三全学院德馨书院医学检验技术专业就读，全日制学历
202406-202507 西峡县待业
</v>
      </c>
    </row>
    <row r="5531" spans="1:9">
      <c r="A5531" s="1" t="str">
        <f>"411281199210271026"</f>
        <v>411281199210271026</v>
      </c>
      <c r="B5531" s="1" t="str">
        <f t="shared" ref="B5531:B5539" si="2737">"群众"</f>
        <v>群众</v>
      </c>
      <c r="C5531" s="1" t="str">
        <f t="shared" ref="C5531:C5534" si="2738">"专科"</f>
        <v>专科</v>
      </c>
      <c r="D5531" s="1" t="str">
        <f>"20130607"</f>
        <v>20130607</v>
      </c>
      <c r="E5531" s="1" t="str">
        <f>"石家庄经济职业学院"</f>
        <v>石家庄经济职业学院</v>
      </c>
      <c r="F5531" s="1" t="str">
        <f t="shared" si="2736"/>
        <v>护理</v>
      </c>
      <c r="G5531" s="1" t="str">
        <f>"河南省洛阳市西工区汉德九洲城"</f>
        <v>河南省洛阳市西工区汉德九洲城</v>
      </c>
      <c r="H5531" s="1" t="str">
        <f>"护士资格证，护师资格证"</f>
        <v>护士资格证，护师资格证</v>
      </c>
      <c r="I5531" s="1" t="str">
        <f>"201009-201306在石家庄经济职业学院护理系就读，全日制大专学历；
201402-201412在商丘市妇幼保健院任护士工作
201412-202007在道南路京城皮肤病门诊部任治疗部护士长
202007-202311在洛阳市春寿堂医院门诊任护士工作
202311-至今在老城区道北社区卫生服务站任公卫以及护士工作"</f>
        <v>201009-201306在石家庄经济职业学院护理系就读，全日制大专学历；
201402-201412在商丘市妇幼保健院任护士工作
201412-202007在道南路京城皮肤病门诊部任治疗部护士长
202007-202311在洛阳市春寿堂医院门诊任护士工作
202311-至今在老城区道北社区卫生服务站任公卫以及护士工作</v>
      </c>
    </row>
    <row r="5532" spans="1:9">
      <c r="A5532" s="1" t="str">
        <f>"411325200010250386"</f>
        <v>411325200010250386</v>
      </c>
      <c r="B5532" s="1" t="str">
        <f>"中共党员"</f>
        <v>中共党员</v>
      </c>
      <c r="C5532" s="1" t="str">
        <f t="shared" si="2738"/>
        <v>专科</v>
      </c>
      <c r="D5532" s="1" t="str">
        <f>"20210701"</f>
        <v>20210701</v>
      </c>
      <c r="E5532" s="1" t="str">
        <f>"南阳医学高等专科学校"</f>
        <v>南阳医学高等专科学校</v>
      </c>
      <c r="F5532" s="1" t="str">
        <f>"临床医学"</f>
        <v>临床医学</v>
      </c>
      <c r="G5532" s="1" t="str">
        <f>"河南省南阳市内乡县大桥乡"</f>
        <v>河南省南阳市内乡县大桥乡</v>
      </c>
      <c r="H5532" s="1" t="str">
        <f>"临床助理医师"</f>
        <v>临床助理医师</v>
      </c>
      <c r="I5532" s="1" t="str">
        <f>"2018.09-2021.07  南阳医学高等专科学校
2021.07-至今   内乡县第二人民医院"</f>
        <v>2018.09-2021.07  南阳医学高等专科学校
2021.07-至今   内乡县第二人民医院</v>
      </c>
    </row>
    <row r="5533" spans="1:9">
      <c r="A5533" s="1" t="str">
        <f>"411324200306280027"</f>
        <v>411324200306280027</v>
      </c>
      <c r="B5533" s="1" t="str">
        <f>"共青团员"</f>
        <v>共青团员</v>
      </c>
      <c r="C5533" s="1" t="str">
        <f t="shared" si="2738"/>
        <v>专科</v>
      </c>
      <c r="D5533" s="1" t="str">
        <f>"2024年6月20"</f>
        <v>2024年6月20</v>
      </c>
      <c r="E5533" s="1" t="str">
        <f>"漯河医学高等专科学校"</f>
        <v>漯河医学高等专科学校</v>
      </c>
      <c r="F5533" s="1" t="str">
        <f t="shared" si="2736"/>
        <v>护理</v>
      </c>
      <c r="G5533" s="1" t="str">
        <f>"镇平县"</f>
        <v>镇平县</v>
      </c>
      <c r="H5533" s="1" t="str">
        <f>"护士资格证  护士执业证"</f>
        <v>护士资格证  护士执业证</v>
      </c>
      <c r="I5533" s="1" t="str">
        <f>"202109-202406  漯河医学高等专科学校 护理系 护理专业就读，是全日制学历
202501至今 开封科技传媒学院护理系 护理学专业就读，非全日制学历"</f>
        <v>202109-202406  漯河医学高等专科学校 护理系 护理专业就读，是全日制学历
202501至今 开封科技传媒学院护理系 护理学专业就读，非全日制学历</v>
      </c>
    </row>
    <row r="5534" spans="1:9">
      <c r="A5534" s="1" t="str">
        <f>"411381200002135645"</f>
        <v>411381200002135645</v>
      </c>
      <c r="B5534" s="1" t="str">
        <f t="shared" si="2737"/>
        <v>群众</v>
      </c>
      <c r="C5534" s="1" t="str">
        <f t="shared" si="2738"/>
        <v>专科</v>
      </c>
      <c r="D5534" s="1" t="str">
        <f>"20230701"</f>
        <v>20230701</v>
      </c>
      <c r="E5534" s="1" t="str">
        <f>"河南科技职业大学"</f>
        <v>河南科技职业大学</v>
      </c>
      <c r="F5534" s="1" t="str">
        <f t="shared" si="2736"/>
        <v>护理</v>
      </c>
      <c r="G5534" s="1" t="str">
        <f>"河南省南阳市火车站"</f>
        <v>河南省南阳市火车站</v>
      </c>
      <c r="H5534" s="1" t="str">
        <f>"护士资格证，护士执业证"</f>
        <v>护士资格证，护士执业证</v>
      </c>
      <c r="I5534" s="1" t="str">
        <f>"20201205-20230701河南科技职业大学就读护理专业全日制学历"</f>
        <v>20201205-20230701河南科技职业大学就读护理专业全日制学历</v>
      </c>
    </row>
    <row r="5535" spans="1:9">
      <c r="A5535" s="1" t="str">
        <f>"362330199002128059"</f>
        <v>362330199002128059</v>
      </c>
      <c r="B5535" s="1" t="str">
        <f>"共青团员"</f>
        <v>共青团员</v>
      </c>
      <c r="C5535" s="1" t="str">
        <f t="shared" ref="C5535:C5540" si="2739">"本科"</f>
        <v>本科</v>
      </c>
      <c r="D5535" s="1" t="str">
        <f>"20140828"</f>
        <v>20140828</v>
      </c>
      <c r="E5535" s="1" t="str">
        <f>"河北医科大学"</f>
        <v>河北医科大学</v>
      </c>
      <c r="F5535" s="1" t="str">
        <f>"中医学"</f>
        <v>中医学</v>
      </c>
      <c r="G5535" s="1" t="str">
        <f>"江西省南昌市青山湖区解放东路1388号东城一品3栋901室"</f>
        <v>江西省南昌市青山湖区解放东路1388号东城一品3栋901室</v>
      </c>
      <c r="H5535" s="1" t="str">
        <f>"中医执业医师证，执业证"</f>
        <v>中医执业医师证，执业证</v>
      </c>
      <c r="I5535" s="1" t="str">
        <f>"教育经历:
200909-201408河北医科大学,中医学专业,取得全日制本科学历
工作经历：
2015.3-2018.3 鄱阳县人民医院，中医科，担任中医助理医师工作。
2018.4-2024.5 黄梅玲中医综合诊所，担任中医门诊医师，从事中医诊疗工作。
2024.6-2025.4 经开金诚中医综合诊所，担任中医门诊医师，从事中医诊疗工作。
2025.5-至今，待业。"</f>
        <v>教育经历:
200909-201408河北医科大学,中医学专业,取得全日制本科学历
工作经历：
2015.3-2018.3 鄱阳县人民医院，中医科，担任中医助理医师工作。
2018.4-2024.5 黄梅玲中医综合诊所，担任中医门诊医师，从事中医诊疗工作。
2024.6-2025.4 经开金诚中医综合诊所，担任中医门诊医师，从事中医诊疗工作。
2025.5-至今，待业。</v>
      </c>
    </row>
    <row r="5536" spans="1:9">
      <c r="A5536" s="1" t="str">
        <f>"411330199903253424"</f>
        <v>411330199903253424</v>
      </c>
      <c r="B5536" s="1" t="str">
        <f t="shared" si="2737"/>
        <v>群众</v>
      </c>
      <c r="C5536" s="1" t="str">
        <f t="shared" ref="C5536:C5539" si="2740">"专科"</f>
        <v>专科</v>
      </c>
      <c r="D5536" s="1" t="str">
        <f>"20210701"</f>
        <v>20210701</v>
      </c>
      <c r="E5536" s="1" t="str">
        <f>"郑州黄河护理职业学院"</f>
        <v>郑州黄河护理职业学院</v>
      </c>
      <c r="F5536" s="1" t="str">
        <f>"护理"</f>
        <v>护理</v>
      </c>
      <c r="G5536" s="1" t="str">
        <f>"河南省南阳市西峡县西坪镇"</f>
        <v>河南省南阳市西峡县西坪镇</v>
      </c>
      <c r="H5536" s="1" t="str">
        <f>"护士执业证"</f>
        <v>护士执业证</v>
      </c>
      <c r="I5536" s="1" t="str">
        <f>"2018.08-2021.07在郑州黄河护理职业学院护理专业全日制专科学历；
2021.08-2023.03在郑州欧安乐龄护理院工作；
2023.06-至今在南川二号煤炭实业有限责任公司档案室工作。"</f>
        <v>2018.08-2021.07在郑州黄河护理职业学院护理专业全日制专科学历；
2021.08-2023.03在郑州欧安乐龄护理院工作；
2023.06-至今在南川二号煤炭实业有限责任公司档案室工作。</v>
      </c>
    </row>
    <row r="5537" spans="1:9">
      <c r="A5537" s="1" t="str">
        <f>"411330200012171527"</f>
        <v>411330200012171527</v>
      </c>
      <c r="B5537" s="1" t="str">
        <f t="shared" si="2737"/>
        <v>群众</v>
      </c>
      <c r="C5537" s="1" t="str">
        <f t="shared" si="2739"/>
        <v>本科</v>
      </c>
      <c r="D5537" s="1" t="str">
        <f>"20240618"</f>
        <v>20240618</v>
      </c>
      <c r="E5537" s="1" t="str">
        <f>"郑州工业应用技术学院"</f>
        <v>郑州工业应用技术学院</v>
      </c>
      <c r="F5537" s="1" t="str">
        <f>"护理学"</f>
        <v>护理学</v>
      </c>
      <c r="G5537" s="1" t="str">
        <f>"河南省南阳市西峡县白羽街道西城门南路20"</f>
        <v>河南省南阳市西峡县白羽街道西城门南路20</v>
      </c>
      <c r="H5537" s="1" t="str">
        <f>"护士资格证，护士执业证"</f>
        <v>护士资格证，护士执业证</v>
      </c>
      <c r="I5537" s="1" t="str">
        <f>"201909-202206 信阳职业技术学院 护理学院 护理 全日制
202209-202406 郑州工业应用技术学院 医学院 护理学 全日制"</f>
        <v>201909-202206 信阳职业技术学院 护理学院 护理 全日制
202209-202406 郑州工业应用技术学院 医学院 护理学 全日制</v>
      </c>
    </row>
    <row r="5538" spans="1:9">
      <c r="A5538" s="1" t="str">
        <f>"411327200308164512"</f>
        <v>411327200308164512</v>
      </c>
      <c r="B5538" s="1" t="str">
        <f t="shared" si="2737"/>
        <v>群众</v>
      </c>
      <c r="C5538" s="1" t="str">
        <f t="shared" si="2740"/>
        <v>专科</v>
      </c>
      <c r="D5538" s="1" t="str">
        <f>"20250630"</f>
        <v>20250630</v>
      </c>
      <c r="E5538" s="1" t="str">
        <f>"仙桃职业学院"</f>
        <v>仙桃职业学院</v>
      </c>
      <c r="F5538" s="1" t="str">
        <f>"临床医学"</f>
        <v>临床医学</v>
      </c>
      <c r="G5538" s="1" t="str">
        <f>"河南省南阳市卧龙区百里奚路京达巷刘洼小区"</f>
        <v>河南省南阳市卧龙区百里奚路京达巷刘洼小区</v>
      </c>
      <c r="H5538" s="1" t="str">
        <f t="shared" ref="H5538:H5542" si="2741">"无"</f>
        <v>无</v>
      </c>
      <c r="I5538" s="1" t="str">
        <f>"202209-202506在仙桃职业学校医学院临床医学专业就读属于全日制学历，在校期间铭记校训“立德正身，笃学尚能”并严于律己，争当新时代青年。"</f>
        <v>202209-202506在仙桃职业学校医学院临床医学专业就读属于全日制学历，在校期间铭记校训“立德正身，笃学尚能”并严于律己，争当新时代青年。</v>
      </c>
    </row>
    <row r="5539" spans="1:9">
      <c r="A5539" s="1" t="str">
        <f>"41132320040111002X"</f>
        <v>41132320040111002X</v>
      </c>
      <c r="B5539" s="1" t="str">
        <f t="shared" si="2737"/>
        <v>群众</v>
      </c>
      <c r="C5539" s="1" t="str">
        <f t="shared" si="2740"/>
        <v>专科</v>
      </c>
      <c r="D5539" s="1" t="str">
        <f>"2025-07-01"</f>
        <v>2025-07-01</v>
      </c>
      <c r="E5539" s="1" t="str">
        <f>"信阳职业技术学院"</f>
        <v>信阳职业技术学院</v>
      </c>
      <c r="F5539" s="1" t="str">
        <f>"护理"</f>
        <v>护理</v>
      </c>
      <c r="G5539" s="1" t="str">
        <f>"河南省南阳市镇平县"</f>
        <v>河南省南阳市镇平县</v>
      </c>
      <c r="H5539" s="1" t="str">
        <f>"护士执业资格证"</f>
        <v>护士执业资格证</v>
      </c>
      <c r="I5539" s="1" t="str">
        <f>"202209-202506在信阳职业技术学院护理学院护理专业就读为全日制学历"</f>
        <v>202209-202506在信阳职业技术学院护理学院护理专业就读为全日制学历</v>
      </c>
    </row>
    <row r="5540" spans="1:9">
      <c r="A5540" s="1" t="str">
        <f>"411327200004020042"</f>
        <v>411327200004020042</v>
      </c>
      <c r="B5540" s="1" t="str">
        <f>"共青团员"</f>
        <v>共青团员</v>
      </c>
      <c r="C5540" s="1" t="str">
        <f t="shared" si="2739"/>
        <v>本科</v>
      </c>
      <c r="D5540" s="1" t="str">
        <f>"20230615"</f>
        <v>20230615</v>
      </c>
      <c r="E5540" s="1" t="str">
        <f>"黄河科技学院"</f>
        <v>黄河科技学院</v>
      </c>
      <c r="F5540" s="1" t="str">
        <f>"药学"</f>
        <v>药学</v>
      </c>
      <c r="G5540" s="1" t="str">
        <f>"河南省南阳市内乡县符岭小区"</f>
        <v>河南省南阳市内乡县符岭小区</v>
      </c>
      <c r="H5540" s="1" t="str">
        <f t="shared" si="2741"/>
        <v>无</v>
      </c>
      <c r="I5540" s="1" t="str">
        <f>"201809-202106 新乡医学院三全学院 药学 全日制
202109-202306 黄河科技学院 药学 全日制"</f>
        <v>201809-202106 新乡医学院三全学院 药学 全日制
202109-202306 黄河科技学院 药学 全日制</v>
      </c>
    </row>
    <row r="5541" spans="1:9">
      <c r="A5541" s="1" t="str">
        <f>"411303200310070282"</f>
        <v>411303200310070282</v>
      </c>
      <c r="B5541" s="1" t="str">
        <f t="shared" ref="B5541:B5545" si="2742">"群众"</f>
        <v>群众</v>
      </c>
      <c r="C5541" s="1" t="str">
        <f>"专科"</f>
        <v>专科</v>
      </c>
      <c r="D5541" s="1" t="str">
        <f>"20240607"</f>
        <v>20240607</v>
      </c>
      <c r="E5541" s="1" t="str">
        <f>"南阳医学高等专科学校"</f>
        <v>南阳医学高等专科学校</v>
      </c>
      <c r="F5541" s="1" t="str">
        <f>"中医学"</f>
        <v>中医学</v>
      </c>
      <c r="G5541" s="1" t="str">
        <f>"河南省南阳市"</f>
        <v>河南省南阳市</v>
      </c>
      <c r="H5541" s="1" t="str">
        <f t="shared" si="2741"/>
        <v>无</v>
      </c>
      <c r="I5541" s="1" t="str">
        <f>"202109-202406 南阳医学高等专科学校中医学就读 全日制大专 "</f>
        <v>202109-202406 南阳医学高等专科学校中医学就读 全日制大专 </v>
      </c>
    </row>
    <row r="5542" spans="1:9">
      <c r="A5542" s="1" t="str">
        <f>"411224200104194248"</f>
        <v>411224200104194248</v>
      </c>
      <c r="B5542" s="1" t="str">
        <f t="shared" si="2742"/>
        <v>群众</v>
      </c>
      <c r="C5542" s="1" t="str">
        <f t="shared" ref="C5542:C5547" si="2743">"本科"</f>
        <v>本科</v>
      </c>
      <c r="D5542" s="1" t="str">
        <f>"20250613"</f>
        <v>20250613</v>
      </c>
      <c r="E5542" s="1" t="str">
        <f>"新乡医学院三全学院"</f>
        <v>新乡医学院三全学院</v>
      </c>
      <c r="F5542" s="1" t="str">
        <f>"医学检验技术"</f>
        <v>医学检验技术</v>
      </c>
      <c r="G5542" s="1" t="str">
        <f>"河南省三门峡市卢氏县徐家湾乡洛韵佳苑社区"</f>
        <v>河南省三门峡市卢氏县徐家湾乡洛韵佳苑社区</v>
      </c>
      <c r="H5542" s="1" t="str">
        <f t="shared" si="2741"/>
        <v>无</v>
      </c>
      <c r="I5542" s="1" t="str">
        <f>"202309-202506在新乡医学院三全学院医学检验学院医学检验技术专业就读，是全日制学历"</f>
        <v>202309-202506在新乡医学院三全学院医学检验学院医学检验技术专业就读，是全日制学历</v>
      </c>
    </row>
    <row r="5543" spans="1:9">
      <c r="A5543" s="1" t="str">
        <f>"370782199511053065"</f>
        <v>370782199511053065</v>
      </c>
      <c r="B5543" s="1" t="str">
        <f t="shared" si="2742"/>
        <v>群众</v>
      </c>
      <c r="C5543" s="1" t="str">
        <f t="shared" si="2743"/>
        <v>本科</v>
      </c>
      <c r="D5543" s="1" t="str">
        <f>"2020.6.7"</f>
        <v>2020.6.7</v>
      </c>
      <c r="E5543" s="1" t="str">
        <f>"潍坊医学院"</f>
        <v>潍坊医学院</v>
      </c>
      <c r="F5543" s="1" t="str">
        <f t="shared" ref="F5543:F5546" si="2744">"护理学"</f>
        <v>护理学</v>
      </c>
      <c r="G5543" s="1" t="str">
        <f>"山东省青岛市市北区福州北路166号"</f>
        <v>山东省青岛市市北区福州北路166号</v>
      </c>
      <c r="H5543" s="1" t="str">
        <f>"主管护师"</f>
        <v>主管护师</v>
      </c>
      <c r="I5543" s="1" t="str">
        <f>"201409—201706 山东医学高等专科学校 护理学就读 全日制学历
201606—201705 诸城市中医医院实习
201709—202006 潍坊医学院 护理学就读  非全日制本科
201706—至今青岛市可恩口腔医院工作"</f>
        <v>201409—201706 山东医学高等专科学校 护理学就读 全日制学历
201606—201705 诸城市中医医院实习
201709—202006 潍坊医学院 护理学就读  非全日制本科
201706—至今青岛市可恩口腔医院工作</v>
      </c>
    </row>
    <row r="5544" spans="1:9">
      <c r="A5544" s="1" t="str">
        <f>"411381200010144824"</f>
        <v>411381200010144824</v>
      </c>
      <c r="B5544" s="1" t="str">
        <f t="shared" si="2742"/>
        <v>群众</v>
      </c>
      <c r="C5544" s="1" t="str">
        <f>"专科"</f>
        <v>专科</v>
      </c>
      <c r="D5544" s="1" t="str">
        <f>"20220701"</f>
        <v>20220701</v>
      </c>
      <c r="E5544" s="1" t="str">
        <f>"河南科技职业大学"</f>
        <v>河南科技职业大学</v>
      </c>
      <c r="F5544" s="1" t="str">
        <f>"护理"</f>
        <v>护理</v>
      </c>
      <c r="G5544" s="1" t="str">
        <f>"河南省邓州市"</f>
        <v>河南省邓州市</v>
      </c>
      <c r="H5544" s="1" t="str">
        <f>"护士专业证书，护士执业资格证书"</f>
        <v>护士专业证书，护士执业资格证书</v>
      </c>
      <c r="I5544" s="1" t="str">
        <f>"201909-202207在河南科技职业大学就读护理专业是全日制大专学历"</f>
        <v>201909-202207在河南科技职业大学就读护理专业是全日制大专学历</v>
      </c>
    </row>
    <row r="5545" spans="1:9">
      <c r="A5545" s="1" t="str">
        <f>"411327200111050327"</f>
        <v>411327200111050327</v>
      </c>
      <c r="B5545" s="1" t="str">
        <f t="shared" si="2742"/>
        <v>群众</v>
      </c>
      <c r="C5545" s="1" t="str">
        <f t="shared" si="2743"/>
        <v>本科</v>
      </c>
      <c r="D5545" s="1" t="str">
        <f>"20230701"</f>
        <v>20230701</v>
      </c>
      <c r="E5545" s="1" t="str">
        <f>"郑州工业应用技术学院"</f>
        <v>郑州工业应用技术学院</v>
      </c>
      <c r="F5545" s="1" t="str">
        <f t="shared" si="2744"/>
        <v>护理学</v>
      </c>
      <c r="G5545" s="1" t="str">
        <f>"河南省南阳市内乡县大桥乡封营村"</f>
        <v>河南省南阳市内乡县大桥乡封营村</v>
      </c>
      <c r="H5545" s="1" t="str">
        <f>"护士资格证 护士执业证  护师资格证"</f>
        <v>护士资格证 护士执业证  护师资格证</v>
      </c>
      <c r="I5545" s="1" t="str">
        <f>"20190901-20230701   郑州工业应用技术学院医学院护理学专业就读，全日制
20230721-至今    内乡县第二人民医院就业"</f>
        <v>20190901-20230701   郑州工业应用技术学院医学院护理学专业就读，全日制
20230721-至今    内乡县第二人民医院就业</v>
      </c>
    </row>
    <row r="5546" spans="1:9">
      <c r="A5546" s="1" t="str">
        <f>"411325200310262063"</f>
        <v>411325200310262063</v>
      </c>
      <c r="B5546" s="1" t="str">
        <f t="shared" ref="B5546:B5551" si="2745">"共青团员"</f>
        <v>共青团员</v>
      </c>
      <c r="C5546" s="1" t="str">
        <f t="shared" si="2743"/>
        <v>本科</v>
      </c>
      <c r="D5546" s="1" t="str">
        <f>"20250710"</f>
        <v>20250710</v>
      </c>
      <c r="E5546" s="1" t="str">
        <f>"赤峰学院"</f>
        <v>赤峰学院</v>
      </c>
      <c r="F5546" s="1" t="str">
        <f t="shared" si="2744"/>
        <v>护理学</v>
      </c>
      <c r="G5546" s="1" t="str">
        <f>"河南省南阳市内乡县城关镇海天楼北"</f>
        <v>河南省南阳市内乡县城关镇海天楼北</v>
      </c>
      <c r="H5546" s="1" t="str">
        <f>"护士资格证 普通话证书二甲 英语考试四级 计算机考试一级"</f>
        <v>护士资格证 普通话证书二甲 英语考试四级 计算机考试一级</v>
      </c>
      <c r="I5546" s="1" t="str">
        <f>"202108—202507赤峰学院就读。于护理学院护理学专业就读，是全日制学历。"</f>
        <v>202108—202507赤峰学院就读。于护理学院护理学专业就读，是全日制学历。</v>
      </c>
    </row>
    <row r="5547" spans="1:9">
      <c r="A5547" s="1" t="str">
        <f>"412727200305267447"</f>
        <v>412727200305267447</v>
      </c>
      <c r="B5547" s="1" t="str">
        <f t="shared" si="2745"/>
        <v>共青团员</v>
      </c>
      <c r="C5547" s="1" t="str">
        <f t="shared" si="2743"/>
        <v>本科</v>
      </c>
      <c r="D5547" s="1" t="str">
        <f>"20250701"</f>
        <v>20250701</v>
      </c>
      <c r="E5547" s="1" t="str">
        <f>"河南医药大学（原新乡医学院）"</f>
        <v>河南医药大学（原新乡医学院）</v>
      </c>
      <c r="F5547" s="1" t="str">
        <f t="shared" ref="F5547:F5553" si="2746">"医学检验技术"</f>
        <v>医学检验技术</v>
      </c>
      <c r="G5547" s="1" t="str">
        <f>"河南省周口市川汇区华耀城"</f>
        <v>河南省周口市川汇区华耀城</v>
      </c>
      <c r="H5547" s="1" t="str">
        <f t="shared" ref="H5547:H5553" si="2747">"无"</f>
        <v>无</v>
      </c>
      <c r="I5547" s="1" t="str">
        <f>"202109-202506 河南医药大学 医学技术学院医学检验技术专业 全日制就读"</f>
        <v>202109-202506 河南医药大学 医学技术学院医学检验技术专业 全日制就读</v>
      </c>
    </row>
    <row r="5548" spans="1:9">
      <c r="A5548" s="1" t="str">
        <f>"41132419990116114X"</f>
        <v>41132419990116114X</v>
      </c>
      <c r="B5548" s="1" t="str">
        <f t="shared" ref="B5548:B5552" si="2748">"群众"</f>
        <v>群众</v>
      </c>
      <c r="C5548" s="1" t="str">
        <f>"专科"</f>
        <v>专科</v>
      </c>
      <c r="D5548" s="1" t="str">
        <f>"2021.07.01"</f>
        <v>2021.07.01</v>
      </c>
      <c r="E5548" s="1" t="str">
        <f>"开封大学"</f>
        <v>开封大学</v>
      </c>
      <c r="F5548" s="1" t="str">
        <f>"临床医学"</f>
        <v>临床医学</v>
      </c>
      <c r="G5548" s="1" t="str">
        <f>"河南省南阳市镇平县"</f>
        <v>河南省南阳市镇平县</v>
      </c>
      <c r="H5548" s="1" t="str">
        <f t="shared" si="2747"/>
        <v>无</v>
      </c>
      <c r="I5548" s="1" t="str">
        <f>"201809--202107在开封大学就读
202108--202203在河南省南阳市镇平县老庄镇待业
202203--202407月在镇平四季医院临时工作
202408至今在河南省南阳市镇平县老庄镇待业"</f>
        <v>201809--202107在开封大学就读
202108--202203在河南省南阳市镇平县老庄镇待业
202203--202407月在镇平四季医院临时工作
202408至今在河南省南阳市镇平县老庄镇待业</v>
      </c>
    </row>
    <row r="5549" spans="1:9">
      <c r="A5549" s="1" t="str">
        <f>"411627199705065455"</f>
        <v>411627199705065455</v>
      </c>
      <c r="B5549" s="1" t="str">
        <f t="shared" si="2748"/>
        <v>群众</v>
      </c>
      <c r="C5549" s="1" t="str">
        <f t="shared" ref="C5549:C5555" si="2749">"本科"</f>
        <v>本科</v>
      </c>
      <c r="D5549" s="1" t="str">
        <f>"20220701"</f>
        <v>20220701</v>
      </c>
      <c r="E5549" s="1" t="str">
        <f>"郑州工业应用技术学院"</f>
        <v>郑州工业应用技术学院</v>
      </c>
      <c r="F5549" s="1" t="str">
        <f>"护理学"</f>
        <v>护理学</v>
      </c>
      <c r="G5549" s="1" t="str">
        <f>"河南省南阳市宛城区官庄镇"</f>
        <v>河南省南阳市宛城区官庄镇</v>
      </c>
      <c r="H5549" s="1" t="str">
        <f>"护士资格证、护师资格证"</f>
        <v>护士资格证、护师资格证</v>
      </c>
      <c r="I5549" s="1" t="str">
        <f>"201709-202007 新乡医学院三全学院就读，护理（专科）就读，全日制学历
202009-202207 郑州工业应用技术学院就读，护理学（专科起点本科）就读，全日制学历"</f>
        <v>201709-202007 新乡医学院三全学院就读，护理（专科）就读，全日制学历
202009-202207 郑州工业应用技术学院就读，护理学（专科起点本科）就读，全日制学历</v>
      </c>
    </row>
    <row r="5550" spans="1:9">
      <c r="A5550" s="1" t="str">
        <f>"411521200301163528"</f>
        <v>411521200301163528</v>
      </c>
      <c r="B5550" s="1" t="str">
        <f t="shared" si="2745"/>
        <v>共青团员</v>
      </c>
      <c r="C5550" s="1" t="str">
        <f t="shared" si="2749"/>
        <v>本科</v>
      </c>
      <c r="D5550" s="1" t="str">
        <f>"20250614"</f>
        <v>20250614</v>
      </c>
      <c r="E5550" s="1" t="str">
        <f>"邵阳学院"</f>
        <v>邵阳学院</v>
      </c>
      <c r="F5550" s="1" t="str">
        <f t="shared" si="2746"/>
        <v>医学检验技术</v>
      </c>
      <c r="G5550" s="1" t="str">
        <f>"河南省信阳市罗山县九龙城"</f>
        <v>河南省信阳市罗山县九龙城</v>
      </c>
      <c r="H5550" s="1" t="str">
        <f t="shared" si="2747"/>
        <v>无</v>
      </c>
      <c r="I5550" s="1" t="str">
        <f>"202109-202506 邵阳学院 就读医学检验技术专业，是全日制学历"</f>
        <v>202109-202506 邵阳学院 就读医学检验技术专业，是全日制学历</v>
      </c>
    </row>
    <row r="5551" spans="1:9">
      <c r="A5551" s="1" t="str">
        <f>"411326200203285821"</f>
        <v>411326200203285821</v>
      </c>
      <c r="B5551" s="1" t="str">
        <f t="shared" si="2745"/>
        <v>共青团员</v>
      </c>
      <c r="C5551" s="1" t="str">
        <f>"专科"</f>
        <v>专科</v>
      </c>
      <c r="D5551" s="1" t="str">
        <f>"20240701"</f>
        <v>20240701</v>
      </c>
      <c r="E5551" s="1" t="str">
        <f>"河南医学高等专科学校"</f>
        <v>河南医学高等专科学校</v>
      </c>
      <c r="F5551" s="1" t="str">
        <f>"临床医学"</f>
        <v>临床医学</v>
      </c>
      <c r="G5551" s="1" t="str">
        <f>"河南省南阳市淅川县九重镇王楼村"</f>
        <v>河南省南阳市淅川县九重镇王楼村</v>
      </c>
      <c r="H5551" s="1" t="str">
        <f t="shared" si="2747"/>
        <v>无</v>
      </c>
      <c r="I5551" s="1" t="str">
        <f>"202109-202407 河南医学高等专科学校临床医学院临床系临床医学专业就读，是全日制学历
202408-202507邓州市人民医院助理全科医生培训"</f>
        <v>202109-202407 河南医学高等专科学校临床医学院临床系临床医学专业就读，是全日制学历
202408-202507邓州市人民医院助理全科医生培训</v>
      </c>
    </row>
    <row r="5552" spans="1:9">
      <c r="A5552" s="1" t="str">
        <f>"370481200006266011"</f>
        <v>370481200006266011</v>
      </c>
      <c r="B5552" s="1" t="str">
        <f t="shared" si="2748"/>
        <v>群众</v>
      </c>
      <c r="C5552" s="1" t="str">
        <f t="shared" si="2749"/>
        <v>本科</v>
      </c>
      <c r="D5552" s="1" t="str">
        <f>"20240630"</f>
        <v>20240630</v>
      </c>
      <c r="E5552" s="1" t="str">
        <f>"青岛滨海学院"</f>
        <v>青岛滨海学院</v>
      </c>
      <c r="F5552" s="1" t="str">
        <f t="shared" si="2746"/>
        <v>医学检验技术</v>
      </c>
      <c r="G5552" s="1" t="str">
        <f>"山东省枣庄市滕州市官桥镇苏坦村"</f>
        <v>山东省枣庄市滕州市官桥镇苏坦村</v>
      </c>
      <c r="H5552" s="1" t="str">
        <f t="shared" si="2747"/>
        <v>无</v>
      </c>
      <c r="I5552" s="1" t="str">
        <f>"201909-202206 滨州职业学院 就读口腔医学技术专业，全日制学历
202209-202406 青岛滨海学院 就读医学检验技术专业，全日制学历"</f>
        <v>201909-202206 滨州职业学院 就读口腔医学技术专业，全日制学历
202209-202406 青岛滨海学院 就读医学检验技术专业，全日制学历</v>
      </c>
    </row>
    <row r="5553" spans="1:9">
      <c r="A5553" s="1" t="str">
        <f>"411302200209150185"</f>
        <v>411302200209150185</v>
      </c>
      <c r="B5553" s="1" t="str">
        <f t="shared" ref="B5553:B5559" si="2750">"共青团员"</f>
        <v>共青团员</v>
      </c>
      <c r="C5553" s="1" t="str">
        <f t="shared" si="2749"/>
        <v>本科</v>
      </c>
      <c r="D5553" s="1" t="str">
        <f>"20250613"</f>
        <v>20250613</v>
      </c>
      <c r="E5553" s="1" t="str">
        <f>"新乡医学院三全学院"</f>
        <v>新乡医学院三全学院</v>
      </c>
      <c r="F5553" s="1" t="str">
        <f t="shared" si="2746"/>
        <v>医学检验技术</v>
      </c>
      <c r="G5553" s="1" t="str">
        <f>"河南省南阳市卧龙区摩根中央公园"</f>
        <v>河南省南阳市卧龙区摩根中央公园</v>
      </c>
      <c r="H5553" s="1" t="str">
        <f t="shared" si="2747"/>
        <v>无</v>
      </c>
      <c r="I5553" s="1" t="str">
        <f>"202009-202307  河南医学高等专科学校检验系医学检验技术专业就读 全日制学历  待业
202309-202506   新乡医学院三全学院检验系医学检验技术专业就读 全日制学历  待业"</f>
        <v>202009-202307  河南医学高等专科学校检验系医学检验技术专业就读 全日制学历  待业
202309-202506   新乡医学院三全学院检验系医学检验技术专业就读 全日制学历  待业</v>
      </c>
    </row>
    <row r="5554" spans="1:9">
      <c r="A5554" s="1" t="str">
        <f>"41132720020813202X"</f>
        <v>41132720020813202X</v>
      </c>
      <c r="B5554" s="1" t="str">
        <f>"群众"</f>
        <v>群众</v>
      </c>
      <c r="C5554" s="1" t="str">
        <f t="shared" si="2749"/>
        <v>本科</v>
      </c>
      <c r="D5554" s="1" t="str">
        <f>"20250701"</f>
        <v>20250701</v>
      </c>
      <c r="E5554" s="1" t="str">
        <f>"河南科技职业大学"</f>
        <v>河南科技职业大学</v>
      </c>
      <c r="F5554" s="1" t="str">
        <f t="shared" ref="F5554:F5560" si="2751">"护理"</f>
        <v>护理</v>
      </c>
      <c r="G5554" s="1" t="str">
        <f>"河南省南阳市内乡县师岗镇张沟村南沟组"</f>
        <v>河南省南阳市内乡县师岗镇张沟村南沟组</v>
      </c>
      <c r="H5554" s="1" t="str">
        <f>"护士执业资格证初级"</f>
        <v>护士执业资格证初级</v>
      </c>
      <c r="I5554" s="1" t="str">
        <f>"202009-2023-07在许昌学院医学院就读护理专业，202309-202507在河南科技职业大学医学院就读护理专业，为全日制学历"</f>
        <v>202009-2023-07在许昌学院医学院就读护理专业，202309-202507在河南科技职业大学医学院就读护理专业，为全日制学历</v>
      </c>
    </row>
    <row r="5555" spans="1:9">
      <c r="A5555" s="1" t="str">
        <f>"411327200102023714"</f>
        <v>411327200102023714</v>
      </c>
      <c r="B5555" s="1" t="str">
        <f t="shared" si="2750"/>
        <v>共青团员</v>
      </c>
      <c r="C5555" s="1" t="str">
        <f t="shared" si="2749"/>
        <v>本科</v>
      </c>
      <c r="D5555" s="1" t="str">
        <f>"20250607"</f>
        <v>20250607</v>
      </c>
      <c r="E5555" s="1" t="str">
        <f>"黄河科技学院"</f>
        <v>黄河科技学院</v>
      </c>
      <c r="F5555" s="1" t="str">
        <f>"医学检验技术"</f>
        <v>医学检验技术</v>
      </c>
      <c r="G5555" s="1" t="str">
        <f>"河南省南阳市内乡县桃溪镇寺河村"</f>
        <v>河南省南阳市内乡县桃溪镇寺河村</v>
      </c>
      <c r="H5555" s="1" t="str">
        <f>"无"</f>
        <v>无</v>
      </c>
      <c r="I5555" s="1" t="str">
        <f>"202009-202306许昌学院 就读 全日制专科 医学检验技术
202309-202506黄河科技学院 就读 全日制本科 医学检验技术
"</f>
        <v>202009-202306许昌学院 就读 全日制专科 医学检验技术
202309-202506黄河科技学院 就读 全日制本科 医学检验技术
</v>
      </c>
    </row>
    <row r="5556" spans="1:9">
      <c r="A5556" s="1" t="str">
        <f>"411327199812201188"</f>
        <v>411327199812201188</v>
      </c>
      <c r="B5556" s="1" t="str">
        <f t="shared" ref="B5556:B5562" si="2752">"群众"</f>
        <v>群众</v>
      </c>
      <c r="C5556" s="1" t="str">
        <f t="shared" ref="C5556:C5560" si="2753">"专科"</f>
        <v>专科</v>
      </c>
      <c r="D5556" s="1" t="str">
        <f>"20200607"</f>
        <v>20200607</v>
      </c>
      <c r="E5556" s="1" t="str">
        <f>"郑州黄河护理职业技术学院"</f>
        <v>郑州黄河护理职业技术学院</v>
      </c>
      <c r="F5556" s="1" t="str">
        <f t="shared" si="2751"/>
        <v>护理</v>
      </c>
      <c r="G5556" s="1" t="str">
        <f>"河南省内乡县神威小区"</f>
        <v>河南省内乡县神威小区</v>
      </c>
      <c r="H5556" s="1" t="str">
        <f>"专业证书护士资格证  级别：护士"</f>
        <v>专业证书护士资格证  级别：护士</v>
      </c>
      <c r="I5556" s="1" t="str">
        <f>"201709-202007于郑州黄河护理职业学院 护理专业就读
201906-202002于原菊潭医院现内乡卫校实习
202006至今于马山医院就业"</f>
        <v>201709-202007于郑州黄河护理职业学院 护理专业就读
201906-202002于原菊潭医院现内乡卫校实习
202006至今于马山医院就业</v>
      </c>
    </row>
    <row r="5557" spans="1:9">
      <c r="A5557" s="1" t="str">
        <f>"411327200106093525"</f>
        <v>411327200106093525</v>
      </c>
      <c r="B5557" s="1" t="str">
        <f t="shared" si="2750"/>
        <v>共青团员</v>
      </c>
      <c r="C5557" s="1" t="str">
        <f>"本科"</f>
        <v>本科</v>
      </c>
      <c r="D5557" s="1" t="str">
        <f>"20250701"</f>
        <v>20250701</v>
      </c>
      <c r="E5557" s="1" t="str">
        <f>"河南中医药大学"</f>
        <v>河南中医药大学</v>
      </c>
      <c r="F5557" s="1" t="str">
        <f>"针灸推拿学"</f>
        <v>针灸推拿学</v>
      </c>
      <c r="G5557" s="1" t="str">
        <f>"河南省南阳市内乡县维多利亚小区"</f>
        <v>河南省南阳市内乡县维多利亚小区</v>
      </c>
      <c r="H5557" s="1" t="str">
        <f t="shared" ref="H5557:H5562" si="2754">"无"</f>
        <v>无</v>
      </c>
      <c r="I5557" s="1" t="str">
        <f>"201909-202206河南理工大学就读针灸推拿专业
202209-202507河南中医药大学就读针灸推拿专业
202507至今待业"</f>
        <v>201909-202206河南理工大学就读针灸推拿专业
202209-202507河南中医药大学就读针灸推拿专业
202507至今待业</v>
      </c>
    </row>
    <row r="5558" spans="1:9">
      <c r="A5558" s="1" t="str">
        <f>"210323199910215424"</f>
        <v>210323199910215424</v>
      </c>
      <c r="B5558" s="1" t="str">
        <f t="shared" si="2750"/>
        <v>共青团员</v>
      </c>
      <c r="C5558" s="1" t="str">
        <f t="shared" si="2753"/>
        <v>专科</v>
      </c>
      <c r="D5558" s="1" t="str">
        <f>"20210623"</f>
        <v>20210623</v>
      </c>
      <c r="E5558" s="1" t="str">
        <f>"七台河职业学院"</f>
        <v>七台河职业学院</v>
      </c>
      <c r="F5558" s="1" t="str">
        <f t="shared" si="2751"/>
        <v>护理</v>
      </c>
      <c r="G5558" s="1" t="str">
        <f>"辽宁省鞍山市岫岩满族自治县"</f>
        <v>辽宁省鞍山市岫岩满族自治县</v>
      </c>
      <c r="H5558" s="1" t="str">
        <f>"护士资格证 护士执业证"</f>
        <v>护士资格证 护士执业证</v>
      </c>
      <c r="I5558" s="1" t="str">
        <f>"201807-20216七台河职业学院 护理系就读 全日制
202110-202203 上海九洲医院 护士
202203-202212 上海第七人民医院 护士
202301-202507待业"</f>
        <v>201807-20216七台河职业学院 护理系就读 全日制
202110-202203 上海九洲医院 护士
202203-202212 上海第七人民医院 护士
202301-202507待业</v>
      </c>
    </row>
    <row r="5559" spans="1:9">
      <c r="A5559" s="1" t="str">
        <f>"41133020000218456X"</f>
        <v>41133020000218456X</v>
      </c>
      <c r="B5559" s="1" t="str">
        <f t="shared" si="2750"/>
        <v>共青团员</v>
      </c>
      <c r="C5559" s="1" t="str">
        <f t="shared" si="2753"/>
        <v>专科</v>
      </c>
      <c r="D5559" s="1" t="str">
        <f>"20220601"</f>
        <v>20220601</v>
      </c>
      <c r="E5559" s="1" t="str">
        <f>"南阳医学高等专科学校"</f>
        <v>南阳医学高等专科学校</v>
      </c>
      <c r="F5559" s="1" t="str">
        <f t="shared" si="2751"/>
        <v>护理</v>
      </c>
      <c r="G5559" s="1" t="str">
        <f>"南阳市西峡县米坪镇"</f>
        <v>南阳市西峡县米坪镇</v>
      </c>
      <c r="H5559" s="1" t="str">
        <f t="shared" ref="H5559:H5563" si="2755">"护士资格证"</f>
        <v>护士资格证</v>
      </c>
      <c r="I5559" s="1" t="str">
        <f>"201909-202206于南阳医学高等专科学校护理系全日制专科就读"</f>
        <v>201909-202206于南阳医学高等专科学校护理系全日制专科就读</v>
      </c>
    </row>
    <row r="5560" spans="1:9">
      <c r="A5560" s="1" t="str">
        <f>"411322200010022480"</f>
        <v>411322200010022480</v>
      </c>
      <c r="B5560" s="1" t="str">
        <f t="shared" si="2752"/>
        <v>群众</v>
      </c>
      <c r="C5560" s="1" t="str">
        <f t="shared" si="2753"/>
        <v>专科</v>
      </c>
      <c r="D5560" s="1" t="str">
        <f>"20200701"</f>
        <v>20200701</v>
      </c>
      <c r="E5560" s="1" t="str">
        <f>"河南应用技术职业学院"</f>
        <v>河南应用技术职业学院</v>
      </c>
      <c r="F5560" s="1" t="str">
        <f t="shared" si="2751"/>
        <v>护理</v>
      </c>
      <c r="G5560" s="1" t="str">
        <f>"河南省南阳市方城县金河湾小区"</f>
        <v>河南省南阳市方城县金河湾小区</v>
      </c>
      <c r="H5560" s="1" t="str">
        <f t="shared" si="2755"/>
        <v>护士资格证</v>
      </c>
      <c r="I5560" s="1" t="str">
        <f>"201709-202007河南应用技术职业学院就读护理专业是全日制"</f>
        <v>201709-202007河南应用技术职业学院就读护理专业是全日制</v>
      </c>
    </row>
    <row r="5561" spans="1:9">
      <c r="A5561" s="1" t="str">
        <f>"411327200002160041"</f>
        <v>411327200002160041</v>
      </c>
      <c r="B5561" s="1" t="str">
        <f t="shared" si="2752"/>
        <v>群众</v>
      </c>
      <c r="C5561" s="1" t="str">
        <f t="shared" ref="C5561:C5566" si="2756">"本科"</f>
        <v>本科</v>
      </c>
      <c r="D5561" s="1" t="str">
        <f>"20250101"</f>
        <v>20250101</v>
      </c>
      <c r="E5561" s="1" t="str">
        <f>"河南科技大学"</f>
        <v>河南科技大学</v>
      </c>
      <c r="F5561" s="1" t="str">
        <f t="shared" ref="F5561:F5564" si="2757">"临床医学"</f>
        <v>临床医学</v>
      </c>
      <c r="G5561" s="1" t="str">
        <f>"河南省南阳市内乡县城关镇"</f>
        <v>河南省南阳市内乡县城关镇</v>
      </c>
      <c r="H5561" s="1" t="str">
        <f t="shared" si="2754"/>
        <v>无</v>
      </c>
      <c r="I5561" s="1" t="str">
        <f>"2017.09至2020.07在漯河医学高等专科学校就读临床医学，全日制学历，学制3年
2022.03至2025.01在河南科技大学就读临床医学，学习形式业余，学制3年"</f>
        <v>2017.09至2020.07在漯河医学高等专科学校就读临床医学，全日制学历，学制3年
2022.03至2025.01在河南科技大学就读临床医学，学习形式业余，学制3年</v>
      </c>
    </row>
    <row r="5562" spans="1:9">
      <c r="A5562" s="1" t="str">
        <f>"411326200310196939"</f>
        <v>411326200310196939</v>
      </c>
      <c r="B5562" s="1" t="str">
        <f t="shared" si="2752"/>
        <v>群众</v>
      </c>
      <c r="C5562" s="1" t="str">
        <f t="shared" ref="C5562:C5567" si="2758">"专科"</f>
        <v>专科</v>
      </c>
      <c r="D5562" s="1" t="str">
        <f>"20250612"</f>
        <v>20250612</v>
      </c>
      <c r="E5562" s="1" t="str">
        <f>"黄河科技学院"</f>
        <v>黄河科技学院</v>
      </c>
      <c r="F5562" s="1" t="str">
        <f t="shared" si="2757"/>
        <v>临床医学</v>
      </c>
      <c r="G5562" s="1" t="str">
        <f>"河南省南阳市淅川县厚坡镇卫生院"</f>
        <v>河南省南阳市淅川县厚坡镇卫生院</v>
      </c>
      <c r="H5562" s="1" t="str">
        <f t="shared" si="2754"/>
        <v>无</v>
      </c>
      <c r="I5562" s="1" t="str">
        <f>"202209--202506黄河科技学院 医学院 临床医学专业就读 是全日制学历"</f>
        <v>202209--202506黄河科技学院 医学院 临床医学专业就读 是全日制学历</v>
      </c>
    </row>
    <row r="5563" spans="1:9">
      <c r="A5563" s="1" t="str">
        <f>"411303199707260046"</f>
        <v>411303199707260046</v>
      </c>
      <c r="B5563" s="1" t="str">
        <f>"中共党员"</f>
        <v>中共党员</v>
      </c>
      <c r="C5563" s="1" t="str">
        <f t="shared" si="2756"/>
        <v>本科</v>
      </c>
      <c r="D5563" s="1" t="str">
        <f>"20250701"</f>
        <v>20250701</v>
      </c>
      <c r="E5563" s="1" t="str">
        <f>"河南大学民生学院"</f>
        <v>河南大学民生学院</v>
      </c>
      <c r="F5563" s="1" t="str">
        <f>"护理学"</f>
        <v>护理学</v>
      </c>
      <c r="G5563" s="1" t="str">
        <f>"河南省南阳市卧龙区岗东村538号"</f>
        <v>河南省南阳市卧龙区岗东村538号</v>
      </c>
      <c r="H5563" s="1" t="str">
        <f t="shared" si="2755"/>
        <v>护士资格证</v>
      </c>
      <c r="I5563" s="1" t="str">
        <f>"201509-201806在南阳医学高等专科学校护理系就读，是全日制。
201809-201906在河南大学民生学院护理学专业就读，是全日制。
201909-202107在中国人民解放军火箭军96608部队服役
202107-202409在中国人民解放军火箭军96784部队服役
202409-202506在河南大学民生学院护理学专业就读，是全日制"</f>
        <v>201509-201806在南阳医学高等专科学校护理系就读，是全日制。
201809-201906在河南大学民生学院护理学专业就读，是全日制。
201909-202107在中国人民解放军火箭军96608部队服役
202107-202409在中国人民解放军火箭军96784部队服役
202409-202506在河南大学民生学院护理学专业就读，是全日制</v>
      </c>
    </row>
    <row r="5564" spans="1:9">
      <c r="A5564" s="1" t="str">
        <f>"411327199210182047"</f>
        <v>411327199210182047</v>
      </c>
      <c r="B5564" s="1" t="str">
        <f>"中共党员"</f>
        <v>中共党员</v>
      </c>
      <c r="C5564" s="1" t="str">
        <f t="shared" si="2758"/>
        <v>专科</v>
      </c>
      <c r="D5564" s="1" t="str">
        <f>"20140701"</f>
        <v>20140701</v>
      </c>
      <c r="E5564" s="1" t="str">
        <f>"南阳医学高等专科学校"</f>
        <v>南阳医学高等专科学校</v>
      </c>
      <c r="F5564" s="1" t="str">
        <f t="shared" si="2757"/>
        <v>临床医学</v>
      </c>
      <c r="G5564" s="1" t="str">
        <f>"河南省南阳市内乡县师岗镇张沟村老坟洼23号"</f>
        <v>河南省南阳市内乡县师岗镇张沟村老坟洼23号</v>
      </c>
      <c r="H5564" s="1" t="str">
        <f>"西医助理医师资格证"</f>
        <v>西医助理医师资格证</v>
      </c>
      <c r="I5564" s="1" t="str">
        <f>"2012.09-2014.07  南阳医学高等专科学校就读临床医学专业  全日制
2014.07-2018.05  南阳协和医院
2018.05-2023.08  待业
2023.09-至今        师岗镇卫生院"</f>
        <v>2012.09-2014.07  南阳医学高等专科学校就读临床医学专业  全日制
2014.07-2018.05  南阳协和医院
2018.05-2023.08  待业
2023.09-至今        师岗镇卫生院</v>
      </c>
    </row>
    <row r="5565" spans="1:9">
      <c r="A5565" s="1" t="str">
        <f>"411327199611053326"</f>
        <v>411327199611053326</v>
      </c>
      <c r="B5565" s="1" t="str">
        <f t="shared" ref="B5565:B5570" si="2759">"群众"</f>
        <v>群众</v>
      </c>
      <c r="C5565" s="1" t="str">
        <f t="shared" si="2756"/>
        <v>本科</v>
      </c>
      <c r="D5565" s="1" t="str">
        <f>"20190701"</f>
        <v>20190701</v>
      </c>
      <c r="E5565" s="1" t="str">
        <f>"商丘工学院"</f>
        <v>商丘工学院</v>
      </c>
      <c r="F5565" s="1" t="str">
        <f>"护理学"</f>
        <v>护理学</v>
      </c>
      <c r="G5565" s="1" t="str">
        <f>"河南省南阳市内乡县城关镇南园村南园北路1号"</f>
        <v>河南省南阳市内乡县城关镇南园村南园北路1号</v>
      </c>
      <c r="H5565" s="1" t="str">
        <f t="shared" ref="H5565:H5570" si="2760">"无"</f>
        <v>无</v>
      </c>
      <c r="I5565" s="1" t="str">
        <f>"20150901-20190701 商丘工学院 护理学 就读 全日制学历"</f>
        <v>20150901-20190701 商丘工学院 护理学 就读 全日制学历</v>
      </c>
    </row>
    <row r="5566" spans="1:9">
      <c r="A5566" s="1" t="str">
        <f>"41132719951010151X"</f>
        <v>41132719951010151X</v>
      </c>
      <c r="B5566" s="1" t="str">
        <f t="shared" si="2759"/>
        <v>群众</v>
      </c>
      <c r="C5566" s="1" t="str">
        <f t="shared" si="2756"/>
        <v>本科</v>
      </c>
      <c r="D5566" s="1" t="str">
        <f>"20180701"</f>
        <v>20180701</v>
      </c>
      <c r="E5566" s="1" t="str">
        <f>"新乡医学院三全学院"</f>
        <v>新乡医学院三全学院</v>
      </c>
      <c r="F5566" s="1" t="str">
        <f>"临床医学"</f>
        <v>临床医学</v>
      </c>
      <c r="G5566" s="1" t="str">
        <f>"南阳市内乡县湍东镇郦都国际三期"</f>
        <v>南阳市内乡县湍东镇郦都国际三期</v>
      </c>
      <c r="H5566" s="1" t="str">
        <f>"执业医师"</f>
        <v>执业医师</v>
      </c>
      <c r="I5566" s="1" t="str">
        <f>"201309-201807新乡医学院三全学院就读
201808-201907内乡县菊潭医院工作
201908-202207河南省人民医院住院医师规范化培训
202208至今内乡县人民医院工作"</f>
        <v>201309-201807新乡医学院三全学院就读
201808-201907内乡县菊潭医院工作
201908-202207河南省人民医院住院医师规范化培训
202208至今内乡县人民医院工作</v>
      </c>
    </row>
    <row r="5567" spans="1:9">
      <c r="A5567" s="1" t="str">
        <f>"411327200307282920"</f>
        <v>411327200307282920</v>
      </c>
      <c r="B5567" s="1" t="str">
        <f t="shared" ref="B5567:B5571" si="2761">"共青团员"</f>
        <v>共青团员</v>
      </c>
      <c r="C5567" s="1" t="str">
        <f t="shared" si="2758"/>
        <v>专科</v>
      </c>
      <c r="D5567" s="1" t="str">
        <f>"20240601"</f>
        <v>20240601</v>
      </c>
      <c r="E5567" s="1" t="str">
        <f>"南阳医学高等专科学校"</f>
        <v>南阳医学高等专科学校</v>
      </c>
      <c r="F5567" s="1" t="str">
        <f t="shared" ref="F5567:F5571" si="2762">"护理"</f>
        <v>护理</v>
      </c>
      <c r="G5567" s="1" t="str">
        <f>"内乡县学府公馆"</f>
        <v>内乡县学府公馆</v>
      </c>
      <c r="H5567" s="1" t="str">
        <f>"护士资格证"</f>
        <v>护士资格证</v>
      </c>
      <c r="I5567" s="1" t="str">
        <f>"202109-202406南阳医学高等专科学校 护理系就读 全日制 
202406-202409待业
202409至今在内乡县第二人民医院上班"</f>
        <v>202109-202406南阳医学高等专科学校 护理系就读 全日制 
202406-202409待业
202409至今在内乡县第二人民医院上班</v>
      </c>
    </row>
    <row r="5568" spans="1:9">
      <c r="A5568" s="1" t="str">
        <f>"42062420040111792X"</f>
        <v>42062420040111792X</v>
      </c>
      <c r="B5568" s="1" t="str">
        <f t="shared" si="2761"/>
        <v>共青团员</v>
      </c>
      <c r="C5568" s="1" t="str">
        <f>"本科"</f>
        <v>本科</v>
      </c>
      <c r="D5568" s="1" t="str">
        <f>"2025-06-30"</f>
        <v>2025-06-30</v>
      </c>
      <c r="E5568" s="1" t="str">
        <f>"湖北医药学院药护学院"</f>
        <v>湖北医药学院药护学院</v>
      </c>
      <c r="F5568" s="1" t="str">
        <f>"药学"</f>
        <v>药学</v>
      </c>
      <c r="G5568" s="1" t="str">
        <f>"湖北省襄阳市南漳县水镜大道318号"</f>
        <v>湖北省襄阳市南漳县水镜大道318号</v>
      </c>
      <c r="H5568" s="1" t="str">
        <f t="shared" si="2760"/>
        <v>无</v>
      </c>
      <c r="I5568" s="1" t="str">
        <f>"202109-202506 湖北医药学院药护学院 药学院 药学就读（是全日制学历）"</f>
        <v>202109-202506 湖北医药学院药护学院 药学院 药学就读（是全日制学历）</v>
      </c>
    </row>
    <row r="5569" spans="1:9">
      <c r="A5569" s="1" t="str">
        <f>"411327199911080342"</f>
        <v>411327199911080342</v>
      </c>
      <c r="B5569" s="1" t="str">
        <f t="shared" si="2759"/>
        <v>群众</v>
      </c>
      <c r="C5569" s="1" t="str">
        <f t="shared" ref="C5569:C5575" si="2763">"专科"</f>
        <v>专科</v>
      </c>
      <c r="D5569" s="1" t="str">
        <f>"20210701"</f>
        <v>20210701</v>
      </c>
      <c r="E5569" s="1" t="str">
        <f>"郑州工业应用技术学院"</f>
        <v>郑州工业应用技术学院</v>
      </c>
      <c r="F5569" s="1" t="str">
        <f t="shared" si="2762"/>
        <v>护理</v>
      </c>
      <c r="G5569" s="1" t="str">
        <f>"内乡县大桥乡"</f>
        <v>内乡县大桥乡</v>
      </c>
      <c r="H5569" s="1" t="str">
        <f>"护师"</f>
        <v>护师</v>
      </c>
      <c r="I5569" s="1" t="str">
        <f>"201809-202107于郑州工业应用技术学院护理专业就读，202107于内乡县第二人民医院急诊科工作至今"</f>
        <v>201809-202107于郑州工业应用技术学院护理专业就读，202107于内乡县第二人民医院急诊科工作至今</v>
      </c>
    </row>
    <row r="5570" spans="1:9">
      <c r="A5570" s="1" t="str">
        <f>"411327199801102512"</f>
        <v>411327199801102512</v>
      </c>
      <c r="B5570" s="1" t="str">
        <f t="shared" si="2759"/>
        <v>群众</v>
      </c>
      <c r="C5570" s="1" t="str">
        <f t="shared" si="2763"/>
        <v>专科</v>
      </c>
      <c r="D5570" s="1" t="str">
        <f>"20200701"</f>
        <v>20200701</v>
      </c>
      <c r="E5570" s="1" t="str">
        <f>"河南医学高等专科学校"</f>
        <v>河南医学高等专科学校</v>
      </c>
      <c r="F5570" s="1" t="str">
        <f>"药学"</f>
        <v>药学</v>
      </c>
      <c r="G5570" s="1" t="str">
        <f>"河南省南阳市内乡县王店镇"</f>
        <v>河南省南阳市内乡县王店镇</v>
      </c>
      <c r="H5570" s="1" t="str">
        <f t="shared" si="2760"/>
        <v>无</v>
      </c>
      <c r="I5570" s="1" t="str">
        <f>"201709-202007 河南医学高等专科学校 药学系药学专业就读 全日制
202008-202104 郑州博奥检验
202105-202108 郑州待业
202109-202405 南阳待业
202406-202412 河南仁修堂大药房
202501-至今 南阳待业"</f>
        <v>201709-202007 河南医学高等专科学校 药学系药学专业就读 全日制
202008-202104 郑州博奥检验
202105-202108 郑州待业
202109-202405 南阳待业
202406-202412 河南仁修堂大药房
202501-至今 南阳待业</v>
      </c>
    </row>
    <row r="5571" spans="1:9">
      <c r="A5571" s="1" t="str">
        <f>"411327200002052040"</f>
        <v>411327200002052040</v>
      </c>
      <c r="B5571" s="1" t="str">
        <f t="shared" si="2761"/>
        <v>共青团员</v>
      </c>
      <c r="C5571" s="1" t="str">
        <f t="shared" si="2763"/>
        <v>专科</v>
      </c>
      <c r="D5571" s="1" t="str">
        <f>"20220701"</f>
        <v>20220701</v>
      </c>
      <c r="E5571" s="1" t="str">
        <f>"阿拉善职业技术学院"</f>
        <v>阿拉善职业技术学院</v>
      </c>
      <c r="F5571" s="1" t="str">
        <f t="shared" si="2762"/>
        <v>护理</v>
      </c>
      <c r="G5571" s="1" t="str">
        <f>"河南省内乡县师岗镇八里岗村"</f>
        <v>河南省内乡县师岗镇八里岗村</v>
      </c>
      <c r="H5571" s="1" t="str">
        <f>"护士资格证"</f>
        <v>护士资格证</v>
      </c>
      <c r="I5571" s="1" t="str">
        <f>"2019.09——2022.07在阿拉善职业技术学院护理专业就读
2022.07——2024.12在阿拉善民族医院工作
2024.12——2025.04在河南省内乡县桃溪镇卫生院工作
2025.05——至今在河南省内乡县第一人民医院工作"</f>
        <v>2019.09——2022.07在阿拉善职业技术学院护理专业就读
2022.07——2024.12在阿拉善民族医院工作
2024.12——2025.04在河南省内乡县桃溪镇卫生院工作
2025.05——至今在河南省内乡县第一人民医院工作</v>
      </c>
    </row>
    <row r="5572" spans="1:9">
      <c r="A5572" s="1" t="str">
        <f>"411327199809222527"</f>
        <v>411327199809222527</v>
      </c>
      <c r="B5572" s="1" t="str">
        <f t="shared" ref="B5572:B5574" si="2764">"群众"</f>
        <v>群众</v>
      </c>
      <c r="C5572" s="1" t="str">
        <f t="shared" si="2763"/>
        <v>专科</v>
      </c>
      <c r="D5572" s="1" t="str">
        <f>"20200701"</f>
        <v>20200701</v>
      </c>
      <c r="E5572" s="1" t="str">
        <f>"河南医学高等专科学校"</f>
        <v>河南医学高等专科学校</v>
      </c>
      <c r="F5572" s="1" t="str">
        <f>"临床医学"</f>
        <v>临床医学</v>
      </c>
      <c r="G5572" s="1" t="str">
        <f>"河南省南阳市内乡县城关镇白云小区"</f>
        <v>河南省南阳市内乡县城关镇白云小区</v>
      </c>
      <c r="H5572" s="1" t="str">
        <f>"执业助理医师资格证/执业助理医师执业证"</f>
        <v>执业助理医师资格证/执业助理医师执业证</v>
      </c>
      <c r="I5572" s="1" t="str">
        <f>"201709-202007河南医学高等专科学校 临床医学专业 （全日制）
202103-202401 河南科技大学 临床医学（非全日制）
"</f>
        <v>201709-202007河南医学高等专科学校 临床医学专业 （全日制）
202103-202401 河南科技大学 临床医学（非全日制）
</v>
      </c>
    </row>
    <row r="5573" spans="1:9">
      <c r="A5573" s="1" t="str">
        <f>"411327200012210647"</f>
        <v>411327200012210647</v>
      </c>
      <c r="B5573" s="1" t="str">
        <f t="shared" si="2764"/>
        <v>群众</v>
      </c>
      <c r="C5573" s="1" t="str">
        <f t="shared" si="2763"/>
        <v>专科</v>
      </c>
      <c r="D5573" s="1" t="str">
        <f>"20230630"</f>
        <v>20230630</v>
      </c>
      <c r="E5573" s="1" t="str">
        <f>"南阳科技职业学院"</f>
        <v>南阳科技职业学院</v>
      </c>
      <c r="F5573" s="1" t="str">
        <f>"护理"</f>
        <v>护理</v>
      </c>
      <c r="G5573" s="1" t="str">
        <f>"河南省南阳市内乡县马山口镇"</f>
        <v>河南省南阳市内乡县马山口镇</v>
      </c>
      <c r="H5573" s="1" t="str">
        <f>"护士"</f>
        <v>护士</v>
      </c>
      <c r="I5573" s="1" t="str">
        <f>"20201012--20230630在南阳科技职业学院就读护理专业是全日制"</f>
        <v>20201012--20230630在南阳科技职业学院就读护理专业是全日制</v>
      </c>
    </row>
    <row r="5574" spans="1:9">
      <c r="A5574" s="1" t="str">
        <f>"411325200112212049"</f>
        <v>411325200112212049</v>
      </c>
      <c r="B5574" s="1" t="str">
        <f t="shared" si="2764"/>
        <v>群众</v>
      </c>
      <c r="C5574" s="1" t="str">
        <f t="shared" si="2763"/>
        <v>专科</v>
      </c>
      <c r="D5574" s="1" t="str">
        <f>"202207"</f>
        <v>202207</v>
      </c>
      <c r="E5574" s="1" t="str">
        <f>"河南应用职业技术学院"</f>
        <v>河南应用职业技术学院</v>
      </c>
      <c r="F5574" s="1" t="str">
        <f t="shared" ref="F5574:F5578" si="2765">"护理学"</f>
        <v>护理学</v>
      </c>
      <c r="G5574" s="1" t="str">
        <f>"河南省南阳市内乡县城关镇渚阳大街内乡县中医院"</f>
        <v>河南省南阳市内乡县城关镇渚阳大街内乡县中医院</v>
      </c>
      <c r="H5574" s="1" t="str">
        <f t="shared" ref="H5574:H5578" si="2766">"护士资格证"</f>
        <v>护士资格证</v>
      </c>
      <c r="I5574" s="1" t="str">
        <f>"大专：2019.9-2022.7就读于河南应用技术职业学院，期间2021.6-2022.3在郑州人民医院实习
2022.7月于内乡县中医院工作至今
"</f>
        <v>大专：2019.9-2022.7就读于河南应用技术职业学院，期间2021.6-2022.3在郑州人民医院实习
2022.7月于内乡县中医院工作至今
</v>
      </c>
    </row>
    <row r="5575" spans="1:9">
      <c r="A5575" s="1" t="str">
        <f>"411327200104263922"</f>
        <v>411327200104263922</v>
      </c>
      <c r="B5575" s="1" t="str">
        <f t="shared" ref="B5575:B5582" si="2767">"共青团员"</f>
        <v>共青团员</v>
      </c>
      <c r="C5575" s="1" t="str">
        <f t="shared" si="2763"/>
        <v>专科</v>
      </c>
      <c r="D5575" s="1" t="str">
        <f>"20230701"</f>
        <v>20230701</v>
      </c>
      <c r="E5575" s="1" t="str">
        <f>"信阳职业技术学院"</f>
        <v>信阳职业技术学院</v>
      </c>
      <c r="F5575" s="1" t="str">
        <f>"临床医学"</f>
        <v>临床医学</v>
      </c>
      <c r="G5575" s="1" t="str">
        <f>"河南省南阳市内乡县乍曲镇水沟村候沟组192号"</f>
        <v>河南省南阳市内乡县乍曲镇水沟村候沟组192号</v>
      </c>
      <c r="H5575" s="1" t="str">
        <f t="shared" ref="H5575:H5580" si="2768">"无"</f>
        <v>无</v>
      </c>
      <c r="I5575" s="1" t="str">
        <f>"202009-202307在信阳职业技术学院医学院就读临床医学专业，全日制专科；202403-202701在新乡医学院三全学院就读临床医学专业，非全日制学历"</f>
        <v>202009-202307在信阳职业技术学院医学院就读临床医学专业，全日制专科；202403-202701在新乡医学院三全学院就读临床医学专业，非全日制学历</v>
      </c>
    </row>
    <row r="5576" spans="1:9">
      <c r="A5576" s="1" t="str">
        <f>"411326200109295185"</f>
        <v>411326200109295185</v>
      </c>
      <c r="B5576" s="1" t="str">
        <f>"群众"</f>
        <v>群众</v>
      </c>
      <c r="C5576" s="1" t="str">
        <f t="shared" ref="C5576:C5580" si="2769">"本科"</f>
        <v>本科</v>
      </c>
      <c r="D5576" s="1" t="str">
        <f>"20240622"</f>
        <v>20240622</v>
      </c>
      <c r="E5576" s="1" t="str">
        <f>"新乡医学院三全学院"</f>
        <v>新乡医学院三全学院</v>
      </c>
      <c r="F5576" s="1" t="str">
        <f t="shared" ref="F5576:F5580" si="2770">"医学检验技术"</f>
        <v>医学检验技术</v>
      </c>
      <c r="G5576" s="1" t="str">
        <f>"南召县祥河小区"</f>
        <v>南召县祥河小区</v>
      </c>
      <c r="H5576" s="1" t="str">
        <f>"检验士证"</f>
        <v>检验士证</v>
      </c>
      <c r="I5576" s="1" t="str">
        <f>"201909-202206商丘医学高等专科学校 医学技术学院 医学检验技术就读 是全日制学历
202209-202406新乡医学院三全学院 医学技术学院 医学检验技术就读
是全日制学历
"</f>
        <v>201909-202206商丘医学高等专科学校 医学技术学院 医学检验技术就读 是全日制学历
202209-202406新乡医学院三全学院 医学技术学院 医学检验技术就读
是全日制学历
</v>
      </c>
    </row>
    <row r="5577" spans="1:9">
      <c r="A5577" s="1" t="str">
        <f>"411327200208230025"</f>
        <v>411327200208230025</v>
      </c>
      <c r="B5577" s="1" t="str">
        <f t="shared" si="2767"/>
        <v>共青团员</v>
      </c>
      <c r="C5577" s="1" t="str">
        <f t="shared" si="2769"/>
        <v>本科</v>
      </c>
      <c r="D5577" s="1" t="str">
        <f>"2024年6月18日"</f>
        <v>2024年6月18日</v>
      </c>
      <c r="E5577" s="1" t="str">
        <f>"郑州工业应用技术学院"</f>
        <v>郑州工业应用技术学院</v>
      </c>
      <c r="F5577" s="1" t="str">
        <f t="shared" si="2765"/>
        <v>护理学</v>
      </c>
      <c r="G5577" s="1" t="str">
        <f>"河南省南阳市内乡县城关镇教育路"</f>
        <v>河南省南阳市内乡县城关镇教育路</v>
      </c>
      <c r="H5577" s="1" t="str">
        <f t="shared" si="2766"/>
        <v>护士资格证</v>
      </c>
      <c r="I5577" s="1" t="str">
        <f>"202009-202406郑州工业应用技术学院医学院护理学专业就读，全日制学历
202306-202403解放军总医院第一医学中心实习
"</f>
        <v>202009-202406郑州工业应用技术学院医学院护理学专业就读，全日制学历
202306-202403解放军总医院第一医学中心实习
</v>
      </c>
    </row>
    <row r="5578" spans="1:9">
      <c r="A5578" s="1" t="str">
        <f>"411325200310220648"</f>
        <v>411325200310220648</v>
      </c>
      <c r="B5578" s="1" t="str">
        <f t="shared" si="2767"/>
        <v>共青团员</v>
      </c>
      <c r="C5578" s="1" t="str">
        <f t="shared" si="2769"/>
        <v>本科</v>
      </c>
      <c r="D5578" s="1" t="str">
        <f>"20250607"</f>
        <v>20250607</v>
      </c>
      <c r="E5578" s="1" t="str">
        <f>"黄淮学院"</f>
        <v>黄淮学院</v>
      </c>
      <c r="F5578" s="1" t="str">
        <f t="shared" si="2765"/>
        <v>护理学</v>
      </c>
      <c r="G5578" s="1" t="str">
        <f>"河南省南阳市内乡县"</f>
        <v>河南省南阳市内乡县</v>
      </c>
      <c r="H5578" s="1" t="str">
        <f t="shared" si="2766"/>
        <v>护士资格证</v>
      </c>
      <c r="I5578" s="1" t="str">
        <f>"202109-202506黄淮学院医学院护理学专业就读，全日制学历。"</f>
        <v>202109-202506黄淮学院医学院护理学专业就读，全日制学历。</v>
      </c>
    </row>
    <row r="5579" spans="1:9">
      <c r="A5579" s="1" t="str">
        <f>"411322200101213848"</f>
        <v>411322200101213848</v>
      </c>
      <c r="B5579" s="1" t="str">
        <f t="shared" si="2767"/>
        <v>共青团员</v>
      </c>
      <c r="C5579" s="1" t="str">
        <f t="shared" si="2769"/>
        <v>本科</v>
      </c>
      <c r="D5579" s="1" t="str">
        <f>"20240607"</f>
        <v>20240607</v>
      </c>
      <c r="E5579" s="1" t="str">
        <f>"新乡医学院三全学院"</f>
        <v>新乡医学院三全学院</v>
      </c>
      <c r="F5579" s="1" t="str">
        <f t="shared" si="2770"/>
        <v>医学检验技术</v>
      </c>
      <c r="G5579" s="1" t="str">
        <f>"河南省南阳市卧龙区建设中路880号"</f>
        <v>河南省南阳市卧龙区建设中路880号</v>
      </c>
      <c r="H5579" s="1" t="str">
        <f t="shared" si="2768"/>
        <v>无</v>
      </c>
      <c r="I5579" s="1" t="str">
        <f>"202009-202407  新乡医学院三全学院   医学检验学院医学检验技术专业就读  全日制本科学历
202407-至今  待业"</f>
        <v>202009-202407  新乡医学院三全学院   医学检验学院医学检验技术专业就读  全日制本科学历
202407-至今  待业</v>
      </c>
    </row>
    <row r="5580" spans="1:9">
      <c r="A5580" s="1" t="str">
        <f>"41132320030215342X"</f>
        <v>41132320030215342X</v>
      </c>
      <c r="B5580" s="1" t="str">
        <f t="shared" si="2767"/>
        <v>共青团员</v>
      </c>
      <c r="C5580" s="1" t="str">
        <f t="shared" si="2769"/>
        <v>本科</v>
      </c>
      <c r="D5580" s="1" t="str">
        <f>"20210701"</f>
        <v>20210701</v>
      </c>
      <c r="E5580" s="1" t="str">
        <f>"平顶山学院"</f>
        <v>平顶山学院</v>
      </c>
      <c r="F5580" s="1" t="str">
        <f t="shared" si="2770"/>
        <v>医学检验技术</v>
      </c>
      <c r="G5580" s="1" t="str">
        <f>"河南省南阳市南召县"</f>
        <v>河南省南阳市南召县</v>
      </c>
      <c r="H5580" s="1" t="str">
        <f t="shared" si="2768"/>
        <v>无</v>
      </c>
      <c r="I5580" s="1" t="str">
        <f>"20210901-20250701 平顶山学院 医学检验技术专业就读 全日制本科学历"</f>
        <v>20210901-20250701 平顶山学院 医学检验技术专业就读 全日制本科学历</v>
      </c>
    </row>
    <row r="5581" spans="1:9">
      <c r="A5581" s="1" t="str">
        <f>"411327200108104929"</f>
        <v>411327200108104929</v>
      </c>
      <c r="B5581" s="1" t="str">
        <f t="shared" si="2767"/>
        <v>共青团员</v>
      </c>
      <c r="C5581" s="1" t="str">
        <f t="shared" ref="C5581:C5585" si="2771">"专科"</f>
        <v>专科</v>
      </c>
      <c r="D5581" s="1" t="str">
        <f>"202207"</f>
        <v>202207</v>
      </c>
      <c r="E5581" s="1" t="str">
        <f>"三门峡职业技术学院"</f>
        <v>三门峡职业技术学院</v>
      </c>
      <c r="F5581" s="1" t="str">
        <f t="shared" ref="F5581:F5583" si="2772">"护理"</f>
        <v>护理</v>
      </c>
      <c r="G5581" s="1" t="str">
        <f>"河南省南阳市内乡县"</f>
        <v>河南省南阳市内乡县</v>
      </c>
      <c r="H5581" s="1" t="str">
        <f>"护士执业证"</f>
        <v>护士执业证</v>
      </c>
      <c r="I5581" s="1" t="str">
        <f>"201909-202207三门峡职业技术学院就读
202209-至今 内乡县人民医院"</f>
        <v>201909-202207三门峡职业技术学院就读
202209-至今 内乡县人民医院</v>
      </c>
    </row>
    <row r="5582" spans="1:9">
      <c r="A5582" s="1" t="str">
        <f>"411330200112264843"</f>
        <v>411330200112264843</v>
      </c>
      <c r="B5582" s="1" t="str">
        <f t="shared" si="2767"/>
        <v>共青团员</v>
      </c>
      <c r="C5582" s="1" t="str">
        <f>"本科"</f>
        <v>本科</v>
      </c>
      <c r="D5582" s="1" t="str">
        <f>"20240701"</f>
        <v>20240701</v>
      </c>
      <c r="E5582" s="1" t="str">
        <f>"河南科技职业大学"</f>
        <v>河南科技职业大学</v>
      </c>
      <c r="F5582" s="1" t="str">
        <f t="shared" si="2772"/>
        <v>护理</v>
      </c>
      <c r="G5582" s="1" t="str">
        <f>"河南省西峡县军马河乡独阜岭村沟脑组186号"</f>
        <v>河南省西峡县军马河乡独阜岭村沟脑组186号</v>
      </c>
      <c r="H5582" s="1" t="str">
        <f>"护士资格证，健康管理师"</f>
        <v>护士资格证，健康管理师</v>
      </c>
      <c r="I5582" s="1" t="str">
        <f>"202009-202407就读于河南科技职业大学，医学院护理专业，全日制本科
202306-202403于周口市儿童医院急诊科，妇科，儿科，外科，消毒供应室等科室学习，"</f>
        <v>202009-202407就读于河南科技职业大学，医学院护理专业，全日制本科
202306-202403于周口市儿童医院急诊科，妇科，儿科，外科，消毒供应室等科室学习，</v>
      </c>
    </row>
    <row r="5583" spans="1:9">
      <c r="A5583" s="1" t="str">
        <f>"411327200612230027"</f>
        <v>411327200612230027</v>
      </c>
      <c r="B5583" s="1" t="str">
        <f t="shared" ref="B5583:B5588" si="2773">"群众"</f>
        <v>群众</v>
      </c>
      <c r="C5583" s="1" t="str">
        <f t="shared" si="2771"/>
        <v>专科</v>
      </c>
      <c r="D5583" s="1" t="str">
        <f>"20250611"</f>
        <v>20250611</v>
      </c>
      <c r="E5583" s="1" t="str">
        <f>"河南护理职业学院"</f>
        <v>河南护理职业学院</v>
      </c>
      <c r="F5583" s="1" t="str">
        <f t="shared" si="2772"/>
        <v>护理</v>
      </c>
      <c r="G5583" s="1" t="str">
        <f>"河南省南阳市内乡县城关镇廉租房幸福小区"</f>
        <v>河南省南阳市内乡县城关镇廉租房幸福小区</v>
      </c>
      <c r="H5583" s="1" t="str">
        <f>"护士资格证"</f>
        <v>护士资格证</v>
      </c>
      <c r="I5583" s="1" t="str">
        <f>"何艺蓓  ，女，2022年9月至2025年6月毕业于河南护理职业学院  ，护理专业，大专学历。专业技能 : 普通话二级乙等证书；母婴护理证书；通过护士资格考试；通过NIT证书，熟练操作WPS办公软件并在2023年暑期社会实践中，被评为优秀志愿者等。"</f>
        <v>何艺蓓  ，女，2022年9月至2025年6月毕业于河南护理职业学院  ，护理专业，大专学历。专业技能 : 普通话二级乙等证书；母婴护理证书；通过护士资格考试；通过NIT证书，熟练操作WPS办公软件并在2023年暑期社会实践中，被评为优秀志愿者等。</v>
      </c>
    </row>
    <row r="5584" spans="1:9">
      <c r="A5584" s="1" t="str">
        <f>"411381200204300426"</f>
        <v>411381200204300426</v>
      </c>
      <c r="B5584" s="1" t="str">
        <f t="shared" si="2773"/>
        <v>群众</v>
      </c>
      <c r="C5584" s="1" t="str">
        <f t="shared" si="2771"/>
        <v>专科</v>
      </c>
      <c r="D5584" s="1" t="str">
        <f>"20220701"</f>
        <v>20220701</v>
      </c>
      <c r="E5584" s="1" t="str">
        <f>"濮阳医学高等专科学校"</f>
        <v>濮阳医学高等专科学校</v>
      </c>
      <c r="F5584" s="1" t="str">
        <f>"药学"</f>
        <v>药学</v>
      </c>
      <c r="G5584" s="1" t="str">
        <f>"河南省邓州市花洲街道南桥店东后街老97号"</f>
        <v>河南省邓州市花洲街道南桥店东后街老97号</v>
      </c>
      <c r="H5584" s="1" t="str">
        <f>"药士"</f>
        <v>药士</v>
      </c>
      <c r="I5584" s="1" t="str">
        <f>"201909-202207 濮阳医学高等专科学校药学全日制
202207-202209 待业
202209-至今邓州市盛禾劳务派遣有限公司"</f>
        <v>201909-202207 濮阳医学高等专科学校药学全日制
202207-202209 待业
202209-至今邓州市盛禾劳务派遣有限公司</v>
      </c>
    </row>
    <row r="5585" spans="1:9">
      <c r="A5585" s="1" t="str">
        <f>"411224199912127144"</f>
        <v>411224199912127144</v>
      </c>
      <c r="B5585" s="1" t="str">
        <f t="shared" si="2773"/>
        <v>群众</v>
      </c>
      <c r="C5585" s="1" t="str">
        <f t="shared" si="2771"/>
        <v>专科</v>
      </c>
      <c r="D5585" s="1" t="str">
        <f>"20230701"</f>
        <v>20230701</v>
      </c>
      <c r="E5585" s="1" t="str">
        <f>"郑州黄河护理职业学院"</f>
        <v>郑州黄河护理职业学院</v>
      </c>
      <c r="F5585" s="1" t="str">
        <f t="shared" ref="F5585:F5591" si="2774">"护理学"</f>
        <v>护理学</v>
      </c>
      <c r="G5585" s="1" t="str">
        <f>"驻马店市驿城区健康路与张西街交叉口"</f>
        <v>驻马店市驿城区健康路与张西街交叉口</v>
      </c>
      <c r="H5585" s="1" t="str">
        <f>"护士执业资格证书"</f>
        <v>护士执业资格证书</v>
      </c>
      <c r="I5585" s="1" t="str">
        <f>"202009-202307 郑州黄河护理职业学院就读护理学专业，是全日制专科，202307-至今待业"</f>
        <v>202009-202307 郑州黄河护理职业学院就读护理学专业，是全日制专科，202307-至今待业</v>
      </c>
    </row>
    <row r="5586" spans="1:9">
      <c r="A5586" s="1" t="str">
        <f>"411325199809222049"</f>
        <v>411325199809222049</v>
      </c>
      <c r="B5586" s="1" t="str">
        <f t="shared" si="2773"/>
        <v>群众</v>
      </c>
      <c r="C5586" s="1" t="str">
        <f t="shared" ref="C5586:C5591" si="2775">"本科"</f>
        <v>本科</v>
      </c>
      <c r="D5586" s="1" t="str">
        <f>"20200701"</f>
        <v>20200701</v>
      </c>
      <c r="E5586" s="1" t="str">
        <f>"河南中医药大学"</f>
        <v>河南中医药大学</v>
      </c>
      <c r="F5586" s="1" t="str">
        <f t="shared" si="2774"/>
        <v>护理学</v>
      </c>
      <c r="G5586" s="1" t="str">
        <f>"河南省南阳市内乡县师岗镇"</f>
        <v>河南省南阳市内乡县师岗镇</v>
      </c>
      <c r="H5586" s="1" t="str">
        <f>"护士资格证"</f>
        <v>护士资格证</v>
      </c>
      <c r="I5586" s="1" t="str">
        <f>"2016 09 - 2020 07 河南中医药大学 全日制 本科 就读"</f>
        <v>2016 09 - 2020 07 河南中医药大学 全日制 本科 就读</v>
      </c>
    </row>
    <row r="5587" spans="1:9">
      <c r="A5587" s="1" t="str">
        <f>"411328199112086760"</f>
        <v>411328199112086760</v>
      </c>
      <c r="B5587" s="1" t="str">
        <f t="shared" si="2773"/>
        <v>群众</v>
      </c>
      <c r="C5587" s="1" t="str">
        <f t="shared" ref="C5587:C5589" si="2776">"专科"</f>
        <v>专科</v>
      </c>
      <c r="D5587" s="1" t="str">
        <f>"20140701"</f>
        <v>20140701</v>
      </c>
      <c r="E5587" s="1" t="str">
        <f>"商丘市高等医学专科学校"</f>
        <v>商丘市高等医学专科学校</v>
      </c>
      <c r="F5587" s="1" t="str">
        <f>"临床医学"</f>
        <v>临床医学</v>
      </c>
      <c r="G5587" s="1" t="str">
        <f>"内乡县建业小区"</f>
        <v>内乡县建业小区</v>
      </c>
      <c r="H5587" s="1" t="str">
        <f>"执业医师"</f>
        <v>执业医师</v>
      </c>
      <c r="I5587" s="1" t="str">
        <f>"201109-201406在商丘医学高等专科学校，临床医学专业就读"</f>
        <v>201109-201406在商丘医学高等专科学校，临床医学专业就读</v>
      </c>
    </row>
    <row r="5588" spans="1:9">
      <c r="A5588" s="1" t="str">
        <f>"411327200101034921"</f>
        <v>411327200101034921</v>
      </c>
      <c r="B5588" s="1" t="str">
        <f t="shared" si="2773"/>
        <v>群众</v>
      </c>
      <c r="C5588" s="1" t="str">
        <f t="shared" si="2776"/>
        <v>专科</v>
      </c>
      <c r="D5588" s="1" t="str">
        <f>"20200630"</f>
        <v>20200630</v>
      </c>
      <c r="E5588" s="1" t="str">
        <f>"南阳医学高等专科学校"</f>
        <v>南阳医学高等专科学校</v>
      </c>
      <c r="F5588" s="1" t="str">
        <f>"药品经营与管理"</f>
        <v>药品经营与管理</v>
      </c>
      <c r="G5588" s="1" t="str">
        <f>"内乡县大成路大成相府"</f>
        <v>内乡县大成路大成相府</v>
      </c>
      <c r="H5588" s="1" t="str">
        <f t="shared" ref="H5588:H5593" si="2777">"无"</f>
        <v>无</v>
      </c>
      <c r="I5588" s="1" t="str">
        <f>"201509-202007南阳医学高等专科学校就读  药学系 药品经营与管理就读        是全日制学历
202007-202201南阳市天华生物科技集团有限公司  药品采购
202202-至今   灌涨镇卫生院药房  调剂"</f>
        <v>201509-202007南阳医学高等专科学校就读  药学系 药品经营与管理就读        是全日制学历
202007-202201南阳市天华生物科技集团有限公司  药品采购
202202-至今   灌涨镇卫生院药房  调剂</v>
      </c>
    </row>
    <row r="5589" spans="1:9">
      <c r="A5589" s="1" t="str">
        <f>"411327200304200037"</f>
        <v>411327200304200037</v>
      </c>
      <c r="B5589" s="1" t="str">
        <f>"共青团员"</f>
        <v>共青团员</v>
      </c>
      <c r="C5589" s="1" t="str">
        <f t="shared" si="2776"/>
        <v>专科</v>
      </c>
      <c r="D5589" s="1" t="str">
        <f>"20240701"</f>
        <v>20240701</v>
      </c>
      <c r="E5589" s="1" t="str">
        <f>"郑州澍青医学高等专科学校"</f>
        <v>郑州澍青医学高等专科学校</v>
      </c>
      <c r="F5589" s="1" t="str">
        <f t="shared" ref="F5589:F5594" si="2778">"临床医学"</f>
        <v>临床医学</v>
      </c>
      <c r="G5589" s="1" t="str">
        <f t="shared" ref="G5589:G5594" si="2779">"河南省南阳市内乡县"</f>
        <v>河南省南阳市内乡县</v>
      </c>
      <c r="H5589" s="1" t="str">
        <f t="shared" si="2777"/>
        <v>无</v>
      </c>
      <c r="I5589" s="1" t="str">
        <f>"202109—202407在郑州澍青医学高等专科学校 临床医学系就读 是全日制学历"</f>
        <v>202109—202407在郑州澍青医学高等专科学校 临床医学系就读 是全日制学历</v>
      </c>
    </row>
    <row r="5590" spans="1:9">
      <c r="A5590" s="1" t="str">
        <f>"411327200105202021"</f>
        <v>411327200105202021</v>
      </c>
      <c r="B5590" s="1" t="str">
        <f t="shared" ref="B5590:B5594" si="2780">"群众"</f>
        <v>群众</v>
      </c>
      <c r="C5590" s="1" t="str">
        <f t="shared" si="2775"/>
        <v>本科</v>
      </c>
      <c r="D5590" s="1" t="str">
        <f>"20250730"</f>
        <v>20250730</v>
      </c>
      <c r="E5590" s="1" t="str">
        <f>"黄河科技学院"</f>
        <v>黄河科技学院</v>
      </c>
      <c r="F5590" s="1" t="str">
        <f t="shared" si="2774"/>
        <v>护理学</v>
      </c>
      <c r="G5590" s="1" t="str">
        <f t="shared" si="2779"/>
        <v>河南省南阳市内乡县</v>
      </c>
      <c r="H5590" s="1" t="str">
        <f>"护士执业证书"</f>
        <v>护士执业证书</v>
      </c>
      <c r="I5590" s="1" t="str">
        <f>"201709-202007商丘工学院护理专业就读全日制
202007-202303菊谭医院就业
202303-202507黄河科技学院护理专业就读非全日制"</f>
        <v>201709-202007商丘工学院护理专业就读全日制
202007-202303菊谭医院就业
202303-202507黄河科技学院护理专业就读非全日制</v>
      </c>
    </row>
    <row r="5591" spans="1:9">
      <c r="A5591" s="1" t="str">
        <f>"411327199305241521"</f>
        <v>411327199305241521</v>
      </c>
      <c r="B5591" s="1" t="str">
        <f t="shared" si="2780"/>
        <v>群众</v>
      </c>
      <c r="C5591" s="1" t="str">
        <f t="shared" si="2775"/>
        <v>本科</v>
      </c>
      <c r="D5591" s="1" t="str">
        <f>"201507"</f>
        <v>201507</v>
      </c>
      <c r="E5591" s="1" t="str">
        <f>"郑州工业应用技术学院"</f>
        <v>郑州工业应用技术学院</v>
      </c>
      <c r="F5591" s="1" t="str">
        <f t="shared" si="2774"/>
        <v>护理学</v>
      </c>
      <c r="G5591" s="1" t="str">
        <f>"内乡县第二人民医院"</f>
        <v>内乡县第二人民医院</v>
      </c>
      <c r="H5591" s="1" t="str">
        <f>"护师技术资格证"</f>
        <v>护师技术资格证</v>
      </c>
      <c r="I5591" s="1" t="str">
        <f>"201109—201507   郑州工业应用技术学院医学院护理系就读
201508—2025至今   在内乡县第二人民医院上班
"</f>
        <v>201109—201507   郑州工业应用技术学院医学院护理系就读
201508—2025至今   在内乡县第二人民医院上班
</v>
      </c>
    </row>
    <row r="5592" spans="1:9">
      <c r="A5592" s="1" t="str">
        <f>"411330200002280826"</f>
        <v>411330200002280826</v>
      </c>
      <c r="B5592" s="1" t="str">
        <f t="shared" si="2780"/>
        <v>群众</v>
      </c>
      <c r="C5592" s="1" t="str">
        <f t="shared" ref="C5592:C5594" si="2781">"专科"</f>
        <v>专科</v>
      </c>
      <c r="D5592" s="1" t="str">
        <f>"20220701"</f>
        <v>20220701</v>
      </c>
      <c r="E5592" s="1" t="str">
        <f>"三门峡职业技术学院"</f>
        <v>三门峡职业技术学院</v>
      </c>
      <c r="F5592" s="1" t="str">
        <f>"护理"</f>
        <v>护理</v>
      </c>
      <c r="G5592" s="1" t="str">
        <f>"河南省南阳市西峡县"</f>
        <v>河南省南阳市西峡县</v>
      </c>
      <c r="H5592" s="1" t="str">
        <f>"护士资格证初级"</f>
        <v>护士资格证初级</v>
      </c>
      <c r="I5592" s="1" t="str">
        <f>"201909-202207三门峡职业技术学院医护系就读护理专业是全日制学历"</f>
        <v>201909-202207三门峡职业技术学院医护系就读护理专业是全日制学历</v>
      </c>
    </row>
    <row r="5593" spans="1:9">
      <c r="A5593" s="1" t="str">
        <f>"411327200303060060"</f>
        <v>411327200303060060</v>
      </c>
      <c r="B5593" s="1" t="str">
        <f t="shared" si="2780"/>
        <v>群众</v>
      </c>
      <c r="C5593" s="1" t="str">
        <f t="shared" si="2781"/>
        <v>专科</v>
      </c>
      <c r="D5593" s="1" t="str">
        <f>"20240607"</f>
        <v>20240607</v>
      </c>
      <c r="E5593" s="1" t="str">
        <f>"商丘医学高等专科学校"</f>
        <v>商丘医学高等专科学校</v>
      </c>
      <c r="F5593" s="1" t="str">
        <f t="shared" si="2778"/>
        <v>临床医学</v>
      </c>
      <c r="G5593" s="1" t="str">
        <f t="shared" si="2779"/>
        <v>河南省南阳市内乡县</v>
      </c>
      <c r="H5593" s="1" t="str">
        <f t="shared" si="2777"/>
        <v>无</v>
      </c>
      <c r="I5593" s="1" t="str">
        <f>"202406-202109 商丘医学高等专科学校  全日制
202106-201809 河南省南阳市内乡县实验高级中学 全日制
201806-201509 河南省南阳市内乡县实验初中 全日制
201506-200909 河南省南阳市内乡县第五小学 全日制
"</f>
        <v>202406-202109 商丘医学高等专科学校  全日制
202106-201809 河南省南阳市内乡县实验高级中学 全日制
201806-201509 河南省南阳市内乡县实验初中 全日制
201506-200909 河南省南阳市内乡县第五小学 全日制
</v>
      </c>
    </row>
    <row r="5594" spans="1:9">
      <c r="A5594" s="1" t="str">
        <f>"411327200111262549"</f>
        <v>411327200111262549</v>
      </c>
      <c r="B5594" s="1" t="str">
        <f t="shared" si="2780"/>
        <v>群众</v>
      </c>
      <c r="C5594" s="1" t="str">
        <f t="shared" si="2781"/>
        <v>专科</v>
      </c>
      <c r="D5594" s="1" t="str">
        <f>"2022-07-01"</f>
        <v>2022-07-01</v>
      </c>
      <c r="E5594" s="1" t="str">
        <f>"洛阳职业技术学院"</f>
        <v>洛阳职业技术学院</v>
      </c>
      <c r="F5594" s="1" t="str">
        <f t="shared" si="2778"/>
        <v>临床医学</v>
      </c>
      <c r="G5594" s="1" t="str">
        <f t="shared" si="2779"/>
        <v>河南省南阳市内乡县</v>
      </c>
      <c r="H5594" s="1" t="str">
        <f>"执业助理医师"</f>
        <v>执业助理医师</v>
      </c>
      <c r="I5594" s="1" t="str">
        <f>"201909-202207洛阳职业技术学院就读"</f>
        <v>201909-202207洛阳职业技术学院就读</v>
      </c>
    </row>
    <row r="5595" spans="1:9">
      <c r="A5595" s="1" t="str">
        <f>"61252420000301517X"</f>
        <v>61252420000301517X</v>
      </c>
      <c r="B5595" s="1" t="str">
        <f t="shared" ref="B5595:B5599" si="2782">"共青团员"</f>
        <v>共青团员</v>
      </c>
      <c r="C5595" s="1" t="str">
        <f>"本科"</f>
        <v>本科</v>
      </c>
      <c r="D5595" s="1" t="str">
        <f>"20220701"</f>
        <v>20220701</v>
      </c>
      <c r="E5595" s="1" t="str">
        <f>"西京学院"</f>
        <v>西京学院</v>
      </c>
      <c r="F5595" s="1" t="str">
        <f>"护理学"</f>
        <v>护理学</v>
      </c>
      <c r="G5595" s="1" t="str">
        <f>"陕西省商洛市商南县长新路361号"</f>
        <v>陕西省商洛市商南县长新路361号</v>
      </c>
      <c r="H5595" s="1" t="str">
        <f>"护士执业资格证 202361003879"</f>
        <v>护士执业资格证 202361003879</v>
      </c>
      <c r="I5595" s="1" t="str">
        <f>"201808-202207就读于西京学院护理专业
202209-202405就职于国力医院从事护理工作
202405-202501就职于璟丰医院从事护理工作
202501-202505就职于商南县妇幼保健院从事康复护理工作
202505-至今待业"</f>
        <v>201808-202207就读于西京学院护理专业
202209-202405就职于国力医院从事护理工作
202405-202501就职于璟丰医院从事护理工作
202501-202505就职于商南县妇幼保健院从事康复护理工作
202505-至今待业</v>
      </c>
    </row>
    <row r="5596" spans="1:9">
      <c r="A5596" s="1" t="str">
        <f>"411381200005015649"</f>
        <v>411381200005015649</v>
      </c>
      <c r="B5596" s="1" t="str">
        <f t="shared" si="2782"/>
        <v>共青团员</v>
      </c>
      <c r="C5596" s="1" t="str">
        <f t="shared" ref="C5596:C5598" si="2783">"专科"</f>
        <v>专科</v>
      </c>
      <c r="D5596" s="1" t="str">
        <f>"20210701"</f>
        <v>20210701</v>
      </c>
      <c r="E5596" s="1" t="str">
        <f>"济源职业技术学院"</f>
        <v>济源职业技术学院</v>
      </c>
      <c r="F5596" s="1" t="str">
        <f>"药学"</f>
        <v>药学</v>
      </c>
      <c r="G5596" s="1" t="str">
        <f>"河南省邓州市花洲街道皇马国际"</f>
        <v>河南省邓州市花洲街道皇马国际</v>
      </c>
      <c r="H5596" s="1" t="str">
        <f>"药士"</f>
        <v>药士</v>
      </c>
      <c r="I5596" s="1" t="str">
        <f>"201807-202107 济源职业技术学院就读 202108-202202华润三九有限公司就职  202203-202302 邓州惠安医院就职 202303-至今邓州市中心医院就职"</f>
        <v>201807-202107 济源职业技术学院就读 202108-202202华润三九有限公司就职  202203-202302 邓州惠安医院就职 202303-至今邓州市中心医院就职</v>
      </c>
    </row>
    <row r="5597" spans="1:9">
      <c r="A5597" s="1" t="str">
        <f>"411327199003051546"</f>
        <v>411327199003051546</v>
      </c>
      <c r="B5597" s="1" t="str">
        <f t="shared" ref="B5597:B5600" si="2784">"群众"</f>
        <v>群众</v>
      </c>
      <c r="C5597" s="1" t="str">
        <f t="shared" si="2783"/>
        <v>专科</v>
      </c>
      <c r="D5597" s="1" t="str">
        <f>"20230630"</f>
        <v>20230630</v>
      </c>
      <c r="E5597" s="1" t="str">
        <f>"南阳科技职业学校"</f>
        <v>南阳科技职业学校</v>
      </c>
      <c r="F5597" s="1" t="str">
        <f>"护理"</f>
        <v>护理</v>
      </c>
      <c r="G5597" s="1" t="str">
        <f>"河南省南阳市内乡县城关镇南园村二组"</f>
        <v>河南省南阳市内乡县城关镇南园村二组</v>
      </c>
      <c r="H5597" s="1" t="str">
        <f>"卫生专业技术资格证"</f>
        <v>卫生专业技术资格证</v>
      </c>
      <c r="I5597" s="1" t="str">
        <f>"201609-201906郑州树青学院就读  农村医学 全日制中专
202012-202306南阳科技职业学院   护理学     全日制大专"</f>
        <v>201609-201906郑州树青学院就读  农村医学 全日制中专
202012-202306南阳科技职业学院   护理学     全日制大专</v>
      </c>
    </row>
    <row r="5598" spans="1:9">
      <c r="A5598" s="1" t="str">
        <f>"411303199903022416"</f>
        <v>411303199903022416</v>
      </c>
      <c r="B5598" s="1" t="str">
        <f t="shared" si="2784"/>
        <v>群众</v>
      </c>
      <c r="C5598" s="1" t="str">
        <f t="shared" si="2783"/>
        <v>专科</v>
      </c>
      <c r="D5598" s="1" t="str">
        <f>"20200631"</f>
        <v>20200631</v>
      </c>
      <c r="E5598" s="1" t="str">
        <f>"石家庄人民医学高等专科学校"</f>
        <v>石家庄人民医学高等专科学校</v>
      </c>
      <c r="F5598" s="1" t="str">
        <f>"中医学"</f>
        <v>中医学</v>
      </c>
      <c r="G5598" s="1" t="str">
        <f>"河南省南阳市卧龙区蒲山镇"</f>
        <v>河南省南阳市卧龙区蒲山镇</v>
      </c>
      <c r="H5598" s="1" t="str">
        <f>"无"</f>
        <v>无</v>
      </c>
      <c r="I5598" s="1" t="str">
        <f>"2017.09-2020.06在石家庄人民医学高等专科学校中医系中医学就读，全日制专科学历
"</f>
        <v>2017.09-2020.06在石家庄人民医学高等专科学校中医系中医学就读，全日制专科学历
</v>
      </c>
    </row>
    <row r="5599" spans="1:9">
      <c r="A5599" s="1" t="str">
        <f>"411327200103111126"</f>
        <v>411327200103111126</v>
      </c>
      <c r="B5599" s="1" t="str">
        <f t="shared" si="2782"/>
        <v>共青团员</v>
      </c>
      <c r="C5599" s="1" t="str">
        <f t="shared" ref="C5599:C5602" si="2785">"本科"</f>
        <v>本科</v>
      </c>
      <c r="D5599" s="1" t="str">
        <f>"20230702"</f>
        <v>20230702</v>
      </c>
      <c r="E5599" s="1" t="str">
        <f>"内蒙古科技大学"</f>
        <v>内蒙古科技大学</v>
      </c>
      <c r="F5599" s="1" t="str">
        <f>"医学检验技术"</f>
        <v>医学检验技术</v>
      </c>
      <c r="G5599" s="1" t="str">
        <f>"河南省南阳市内乡县赤眉镇"</f>
        <v>河南省南阳市内乡县赤眉镇</v>
      </c>
      <c r="H5599" s="1" t="str">
        <f>"无"</f>
        <v>无</v>
      </c>
      <c r="I5599" s="1" t="str">
        <f>"201908-202307 在内蒙古科技大学就读
202307-至今 待业"</f>
        <v>201908-202307 在内蒙古科技大学就读
202307-至今 待业</v>
      </c>
    </row>
    <row r="5600" spans="1:9">
      <c r="A5600" s="1" t="str">
        <f>"411327199807054929"</f>
        <v>411327199807054929</v>
      </c>
      <c r="B5600" s="1" t="str">
        <f t="shared" si="2784"/>
        <v>群众</v>
      </c>
      <c r="C5600" s="1" t="str">
        <f t="shared" ref="C5600:C5607" si="2786">"专科"</f>
        <v>专科</v>
      </c>
      <c r="D5600" s="1" t="str">
        <f>"20190701"</f>
        <v>20190701</v>
      </c>
      <c r="E5600" s="1" t="str">
        <f>"郑州黄河护理职业学院"</f>
        <v>郑州黄河护理职业学院</v>
      </c>
      <c r="F5600" s="1" t="str">
        <f>"护理学"</f>
        <v>护理学</v>
      </c>
      <c r="G5600" s="1" t="str">
        <f>"河南省南阳市内乡县灌涨镇"</f>
        <v>河南省南阳市内乡县灌涨镇</v>
      </c>
      <c r="H5600" s="1" t="str">
        <f>"护士证 "</f>
        <v>护士证 </v>
      </c>
      <c r="I5600" s="1" t="str">
        <f>"201609-2019-06在郑州黄河护理职业学院  护理专业就读
  是全日制大专"</f>
        <v>201609-2019-06在郑州黄河护理职业学院  护理专业就读
  是全日制大专</v>
      </c>
    </row>
    <row r="5601" spans="1:9">
      <c r="A5601" s="1" t="str">
        <f>"640322199802072167"</f>
        <v>640322199802072167</v>
      </c>
      <c r="B5601" s="1" t="str">
        <f>"共青团员"</f>
        <v>共青团员</v>
      </c>
      <c r="C5601" s="1" t="str">
        <f t="shared" si="2785"/>
        <v>本科</v>
      </c>
      <c r="D5601" s="1" t="str">
        <f>"20200701"</f>
        <v>20200701</v>
      </c>
      <c r="E5601" s="1" t="str">
        <f>"郑州工业应用技术学院"</f>
        <v>郑州工业应用技术学院</v>
      </c>
      <c r="F5601" s="1" t="str">
        <f>"护理学"</f>
        <v>护理学</v>
      </c>
      <c r="G5601" s="1" t="str">
        <f>"宁夏回族自治区中宁县殷庄一队小康村064号"</f>
        <v>宁夏回族自治区中宁县殷庄一队小康村064号</v>
      </c>
      <c r="H5601" s="1" t="str">
        <f>"护士执业资格证"</f>
        <v>护士执业资格证</v>
      </c>
      <c r="I5601" s="1" t="str">
        <f>"201309-201607就读于中宁县第一中学；
201609-202007就读于郑州工业应用技术学院护理学专业；
202007-202109未就业；
202109-202302就职于宁夏现代高级技工学校担任护理专业教师；
202302-202407就职于石河子卫生学校担任护理专业教师；
202407-至今待业。"</f>
        <v>201309-201607就读于中宁县第一中学；
201609-202007就读于郑州工业应用技术学院护理学专业；
202007-202109未就业；
202109-202302就职于宁夏现代高级技工学校担任护理专业教师；
202302-202407就职于石河子卫生学校担任护理专业教师；
202407-至今待业。</v>
      </c>
    </row>
    <row r="5602" spans="1:9">
      <c r="A5602" s="1" t="str">
        <f>"411327199710121144"</f>
        <v>411327199710121144</v>
      </c>
      <c r="B5602" s="1" t="str">
        <f t="shared" ref="B5602:B5606" si="2787">"群众"</f>
        <v>群众</v>
      </c>
      <c r="C5602" s="1" t="str">
        <f t="shared" si="2785"/>
        <v>本科</v>
      </c>
      <c r="D5602" s="1" t="str">
        <f>"20200701"</f>
        <v>20200701</v>
      </c>
      <c r="E5602" s="1" t="str">
        <f>"新乡医学院"</f>
        <v>新乡医学院</v>
      </c>
      <c r="F5602" s="1" t="str">
        <f>"医学检验技术"</f>
        <v>医学检验技术</v>
      </c>
      <c r="G5602" s="1" t="str">
        <f>"河南省南阳市内乡县"</f>
        <v>河南省南阳市内乡县</v>
      </c>
      <c r="H5602" s="1" t="str">
        <f>"初级师"</f>
        <v>初级师</v>
      </c>
      <c r="I5602" s="1" t="str">
        <f>"201509-201807河南医学高等专科学校医学检验系医学检验技术专业就读，是全日制学历。
201809-202007新乡医学院医学检验系医学检验技术专业就读，是全日制学历。"</f>
        <v>201509-201807河南医学高等专科学校医学检验系医学检验技术专业就读，是全日制学历。
201809-202007新乡医学院医学检验系医学检验技术专业就读，是全日制学历。</v>
      </c>
    </row>
    <row r="5603" spans="1:9">
      <c r="A5603" s="1" t="str">
        <f>"411327200109301123"</f>
        <v>411327200109301123</v>
      </c>
      <c r="B5603" s="1" t="str">
        <f>"共青团员"</f>
        <v>共青团员</v>
      </c>
      <c r="C5603" s="1" t="str">
        <f t="shared" si="2786"/>
        <v>专科</v>
      </c>
      <c r="D5603" s="1" t="str">
        <f>"20230701"</f>
        <v>20230701</v>
      </c>
      <c r="E5603" s="1" t="str">
        <f>"平顶山学院"</f>
        <v>平顶山学院</v>
      </c>
      <c r="F5603" s="1" t="str">
        <f>"护理"</f>
        <v>护理</v>
      </c>
      <c r="G5603" s="1" t="str">
        <f>"河南省内乡县郦都国际1期"</f>
        <v>河南省内乡县郦都国际1期</v>
      </c>
      <c r="H5603" s="1" t="str">
        <f>"护士资格证初级（士）  养老护理员证三级/高级工"</f>
        <v>护士资格证初级（士）  养老护理员证三级/高级工</v>
      </c>
      <c r="I5603" s="1" t="str">
        <f>"202009—202307 平顶山学院医学院护理专业就读"</f>
        <v>202009—202307 平顶山学院医学院护理专业就读</v>
      </c>
    </row>
    <row r="5604" spans="1:9">
      <c r="A5604" s="1" t="str">
        <f>"411327200311040086"</f>
        <v>411327200311040086</v>
      </c>
      <c r="B5604" s="1" t="str">
        <f t="shared" si="2787"/>
        <v>群众</v>
      </c>
      <c r="C5604" s="1" t="str">
        <f t="shared" si="2786"/>
        <v>专科</v>
      </c>
      <c r="D5604" s="1" t="str">
        <f>"202507027"</f>
        <v>202507027</v>
      </c>
      <c r="E5604" s="1" t="str">
        <f>"郑州黄河护理职业学院"</f>
        <v>郑州黄河护理职业学院</v>
      </c>
      <c r="F5604" s="1" t="str">
        <f>"护理专业"</f>
        <v>护理专业</v>
      </c>
      <c r="G5604" s="1" t="str">
        <f>"河南省南阳市内乡县"</f>
        <v>河南省南阳市内乡县</v>
      </c>
      <c r="H5604" s="1" t="str">
        <f>"护士资格证书"</f>
        <v>护士资格证书</v>
      </c>
      <c r="I5604" s="1" t="str">
        <f>"2022年九月到2025年七月在郑州黄河护理职业学院就读护理系为全日制专科学历，2020年九月到2022面七月高中在第四高级中学就读，2018年9九月烦2020年七月初中内乡初级中学就读，小学在第三小学就读"</f>
        <v>2022年九月到2025年七月在郑州黄河护理职业学院就读护理系为全日制专科学历，2020年九月到2022面七月高中在第四高级中学就读，2018年9九月烦2020年七月初中内乡初级中学就读，小学在第三小学就读</v>
      </c>
    </row>
    <row r="5605" spans="1:9">
      <c r="A5605" s="1" t="str">
        <f>"411381200410127636"</f>
        <v>411381200410127636</v>
      </c>
      <c r="B5605" s="1" t="str">
        <f t="shared" si="2787"/>
        <v>群众</v>
      </c>
      <c r="C5605" s="1" t="str">
        <f t="shared" si="2786"/>
        <v>专科</v>
      </c>
      <c r="D5605" s="1" t="str">
        <f>"20250514"</f>
        <v>20250514</v>
      </c>
      <c r="E5605" s="1" t="str">
        <f>"河南推拿职业学院"</f>
        <v>河南推拿职业学院</v>
      </c>
      <c r="F5605" s="1" t="str">
        <f>"中医学"</f>
        <v>中医学</v>
      </c>
      <c r="G5605" s="1" t="str">
        <f>"河南省邓州市桑庄镇湖堰村王湖63号"</f>
        <v>河南省邓州市桑庄镇湖堰村王湖63号</v>
      </c>
      <c r="H5605" s="1" t="str">
        <f>"无"</f>
        <v>无</v>
      </c>
      <c r="I5605" s="1" t="str">
        <f>"202209-202505 河南推拿职业学院中医系中医学专业就读，普通全日制。"</f>
        <v>202209-202505 河南推拿职业学院中医系中医学专业就读，普通全日制。</v>
      </c>
    </row>
    <row r="5606" spans="1:9">
      <c r="A5606" s="1" t="str">
        <f>"412822199712010057"</f>
        <v>412822199712010057</v>
      </c>
      <c r="B5606" s="1" t="str">
        <f t="shared" si="2787"/>
        <v>群众</v>
      </c>
      <c r="C5606" s="1" t="str">
        <f t="shared" si="2786"/>
        <v>专科</v>
      </c>
      <c r="D5606" s="1" t="str">
        <f>"20191226"</f>
        <v>20191226</v>
      </c>
      <c r="E5606" s="1" t="str">
        <f>"南阳医学高等专科学校"</f>
        <v>南阳医学高等专科学校</v>
      </c>
      <c r="F5606" s="1" t="str">
        <f t="shared" ref="F5606:F5609" si="2788">"临床医学"</f>
        <v>临床医学</v>
      </c>
      <c r="G5606" s="1" t="str">
        <f>"河南省驻马店市泌阳县泌水街道工农路北"</f>
        <v>河南省驻马店市泌阳县泌水街道工农路北</v>
      </c>
      <c r="H5606" s="1" t="str">
        <f>"执业助理医师"</f>
        <v>执业助理医师</v>
      </c>
      <c r="I5606" s="1" t="str">
        <f>"201609-201906南阳医学高等专科学校就读
201912-202506泌阳县第三人民医院（临时工）
202506-至今 待业"</f>
        <v>201609-201906南阳医学高等专科学校就读
201912-202506泌阳县第三人民医院（临时工）
202506-至今 待业</v>
      </c>
    </row>
    <row r="5607" spans="1:9">
      <c r="A5607" s="1" t="str">
        <f>"411327200003064297"</f>
        <v>411327200003064297</v>
      </c>
      <c r="B5607" s="1" t="str">
        <f t="shared" ref="B5607:B5613" si="2789">"共青团员"</f>
        <v>共青团员</v>
      </c>
      <c r="C5607" s="1" t="str">
        <f t="shared" si="2786"/>
        <v>专科</v>
      </c>
      <c r="D5607" s="1" t="str">
        <f>"20220701"</f>
        <v>20220701</v>
      </c>
      <c r="E5607" s="1" t="str">
        <f>"洛阳职业技术学院"</f>
        <v>洛阳职业技术学院</v>
      </c>
      <c r="F5607" s="1" t="str">
        <f t="shared" si="2788"/>
        <v>临床医学</v>
      </c>
      <c r="G5607" s="1" t="str">
        <f>"河南省内乡县余关乡石庙村王南24号"</f>
        <v>河南省内乡县余关乡石庙村王南24号</v>
      </c>
      <c r="H5607" s="1" t="str">
        <f>"助理医师资格证，初级职称"</f>
        <v>助理医师资格证，初级职称</v>
      </c>
      <c r="I5607" s="1" t="str">
        <f>"201909-202207 洛阳职业技术学院就读 临床医学院临床医学专业，全日制学历，202207在内乡县第二人民医院工作，202309-2025至今在内乡县人民医院规培学习"</f>
        <v>201909-202207 洛阳职业技术学院就读 临床医学院临床医学专业，全日制学历，202207在内乡县第二人民医院工作，202309-2025至今在内乡县人民医院规培学习</v>
      </c>
    </row>
    <row r="5608" spans="1:9">
      <c r="A5608" s="1" t="str">
        <f>"41132519980321454X"</f>
        <v>41132519980321454X</v>
      </c>
      <c r="B5608" s="1" t="str">
        <f t="shared" ref="B5608:B5610" si="2790">"群众"</f>
        <v>群众</v>
      </c>
      <c r="C5608" s="1" t="str">
        <f t="shared" ref="C5608:C5613" si="2791">"本科"</f>
        <v>本科</v>
      </c>
      <c r="D5608" s="1" t="str">
        <f>"20210708"</f>
        <v>20210708</v>
      </c>
      <c r="E5608" s="1" t="str">
        <f>"郑州西亚斯学校"</f>
        <v>郑州西亚斯学校</v>
      </c>
      <c r="F5608" s="1" t="str">
        <f>"护理学"</f>
        <v>护理学</v>
      </c>
      <c r="G5608" s="1" t="str">
        <f>"河南省南阳市"</f>
        <v>河南省南阳市</v>
      </c>
      <c r="H5608" s="1" t="str">
        <f>"初级护师资格证"</f>
        <v>初级护师资格证</v>
      </c>
      <c r="I5608" s="1" t="str">
        <f>"201909-2021.07郑州西亚斯学校就读全日制护理专业
202205-至今在南阳张仲景医院就职"</f>
        <v>201909-2021.07郑州西亚斯学校就读全日制护理专业
202205-至今在南阳张仲景医院就职</v>
      </c>
    </row>
    <row r="5609" spans="1:9">
      <c r="A5609" s="1" t="str">
        <f>"411327199401253725"</f>
        <v>411327199401253725</v>
      </c>
      <c r="B5609" s="1" t="str">
        <f t="shared" si="2790"/>
        <v>群众</v>
      </c>
      <c r="C5609" s="1" t="str">
        <f t="shared" ref="C5609:C5611" si="2792">"专科"</f>
        <v>专科</v>
      </c>
      <c r="D5609" s="1" t="str">
        <f>"20150701"</f>
        <v>20150701</v>
      </c>
      <c r="E5609" s="1" t="str">
        <f>"南阳医学高等专科学校"</f>
        <v>南阳医学高等专科学校</v>
      </c>
      <c r="F5609" s="1" t="str">
        <f t="shared" si="2788"/>
        <v>临床医学</v>
      </c>
      <c r="G5609" s="1" t="str">
        <f>"河南省内乡县湍东镇"</f>
        <v>河南省内乡县湍东镇</v>
      </c>
      <c r="H5609" s="1" t="str">
        <f>"执业医师"</f>
        <v>执业医师</v>
      </c>
      <c r="I5609" s="1" t="str">
        <f>"201209-201507在南阳医学高等专科学校临床医学系全日制就读
201509-202010在内乡县菊潭医院
202011-至今在内乡县中医院"</f>
        <v>201209-201507在南阳医学高等专科学校临床医学系全日制就读
201509-202010在内乡县菊潭医院
202011-至今在内乡县中医院</v>
      </c>
    </row>
    <row r="5610" spans="1:9">
      <c r="A5610" s="1" t="str">
        <f>"411327200207104529"</f>
        <v>411327200207104529</v>
      </c>
      <c r="B5610" s="1" t="str">
        <f t="shared" si="2790"/>
        <v>群众</v>
      </c>
      <c r="C5610" s="1" t="str">
        <f t="shared" si="2792"/>
        <v>专科</v>
      </c>
      <c r="D5610" s="1" t="str">
        <f>"20230630"</f>
        <v>20230630</v>
      </c>
      <c r="E5610" s="1" t="str">
        <f>"河南护理职业学院"</f>
        <v>河南护理职业学院</v>
      </c>
      <c r="F5610" s="1" t="str">
        <f>"护理"</f>
        <v>护理</v>
      </c>
      <c r="G5610" s="1" t="str">
        <f>"河南省南阳市内乡县赵店乡梁家沟"</f>
        <v>河南省南阳市内乡县赵店乡梁家沟</v>
      </c>
      <c r="H5610" s="1" t="str">
        <f>"护士执业证书 初级（护士）"</f>
        <v>护士执业证书 初级（护士）</v>
      </c>
      <c r="I5610" s="1" t="str">
        <f>"2020.09-2023.06在河南护理职业学院护理系护理专业就读全日制专科
2023.07-至今 在内乡县第二人民医院工作"</f>
        <v>2020.09-2023.06在河南护理职业学院护理系护理专业就读全日制专科
2023.07-至今 在内乡县第二人民医院工作</v>
      </c>
    </row>
    <row r="5611" spans="1:9">
      <c r="A5611" s="1" t="str">
        <f>"411327200105232044"</f>
        <v>411327200105232044</v>
      </c>
      <c r="B5611" s="1" t="str">
        <f t="shared" si="2789"/>
        <v>共青团员</v>
      </c>
      <c r="C5611" s="1" t="str">
        <f t="shared" si="2792"/>
        <v>专科</v>
      </c>
      <c r="D5611" s="1" t="str">
        <f>"20240701"</f>
        <v>20240701</v>
      </c>
      <c r="E5611" s="1" t="str">
        <f>"郑州澍青医学高等专科学校"</f>
        <v>郑州澍青医学高等专科学校</v>
      </c>
      <c r="F5611" s="1" t="str">
        <f>"中医康复技术"</f>
        <v>中医康复技术</v>
      </c>
      <c r="G5611" s="1" t="str">
        <f>"河南省南阳市内乡县师岗镇"</f>
        <v>河南省南阳市内乡县师岗镇</v>
      </c>
      <c r="H5611" s="1" t="str">
        <f t="shared" ref="H5611:H5616" si="2793">"无"</f>
        <v>无</v>
      </c>
      <c r="I5611" s="1" t="str">
        <f>"202109—202407  郑州澍青医学高等专科学校 康复医学系中医康复技术（全日制专科）
201909—202107  内乡县第三高级中学
"</f>
        <v>202109—202407  郑州澍青医学高等专科学校 康复医学系中医康复技术（全日制专科）
201909—202107  内乡县第三高级中学
</v>
      </c>
    </row>
    <row r="5612" spans="1:9">
      <c r="A5612" s="1" t="str">
        <f>"411726200403167960"</f>
        <v>411726200403167960</v>
      </c>
      <c r="B5612" s="1" t="str">
        <f t="shared" si="2789"/>
        <v>共青团员</v>
      </c>
      <c r="C5612" s="1" t="str">
        <f t="shared" si="2791"/>
        <v>本科</v>
      </c>
      <c r="D5612" s="1" t="str">
        <f>"20250627"</f>
        <v>20250627</v>
      </c>
      <c r="E5612" s="1" t="str">
        <f>"牡丹江医科大学"</f>
        <v>牡丹江医科大学</v>
      </c>
      <c r="F5612" s="1" t="str">
        <f>"医学检验技术"</f>
        <v>医学检验技术</v>
      </c>
      <c r="G5612" s="1" t="str">
        <f>"河南省驻马店市泌阳县下碑寺乡街南"</f>
        <v>河南省驻马店市泌阳县下碑寺乡街南</v>
      </c>
      <c r="H5612" s="1" t="str">
        <f t="shared" si="2793"/>
        <v>无</v>
      </c>
      <c r="I5612" s="1" t="str">
        <f>"202109-202506 牡丹江医科大学第一临床医学院医学检验技术专业就读，为全日制学历，无间断"</f>
        <v>202109-202506 牡丹江医科大学第一临床医学院医学检验技术专业就读，为全日制学历，无间断</v>
      </c>
    </row>
    <row r="5613" spans="1:9">
      <c r="A5613" s="1" t="str">
        <f>"411330200012030820"</f>
        <v>411330200012030820</v>
      </c>
      <c r="B5613" s="1" t="str">
        <f t="shared" si="2789"/>
        <v>共青团员</v>
      </c>
      <c r="C5613" s="1" t="str">
        <f t="shared" si="2791"/>
        <v>本科</v>
      </c>
      <c r="D5613" s="1" t="str">
        <f>"2024-06-15"</f>
        <v>2024-06-15</v>
      </c>
      <c r="E5613" s="1" t="str">
        <f>"黄淮学院"</f>
        <v>黄淮学院</v>
      </c>
      <c r="F5613" s="1" t="str">
        <f>"护理学"</f>
        <v>护理学</v>
      </c>
      <c r="G5613" s="1" t="str">
        <f>"河南省南阳市西峡县莲花后岗"</f>
        <v>河南省南阳市西峡县莲花后岗</v>
      </c>
      <c r="H5613" s="1" t="str">
        <f>"护士资格证 初级"</f>
        <v>护士资格证 初级</v>
      </c>
      <c r="I5613" s="1" t="str">
        <f>"201909-202206  南阳医学高等专科学校   全日制学历
202209-202406  黄淮学院   全日制学历"</f>
        <v>201909-202206  南阳医学高等专科学校   全日制学历
202209-202406  黄淮学院   全日制学历</v>
      </c>
    </row>
    <row r="5614" spans="1:9">
      <c r="A5614" s="1" t="str">
        <f>"411303200309250024"</f>
        <v>411303200309250024</v>
      </c>
      <c r="B5614" s="1" t="str">
        <f t="shared" ref="B5614:B5616" si="2794">"群众"</f>
        <v>群众</v>
      </c>
      <c r="C5614" s="1" t="str">
        <f t="shared" ref="C5614:C5620" si="2795">"专科"</f>
        <v>专科</v>
      </c>
      <c r="D5614" s="1" t="str">
        <f>"20240701"</f>
        <v>20240701</v>
      </c>
      <c r="E5614" s="1" t="str">
        <f>"济源职业技术学院"</f>
        <v>济源职业技术学院</v>
      </c>
      <c r="F5614" s="1" t="str">
        <f>"护理"</f>
        <v>护理</v>
      </c>
      <c r="G5614" s="1" t="str">
        <f>"河南省南阳市卧龙区王村乡郑岗阳光都市"</f>
        <v>河南省南阳市卧龙区王村乡郑岗阳光都市</v>
      </c>
      <c r="H5614" s="1" t="str">
        <f>"护士资格证书"</f>
        <v>护士资格证书</v>
      </c>
      <c r="I5614" s="1" t="str">
        <f>"202109-202407在济源职业技术学院医学护理系就读，在校期间因成绩优异获得学院奖学金
202306-202402在南阳市中心医院实习获得优秀实习生
"</f>
        <v>202109-202407在济源职业技术学院医学护理系就读，在校期间因成绩优异获得学院奖学金
202306-202402在南阳市中心医院实习获得优秀实习生
</v>
      </c>
    </row>
    <row r="5615" spans="1:9">
      <c r="A5615" s="1" t="str">
        <f>"411327200208020036"</f>
        <v>411327200208020036</v>
      </c>
      <c r="B5615" s="1" t="str">
        <f t="shared" si="2794"/>
        <v>群众</v>
      </c>
      <c r="C5615" s="1" t="str">
        <f t="shared" ref="C5615:C5618" si="2796">"本科"</f>
        <v>本科</v>
      </c>
      <c r="D5615" s="1" t="str">
        <f>"2025.6.30"</f>
        <v>2025.6.30</v>
      </c>
      <c r="E5615" s="1" t="str">
        <f t="shared" ref="E5615:E5618" si="2797">"河南科技职业大学"</f>
        <v>河南科技职业大学</v>
      </c>
      <c r="F5615" s="1" t="str">
        <f>"康复治疗"</f>
        <v>康复治疗</v>
      </c>
      <c r="G5615" s="1" t="str">
        <f>"内乡县城关镇"</f>
        <v>内乡县城关镇</v>
      </c>
      <c r="H5615" s="1" t="str">
        <f t="shared" si="2793"/>
        <v>无</v>
      </c>
      <c r="I5615" s="1" t="str">
        <f>"2020年-2023年郑州工业应用技术学院就读
2023年-2025年河南科技职业大学就读"</f>
        <v>2020年-2023年郑州工业应用技术学院就读
2023年-2025年河南科技职业大学就读</v>
      </c>
    </row>
    <row r="5616" spans="1:9">
      <c r="A5616" s="1" t="str">
        <f>"411323200408212520"</f>
        <v>411323200408212520</v>
      </c>
      <c r="B5616" s="1" t="str">
        <f t="shared" si="2794"/>
        <v>群众</v>
      </c>
      <c r="C5616" s="1" t="str">
        <f t="shared" si="2795"/>
        <v>专科</v>
      </c>
      <c r="D5616" s="1" t="str">
        <f>"20250613"</f>
        <v>20250613</v>
      </c>
      <c r="E5616" s="1" t="str">
        <f>"河南医学高等专科学校"</f>
        <v>河南医学高等专科学校</v>
      </c>
      <c r="F5616" s="1" t="str">
        <f>"药学"</f>
        <v>药学</v>
      </c>
      <c r="G5616" s="1" t="str">
        <f>"河南省西峡县丁河镇"</f>
        <v>河南省西峡县丁河镇</v>
      </c>
      <c r="H5616" s="1" t="str">
        <f t="shared" si="2793"/>
        <v>无</v>
      </c>
      <c r="I5616" s="1" t="str">
        <f>"本人于2022年6月至2025年6月在河南医学高等专科学校就读，期间以考取普通话二级乙等证书，期间踊跃参加校内活动，毕业后在南阳待业。"</f>
        <v>本人于2022年6月至2025年6月在河南医学高等专科学校就读，期间以考取普通话二级乙等证书，期间踊跃参加校内活动，毕业后在南阳待业。</v>
      </c>
    </row>
    <row r="5617" spans="1:9">
      <c r="A5617" s="1" t="str">
        <f>"411381200207037125"</f>
        <v>411381200207037125</v>
      </c>
      <c r="B5617" s="1" t="str">
        <f>"共青团员"</f>
        <v>共青团员</v>
      </c>
      <c r="C5617" s="1" t="str">
        <f t="shared" si="2796"/>
        <v>本科</v>
      </c>
      <c r="D5617" s="1" t="str">
        <f>"2025-07-01"</f>
        <v>2025-07-01</v>
      </c>
      <c r="E5617" s="1" t="str">
        <f t="shared" si="2797"/>
        <v>河南科技职业大学</v>
      </c>
      <c r="F5617" s="1" t="str">
        <f>"护理"</f>
        <v>护理</v>
      </c>
      <c r="G5617" s="1" t="str">
        <f>"河南省邓州市文化路192号"</f>
        <v>河南省邓州市文化路192号</v>
      </c>
      <c r="H5617" s="1" t="str">
        <f>"护士资格证，护士执业证，高级老年照护证，高级健康管理师证,三级育婴员证"</f>
        <v>护士资格证，护士执业证，高级老年照护证，高级健康管理师证,三级育婴员证</v>
      </c>
      <c r="I5617" s="1" t="str">
        <f>"202010-202306 濮阳医学高等专科学校 为全日制专科
202309-202506 河南科技职业大学 为全日制本科"</f>
        <v>202010-202306 濮阳医学高等专科学校 为全日制专科
202309-202506 河南科技职业大学 为全日制本科</v>
      </c>
    </row>
    <row r="5618" spans="1:9">
      <c r="A5618" s="1" t="str">
        <f>"411303200201270496"</f>
        <v>411303200201270496</v>
      </c>
      <c r="B5618" s="1" t="str">
        <f>"共青团员"</f>
        <v>共青团员</v>
      </c>
      <c r="C5618" s="1" t="str">
        <f t="shared" si="2796"/>
        <v>本科</v>
      </c>
      <c r="D5618" s="1" t="str">
        <f>"20250620"</f>
        <v>20250620</v>
      </c>
      <c r="E5618" s="1" t="str">
        <f t="shared" si="2797"/>
        <v>河南科技职业大学</v>
      </c>
      <c r="F5618" s="1" t="str">
        <f>"康复治疗"</f>
        <v>康复治疗</v>
      </c>
      <c r="G5618" s="1" t="str">
        <f>"河南省南阳市内乡县"</f>
        <v>河南省南阳市内乡县</v>
      </c>
      <c r="H5618" s="1" t="str">
        <f t="shared" ref="H5618:H5621" si="2798">"无"</f>
        <v>无</v>
      </c>
      <c r="I5618" s="1" t="str">
        <f>"202010-202306 河南护理职业职业学院康复治疗技术就读，是全日制
202309-202506 河南科技职业大学康复治疗就读，是全日制"</f>
        <v>202010-202306 河南护理职业职业学院康复治疗技术就读，是全日制
202309-202506 河南科技职业大学康复治疗就读，是全日制</v>
      </c>
    </row>
    <row r="5619" spans="1:9">
      <c r="A5619" s="1" t="str">
        <f>"410581200305120264"</f>
        <v>410581200305120264</v>
      </c>
      <c r="B5619" s="1" t="str">
        <f t="shared" ref="B5619:B5624" si="2799">"群众"</f>
        <v>群众</v>
      </c>
      <c r="C5619" s="1" t="str">
        <f t="shared" si="2795"/>
        <v>专科</v>
      </c>
      <c r="D5619" s="1" t="str">
        <f>"20250628"</f>
        <v>20250628</v>
      </c>
      <c r="E5619" s="1" t="str">
        <f>"南阳医学高等专科学校"</f>
        <v>南阳医学高等专科学校</v>
      </c>
      <c r="F5619" s="1" t="str">
        <f>"中医学"</f>
        <v>中医学</v>
      </c>
      <c r="G5619" s="1" t="str">
        <f>"河南省安阳市林州市龙山街道天平社区麒麟盛鑫园"</f>
        <v>河南省安阳市林州市龙山街道天平社区麒麟盛鑫园</v>
      </c>
      <c r="H5619" s="1" t="str">
        <f t="shared" si="2798"/>
        <v>无</v>
      </c>
      <c r="I5619" s="1" t="str">
        <f>"202209-202506南阳医学高等专科学校中医学就读
202506-至今，暂无工作。"</f>
        <v>202209-202506南阳医学高等专科学校中医学就读
202506-至今，暂无工作。</v>
      </c>
    </row>
    <row r="5620" spans="1:9">
      <c r="A5620" s="1" t="str">
        <f>"41132620030124402X"</f>
        <v>41132620030124402X</v>
      </c>
      <c r="B5620" s="1" t="str">
        <f t="shared" si="2799"/>
        <v>群众</v>
      </c>
      <c r="C5620" s="1" t="str">
        <f t="shared" si="2795"/>
        <v>专科</v>
      </c>
      <c r="D5620" s="1" t="str">
        <f>"202307"</f>
        <v>202307</v>
      </c>
      <c r="E5620" s="1" t="str">
        <f>"南阳医学高等专科学校"</f>
        <v>南阳医学高等专科学校</v>
      </c>
      <c r="F5620" s="1" t="str">
        <f t="shared" ref="F5620:F5626" si="2800">"临床医学"</f>
        <v>临床医学</v>
      </c>
      <c r="G5620" s="1" t="str">
        <f>"南阳市"</f>
        <v>南阳市</v>
      </c>
      <c r="H5620" s="1" t="str">
        <f t="shared" si="2798"/>
        <v>无</v>
      </c>
      <c r="I5620" s="1" t="str">
        <f>"202009-202307南阳医学高等专科学校就读临床医学专业。"</f>
        <v>202009-202307南阳医学高等专科学校就读临床医学专业。</v>
      </c>
    </row>
    <row r="5621" spans="1:9">
      <c r="A5621" s="1" t="str">
        <f>"411323199801186327"</f>
        <v>411323199801186327</v>
      </c>
      <c r="B5621" s="1" t="str">
        <f t="shared" si="2799"/>
        <v>群众</v>
      </c>
      <c r="C5621" s="1" t="str">
        <f>"本科"</f>
        <v>本科</v>
      </c>
      <c r="D5621" s="1" t="str">
        <f>"20240607"</f>
        <v>20240607</v>
      </c>
      <c r="E5621" s="1" t="str">
        <f>"长春中医药大学"</f>
        <v>长春中医药大学</v>
      </c>
      <c r="F5621" s="1" t="str">
        <f>"药事管理"</f>
        <v>药事管理</v>
      </c>
      <c r="G5621" s="1" t="str">
        <f>"河南省南阳市淅川县厚坡镇"</f>
        <v>河南省南阳市淅川县厚坡镇</v>
      </c>
      <c r="H5621" s="1" t="str">
        <f t="shared" si="2798"/>
        <v>无</v>
      </c>
      <c r="I5621" s="1" t="str">
        <f>"201909-202206长春中医药大学职业技术学院就读药品经营与管理专业，为全日制学历，202209-202406长春中医药大学健康管理学院就读药事管理专业，为全日制学历。"</f>
        <v>201909-202206长春中医药大学职业技术学院就读药品经营与管理专业，为全日制学历，202209-202406长春中医药大学健康管理学院就读药事管理专业，为全日制学历。</v>
      </c>
    </row>
    <row r="5622" spans="1:9">
      <c r="A5622" s="1" t="str">
        <f>"411323199511110025"</f>
        <v>411323199511110025</v>
      </c>
      <c r="B5622" s="1" t="str">
        <f t="shared" si="2799"/>
        <v>群众</v>
      </c>
      <c r="C5622" s="1" t="str">
        <f>"本科"</f>
        <v>本科</v>
      </c>
      <c r="D5622" s="1" t="str">
        <f>"20180701"</f>
        <v>20180701</v>
      </c>
      <c r="E5622" s="1" t="str">
        <f>"河南大学民生学院"</f>
        <v>河南大学民生学院</v>
      </c>
      <c r="F5622" s="1" t="str">
        <f>"护理学"</f>
        <v>护理学</v>
      </c>
      <c r="G5622" s="1" t="str">
        <f>"河南南阳内乡县新都花苑"</f>
        <v>河南南阳内乡县新都花苑</v>
      </c>
      <c r="H5622" s="1" t="str">
        <f>"主管护师资格证"</f>
        <v>主管护师资格证</v>
      </c>
      <c r="I5622" s="1" t="str">
        <f>"201409-201807在河南大学民生学院学习，专业护理学 
201811至今在内乡县人民医院工作
"</f>
        <v>201409-201807在河南大学民生学院学习，专业护理学 
201811至今在内乡县人民医院工作
</v>
      </c>
    </row>
    <row r="5623" spans="1:9">
      <c r="A5623" s="1" t="str">
        <f>"411327199306164222"</f>
        <v>411327199306164222</v>
      </c>
      <c r="B5623" s="1" t="str">
        <f t="shared" si="2799"/>
        <v>群众</v>
      </c>
      <c r="C5623" s="1" t="str">
        <f t="shared" ref="C5623:C5627" si="2801">"专科"</f>
        <v>专科</v>
      </c>
      <c r="D5623" s="1" t="str">
        <f>"20140701"</f>
        <v>20140701</v>
      </c>
      <c r="E5623" s="1" t="str">
        <f>"郑州华信学院"</f>
        <v>郑州华信学院</v>
      </c>
      <c r="F5623" s="1" t="str">
        <f>"护理"</f>
        <v>护理</v>
      </c>
      <c r="G5623" s="1" t="str">
        <f>"内乡县渚阳大街"</f>
        <v>内乡县渚阳大街</v>
      </c>
      <c r="H5623" s="1" t="str">
        <f>"护师"</f>
        <v>护师</v>
      </c>
      <c r="I5623" s="1" t="str">
        <f>"20110901--20140701郑州华信学院护理系   全日制
20140701--20160301余关镇卫生院工作
20160302至今在内乡县疾病预防控制中心工作
202003--202207河南中医药大学   护理学     非全日制"</f>
        <v>20110901--20140701郑州华信学院护理系   全日制
20140701--20160301余关镇卫生院工作
20160302至今在内乡县疾病预防控制中心工作
202003--202207河南中医药大学   护理学     非全日制</v>
      </c>
    </row>
    <row r="5624" spans="1:9">
      <c r="A5624" s="1" t="str">
        <f>"411325200110252020"</f>
        <v>411325200110252020</v>
      </c>
      <c r="B5624" s="1" t="str">
        <f t="shared" si="2799"/>
        <v>群众</v>
      </c>
      <c r="C5624" s="1" t="str">
        <f t="shared" si="2801"/>
        <v>专科</v>
      </c>
      <c r="D5624" s="1" t="str">
        <f>"20220701"</f>
        <v>20220701</v>
      </c>
      <c r="E5624" s="1" t="str">
        <f>"河南医学高等专科学校"</f>
        <v>河南医学高等专科学校</v>
      </c>
      <c r="F5624" s="1" t="str">
        <f t="shared" si="2800"/>
        <v>临床医学</v>
      </c>
      <c r="G5624" s="1" t="str">
        <f>"河南省南阳市内乡县民政局附近"</f>
        <v>河南省南阳市内乡县民政局附近</v>
      </c>
      <c r="H5624" s="1" t="str">
        <f>"执业助理医师 医师资格证"</f>
        <v>执业助理医师 医师资格证</v>
      </c>
      <c r="I5624" s="1" t="str">
        <f>"20190901-20220701河南医学高等专科学校医学系临床医学专业就读 不是全日制"</f>
        <v>20190901-20220701河南医学高等专科学校医学系临床医学专业就读 不是全日制</v>
      </c>
    </row>
    <row r="5625" spans="1:9">
      <c r="A5625" s="1" t="str">
        <f>"411624199902285220"</f>
        <v>411624199902285220</v>
      </c>
      <c r="B5625" s="1" t="str">
        <f t="shared" ref="B5625:B5631" si="2802">"共青团员"</f>
        <v>共青团员</v>
      </c>
      <c r="C5625" s="1" t="str">
        <f t="shared" si="2801"/>
        <v>专科</v>
      </c>
      <c r="D5625" s="1" t="str">
        <f>"2021年07月01日"</f>
        <v>2021年07月01日</v>
      </c>
      <c r="E5625" s="1" t="str">
        <f>"郑州澍青医学高等专科学校"</f>
        <v>郑州澍青医学高等专科学校</v>
      </c>
      <c r="F5625" s="1" t="str">
        <f t="shared" si="2800"/>
        <v>临床医学</v>
      </c>
      <c r="G5625" s="1" t="str">
        <f>"河南省南阳市内乡县人民医院"</f>
        <v>河南省南阳市内乡县人民医院</v>
      </c>
      <c r="H5625" s="1" t="str">
        <f>"执业助理医师资格证书"</f>
        <v>执业助理医师资格证书</v>
      </c>
      <c r="I5625" s="1" t="str">
        <f>"201709-202107于郑州澍青医学高等专科学校临床医学院系就读于临床医学专业，全日制专科，毕业后于沈丘县第二人民医院工作一年，为了更好的的职业规划，我后期选择了内乡县人民医院规培学习两年，学习了更多的临床经验，建立自己的临床思维，在去年成功的拿到助理医师资格证，也取到了规培结业证书。"</f>
        <v>201709-202107于郑州澍青医学高等专科学校临床医学院系就读于临床医学专业，全日制专科，毕业后于沈丘县第二人民医院工作一年，为了更好的的职业规划，我后期选择了内乡县人民医院规培学习两年，学习了更多的临床经验，建立自己的临床思维，在去年成功的拿到助理医师资格证，也取到了规培结业证书。</v>
      </c>
    </row>
    <row r="5626" spans="1:9">
      <c r="A5626" s="1" t="str">
        <f>"411327200109221529"</f>
        <v>411327200109221529</v>
      </c>
      <c r="B5626" s="1" t="str">
        <f t="shared" si="2802"/>
        <v>共青团员</v>
      </c>
      <c r="C5626" s="1" t="str">
        <f t="shared" si="2801"/>
        <v>专科</v>
      </c>
      <c r="D5626" s="1" t="str">
        <f>"20230701"</f>
        <v>20230701</v>
      </c>
      <c r="E5626" s="1" t="str">
        <f>"濮阳医学高等专科学校"</f>
        <v>濮阳医学高等专科学校</v>
      </c>
      <c r="F5626" s="1" t="str">
        <f t="shared" si="2800"/>
        <v>临床医学</v>
      </c>
      <c r="G5626" s="1" t="str">
        <f>"河南省南阳市内乡县湍东镇"</f>
        <v>河南省南阳市内乡县湍东镇</v>
      </c>
      <c r="H5626" s="1" t="str">
        <f>"助理医师资格证"</f>
        <v>助理医师资格证</v>
      </c>
      <c r="I5626" s="1" t="str">
        <f>"202010-202307濮阳医学高等专科学校临床医学系，临床医学专业就读，是全日制学历。
202310至今在内乡县人民医院参 加助理全科医生规范化培训"</f>
        <v>202010-202307濮阳医学高等专科学校临床医学系，临床医学专业就读，是全日制学历。
202310至今在内乡县人民医院参 加助理全科医生规范化培训</v>
      </c>
    </row>
    <row r="5627" spans="1:9">
      <c r="A5627" s="1" t="str">
        <f>"411330200406161524"</f>
        <v>411330200406161524</v>
      </c>
      <c r="B5627" s="1" t="str">
        <f>"群众"</f>
        <v>群众</v>
      </c>
      <c r="C5627" s="1" t="str">
        <f t="shared" si="2801"/>
        <v>专科</v>
      </c>
      <c r="D5627" s="1" t="str">
        <f>"20250628"</f>
        <v>20250628</v>
      </c>
      <c r="E5627" s="1" t="str">
        <f>"南阳医学高等专科学校"</f>
        <v>南阳医学高等专科学校</v>
      </c>
      <c r="F5627" s="1" t="str">
        <f>"护理"</f>
        <v>护理</v>
      </c>
      <c r="G5627" s="1" t="str">
        <f>"河南省南阳市西峡县莲花街道办事处"</f>
        <v>河南省南阳市西峡县莲花街道办事处</v>
      </c>
      <c r="H5627" s="1" t="str">
        <f>"护士执业证书"</f>
        <v>护士执业证书</v>
      </c>
      <c r="I5627" s="1" t="str">
        <f>"202209-202506 南阳医学高等专科学校 国际教育学院 护理专业就读，全日制"</f>
        <v>202209-202506 南阳医学高等专科学校 国际教育学院 护理专业就读，全日制</v>
      </c>
    </row>
    <row r="5628" spans="1:9">
      <c r="A5628" s="1" t="str">
        <f>"411303200303200165"</f>
        <v>411303200303200165</v>
      </c>
      <c r="B5628" s="1" t="str">
        <f>"中共党员"</f>
        <v>中共党员</v>
      </c>
      <c r="C5628" s="1" t="str">
        <f t="shared" ref="C5628:C5631" si="2803">"本科"</f>
        <v>本科</v>
      </c>
      <c r="D5628" s="1" t="str">
        <f>"20250701"</f>
        <v>20250701</v>
      </c>
      <c r="E5628" s="1" t="str">
        <f>"郑州工业应用技术学院"</f>
        <v>郑州工业应用技术学院</v>
      </c>
      <c r="F5628" s="1" t="str">
        <f>"护理学"</f>
        <v>护理学</v>
      </c>
      <c r="G5628" s="1" t="str">
        <f>"河南省南阳市卧龙区王村乡柳湾村张朝庄"</f>
        <v>河南省南阳市卧龙区王村乡柳湾村张朝庄</v>
      </c>
      <c r="H5628" s="1" t="str">
        <f>"护士资格证"</f>
        <v>护士资格证</v>
      </c>
      <c r="I5628" s="1" t="str">
        <f>"202009-202307南阳医学高等专科学校助产专业就读
202309-202507郑州工业应用技术学院护理学专业就读（专升本全日制）"</f>
        <v>202009-202307南阳医学高等专科学校助产专业就读
202309-202507郑州工业应用技术学院护理学专业就读（专升本全日制）</v>
      </c>
    </row>
    <row r="5629" spans="1:9">
      <c r="A5629" s="1" t="str">
        <f>"411330200007061120"</f>
        <v>411330200007061120</v>
      </c>
      <c r="B5629" s="1" t="str">
        <f t="shared" si="2802"/>
        <v>共青团员</v>
      </c>
      <c r="C5629" s="1" t="str">
        <f t="shared" si="2803"/>
        <v>本科</v>
      </c>
      <c r="D5629" s="1" t="str">
        <f>"20230701"</f>
        <v>20230701</v>
      </c>
      <c r="E5629" s="1" t="str">
        <f>"新乡医学院三全学院"</f>
        <v>新乡医学院三全学院</v>
      </c>
      <c r="F5629" s="1" t="str">
        <f>"医学检验技术"</f>
        <v>医学检验技术</v>
      </c>
      <c r="G5629" s="1" t="str">
        <f>"河南省南阳市西峡县工业大道北段慈梅寺下杜营"</f>
        <v>河南省南阳市西峡县工业大道北段慈梅寺下杜营</v>
      </c>
      <c r="H5629" s="1" t="str">
        <f>"无"</f>
        <v>无</v>
      </c>
      <c r="I5629" s="1" t="str">
        <f>"201909-202307 新乡医学院三全学院医学检验技术本科就读，全日制学历
202307-至今河南省南阳市西峡县待业"</f>
        <v>201909-202307 新乡医学院三全学院医学检验技术本科就读，全日制学历
202307-至今河南省南阳市西峡县待业</v>
      </c>
    </row>
    <row r="5630" spans="1:9">
      <c r="A5630" s="1" t="str">
        <f>"411322199707294536"</f>
        <v>411322199707294536</v>
      </c>
      <c r="B5630" s="1" t="str">
        <f t="shared" si="2802"/>
        <v>共青团员</v>
      </c>
      <c r="C5630" s="1" t="str">
        <f t="shared" ref="C5630:C5636" si="2804">"专科"</f>
        <v>专科</v>
      </c>
      <c r="D5630" s="1" t="str">
        <f>"20210701"</f>
        <v>20210701</v>
      </c>
      <c r="E5630" s="1" t="str">
        <f>"南阳医学高等专科学校"</f>
        <v>南阳医学高等专科学校</v>
      </c>
      <c r="F5630" s="1" t="str">
        <f>"针灸推拿"</f>
        <v>针灸推拿</v>
      </c>
      <c r="G5630" s="1" t="str">
        <f>"河南省南阳市方城县凤瑞街道王庄村王庄"</f>
        <v>河南省南阳市方城县凤瑞街道王庄村王庄</v>
      </c>
      <c r="H5630" s="1" t="str">
        <f>"中医助理医师"</f>
        <v>中医助理医师</v>
      </c>
      <c r="I5630" s="1" t="str">
        <f>"201809-202107南阳医学高等专科学校针灸骨伤系针推推拿专业就读；
202107-202307方城公安医院工作；
202308-202507南阳医专二附院中医助理全科医生规培"</f>
        <v>201809-202107南阳医学高等专科学校针灸骨伤系针推推拿专业就读；
202107-202307方城公安医院工作；
202308-202507南阳医专二附院中医助理全科医生规培</v>
      </c>
    </row>
    <row r="5631" spans="1:9">
      <c r="A5631" s="1" t="str">
        <f>"411327200201240028"</f>
        <v>411327200201240028</v>
      </c>
      <c r="B5631" s="1" t="str">
        <f t="shared" si="2802"/>
        <v>共青团员</v>
      </c>
      <c r="C5631" s="1" t="str">
        <f t="shared" si="2803"/>
        <v>本科</v>
      </c>
      <c r="D5631" s="1" t="str">
        <f>"20240615"</f>
        <v>20240615</v>
      </c>
      <c r="E5631" s="1" t="str">
        <f>"黄淮学院"</f>
        <v>黄淮学院</v>
      </c>
      <c r="F5631" s="1" t="str">
        <f>"护理学"</f>
        <v>护理学</v>
      </c>
      <c r="G5631" s="1" t="str">
        <f>"河南省南阳市内乡县"</f>
        <v>河南省南阳市内乡县</v>
      </c>
      <c r="H5631" s="1" t="str">
        <f t="shared" ref="H5631:H5636" si="2805">"护士资格证"</f>
        <v>护士资格证</v>
      </c>
      <c r="I5631" s="1" t="str">
        <f>"202209–202406 黄淮学院就读"</f>
        <v>202209–202406 黄淮学院就读</v>
      </c>
    </row>
    <row r="5632" spans="1:9">
      <c r="A5632" s="1" t="str">
        <f>"411381200202283546"</f>
        <v>411381200202283546</v>
      </c>
      <c r="B5632" s="1" t="str">
        <f t="shared" ref="B5632:B5636" si="2806">"群众"</f>
        <v>群众</v>
      </c>
      <c r="C5632" s="1" t="str">
        <f t="shared" si="2804"/>
        <v>专科</v>
      </c>
      <c r="D5632" s="1" t="str">
        <f>"20240701"</f>
        <v>20240701</v>
      </c>
      <c r="E5632" s="1" t="str">
        <f>"河南科技职业大学"</f>
        <v>河南科技职业大学</v>
      </c>
      <c r="F5632" s="1" t="str">
        <f t="shared" ref="F5632:F5636" si="2807">"护理"</f>
        <v>护理</v>
      </c>
      <c r="G5632" s="1" t="str">
        <f>"河南省南阳市邓州市"</f>
        <v>河南省南阳市邓州市</v>
      </c>
      <c r="H5632" s="1" t="str">
        <f>"护士执业资格证书"</f>
        <v>护士执业资格证书</v>
      </c>
      <c r="I5632" s="1" t="str">
        <f>"202109-202407 河南科技职业大学 就读 全日制学历"</f>
        <v>202109-202407 河南科技职业大学 就读 全日制学历</v>
      </c>
    </row>
    <row r="5633" spans="1:9">
      <c r="A5633" s="1" t="str">
        <f>"411327200407280631"</f>
        <v>411327200407280631</v>
      </c>
      <c r="B5633" s="1" t="str">
        <f t="shared" si="2806"/>
        <v>群众</v>
      </c>
      <c r="C5633" s="1" t="str">
        <f t="shared" si="2804"/>
        <v>专科</v>
      </c>
      <c r="D5633" s="1" t="str">
        <f>"20250617"</f>
        <v>20250617</v>
      </c>
      <c r="E5633" s="1" t="str">
        <f>"江苏卫生健康职业学院"</f>
        <v>江苏卫生健康职业学院</v>
      </c>
      <c r="F5633" s="1" t="str">
        <f>"临床医学"</f>
        <v>临床医学</v>
      </c>
      <c r="G5633" s="1" t="str">
        <f>"河南省南阳市内乡县马山口镇庵北村"</f>
        <v>河南省南阳市内乡县马山口镇庵北村</v>
      </c>
      <c r="H5633" s="1" t="str">
        <f>"无"</f>
        <v>无</v>
      </c>
      <c r="I5633" s="1" t="str">
        <f>"202209-202506在江苏卫生健康职业学院临床医学院，临床医学就读。"</f>
        <v>202209-202506在江苏卫生健康职业学院临床医学院，临床医学就读。</v>
      </c>
    </row>
    <row r="5634" spans="1:9">
      <c r="A5634" s="1" t="str">
        <f>"411330200308213124"</f>
        <v>411330200308213124</v>
      </c>
      <c r="B5634" s="1" t="str">
        <f t="shared" si="2806"/>
        <v>群众</v>
      </c>
      <c r="C5634" s="1" t="str">
        <f t="shared" si="2804"/>
        <v>专科</v>
      </c>
      <c r="D5634" s="1" t="str">
        <f>"20250607"</f>
        <v>20250607</v>
      </c>
      <c r="E5634" s="1" t="str">
        <f>"商丘医学专科学校"</f>
        <v>商丘医学专科学校</v>
      </c>
      <c r="F5634" s="1" t="str">
        <f t="shared" si="2807"/>
        <v>护理</v>
      </c>
      <c r="G5634" s="1" t="str">
        <f>"河南省南阳市西峡县龙湖庄园"</f>
        <v>河南省南阳市西峡县龙湖庄园</v>
      </c>
      <c r="H5634" s="1" t="str">
        <f t="shared" si="2805"/>
        <v>护士资格证</v>
      </c>
      <c r="I5634" s="1" t="str">
        <f>"202209-202506 商丘医学高等专科学校口腔学院护理专业就读，是全日制"</f>
        <v>202209-202506 商丘医学高等专科学校口腔学院护理专业就读，是全日制</v>
      </c>
    </row>
    <row r="5635" spans="1:9">
      <c r="A5635" s="1" t="str">
        <f>"411330199709172022"</f>
        <v>411330199709172022</v>
      </c>
      <c r="B5635" s="1" t="str">
        <f t="shared" si="2806"/>
        <v>群众</v>
      </c>
      <c r="C5635" s="1" t="str">
        <f t="shared" si="2804"/>
        <v>专科</v>
      </c>
      <c r="D5635" s="1" t="str">
        <f>"20191226"</f>
        <v>20191226</v>
      </c>
      <c r="E5635" s="1" t="str">
        <f>"南阳医学高等专科学校"</f>
        <v>南阳医学高等专科学校</v>
      </c>
      <c r="F5635" s="1" t="str">
        <f>"临床医学"</f>
        <v>临床医学</v>
      </c>
      <c r="G5635" s="1" t="str">
        <f>"西峡县五里桥镇"</f>
        <v>西峡县五里桥镇</v>
      </c>
      <c r="H5635" s="1" t="str">
        <f t="shared" ref="H5635:H5641" si="2808">"无"</f>
        <v>无</v>
      </c>
      <c r="I5635" s="1" t="str">
        <f>"2016.09-2019.12在南阳医学高等专科学校临床医学专业就读
2020.01-至今在河南省南阳市西峡县待业"</f>
        <v>2016.09-2019.12在南阳医学高等专科学校临床医学专业就读
2020.01-至今在河南省南阳市西峡县待业</v>
      </c>
    </row>
    <row r="5636" spans="1:9">
      <c r="A5636" s="1" t="str">
        <f>"411327200306103943"</f>
        <v>411327200306103943</v>
      </c>
      <c r="B5636" s="1" t="str">
        <f t="shared" si="2806"/>
        <v>群众</v>
      </c>
      <c r="C5636" s="1" t="str">
        <f t="shared" si="2804"/>
        <v>专科</v>
      </c>
      <c r="D5636" s="1" t="str">
        <f>"20250607"</f>
        <v>20250607</v>
      </c>
      <c r="E5636" s="1" t="str">
        <f>"许昌职业技术学院"</f>
        <v>许昌职业技术学院</v>
      </c>
      <c r="F5636" s="1" t="str">
        <f t="shared" si="2807"/>
        <v>护理</v>
      </c>
      <c r="G5636" s="1" t="str">
        <f>"河南省南阳市内乡县湍东镇"</f>
        <v>河南省南阳市内乡县湍东镇</v>
      </c>
      <c r="H5636" s="1" t="str">
        <f t="shared" si="2805"/>
        <v>护士资格证</v>
      </c>
      <c r="I5636" s="1" t="str">
        <f>"202209-202507许昌职业技术学院医疗卫生学院护理专业就读，是全日制学历。"</f>
        <v>202209-202507许昌职业技术学院医疗卫生学院护理专业就读，是全日制学历。</v>
      </c>
    </row>
    <row r="5637" spans="1:9">
      <c r="A5637" s="1" t="str">
        <f>"411381200202060828"</f>
        <v>411381200202060828</v>
      </c>
      <c r="B5637" s="1" t="str">
        <f t="shared" ref="B5637:B5642" si="2809">"共青团员"</f>
        <v>共青团员</v>
      </c>
      <c r="C5637" s="1" t="str">
        <f t="shared" ref="C5637:C5642" si="2810">"本科"</f>
        <v>本科</v>
      </c>
      <c r="D5637" s="1" t="str">
        <f>"20230701"</f>
        <v>20230701</v>
      </c>
      <c r="E5637" s="1" t="str">
        <f>"新乡医学院三全学院"</f>
        <v>新乡医学院三全学院</v>
      </c>
      <c r="F5637" s="1" t="str">
        <f>"康复治疗学"</f>
        <v>康复治疗学</v>
      </c>
      <c r="G5637" s="1" t="str">
        <f>"河南省南阳市卧龙区新西北路国际饭店家属院三单元五楼"</f>
        <v>河南省南阳市卧龙区新西北路国际饭店家属院三单元五楼</v>
      </c>
      <c r="H5637" s="1" t="str">
        <f>"康复治疗师证书"</f>
        <v>康复治疗师证书</v>
      </c>
      <c r="I5637" s="1" t="str">
        <f>"2018.09-2023.07在新乡医学院三全学院康复治疗学专业全日制学习
2023.07-2023.10在家待业
2023.10-至今 在河南省南阳市 南阳市中医院康复治疗师"</f>
        <v>2018.09-2023.07在新乡医学院三全学院康复治疗学专业全日制学习
2023.07-2023.10在家待业
2023.10-至今 在河南省南阳市 南阳市中医院康复治疗师</v>
      </c>
    </row>
    <row r="5638" spans="1:9">
      <c r="A5638" s="1" t="str">
        <f>"411327200304183142"</f>
        <v>411327200304183142</v>
      </c>
      <c r="B5638" s="1" t="str">
        <f t="shared" ref="B5638:B5640" si="2811">"群众"</f>
        <v>群众</v>
      </c>
      <c r="C5638" s="1" t="str">
        <f t="shared" ref="C5638:C5641" si="2812">"专科"</f>
        <v>专科</v>
      </c>
      <c r="D5638" s="1" t="str">
        <f>"20230701"</f>
        <v>20230701</v>
      </c>
      <c r="E5638" s="1" t="str">
        <f>"洛阳职业技术学院"</f>
        <v>洛阳职业技术学院</v>
      </c>
      <c r="F5638" s="1" t="str">
        <f>"护理"</f>
        <v>护理</v>
      </c>
      <c r="G5638" s="1" t="str">
        <f>"河南省南阳市内乡县城关镇安居小区"</f>
        <v>河南省南阳市内乡县城关镇安居小区</v>
      </c>
      <c r="H5638" s="1" t="str">
        <f>"护士资格证"</f>
        <v>护士资格证</v>
      </c>
      <c r="I5638" s="1" t="str">
        <f>"2020年10月至2023年7月 护理专业 洛阳职业技术学校就读
属于全日制学历
2023年8月至今在内乡县中医院就业"</f>
        <v>2020年10月至2023年7月 护理专业 洛阳职业技术学校就读
属于全日制学历
2023年8月至今在内乡县中医院就业</v>
      </c>
    </row>
    <row r="5639" spans="1:9">
      <c r="A5639" s="1" t="str">
        <f>"411327200011181514"</f>
        <v>411327200011181514</v>
      </c>
      <c r="B5639" s="1" t="str">
        <f t="shared" si="2811"/>
        <v>群众</v>
      </c>
      <c r="C5639" s="1" t="str">
        <f t="shared" si="2810"/>
        <v>本科</v>
      </c>
      <c r="D5639" s="1" t="str">
        <f>"20240701"</f>
        <v>20240701</v>
      </c>
      <c r="E5639" s="1" t="str">
        <f>"河南中医药大学"</f>
        <v>河南中医药大学</v>
      </c>
      <c r="F5639" s="1" t="str">
        <f>"中西医临床医学"</f>
        <v>中西医临床医学</v>
      </c>
      <c r="G5639" s="1" t="str">
        <f>"河南省南阳市内乡县湍东镇"</f>
        <v>河南省南阳市内乡县湍东镇</v>
      </c>
      <c r="H5639" s="1" t="str">
        <f t="shared" si="2808"/>
        <v>无</v>
      </c>
      <c r="I5639" s="1" t="str">
        <f>"201909-202407 河南中医药大学第一临床医学院中西医临床医学专业全日制就读。"</f>
        <v>201909-202407 河南中医药大学第一临床医学院中西医临床医学专业全日制就读。</v>
      </c>
    </row>
    <row r="5640" spans="1:9">
      <c r="A5640" s="1" t="str">
        <f>"411325199112084256"</f>
        <v>411325199112084256</v>
      </c>
      <c r="B5640" s="1" t="str">
        <f t="shared" si="2811"/>
        <v>群众</v>
      </c>
      <c r="C5640" s="1" t="str">
        <f t="shared" si="2812"/>
        <v>专科</v>
      </c>
      <c r="D5640" s="1" t="str">
        <f>"201507"</f>
        <v>201507</v>
      </c>
      <c r="E5640" s="1" t="str">
        <f>"南阳理工学院"</f>
        <v>南阳理工学院</v>
      </c>
      <c r="F5640" s="1" t="str">
        <f>"中医学"</f>
        <v>中医学</v>
      </c>
      <c r="G5640" s="1" t="str">
        <f>"河南省南阳市内乡县余关乡岳沟村河东"</f>
        <v>河南省南阳市内乡县余关乡岳沟村河东</v>
      </c>
      <c r="H5640" s="1" t="str">
        <f t="shared" si="2808"/>
        <v>无</v>
      </c>
      <c r="I5640" s="1" t="str">
        <f>"2012年9月到2015年7月，在南阳理工学院中医学专业学习，全日制大专；2015年7月至今待业"</f>
        <v>2012年9月到2015年7月，在南阳理工学院中医学专业学习，全日制大专；2015年7月至今待业</v>
      </c>
    </row>
    <row r="5641" spans="1:9">
      <c r="A5641" s="1" t="str">
        <f>"411328200211191342"</f>
        <v>411328200211191342</v>
      </c>
      <c r="B5641" s="1" t="str">
        <f t="shared" si="2809"/>
        <v>共青团员</v>
      </c>
      <c r="C5641" s="1" t="str">
        <f t="shared" si="2812"/>
        <v>专科</v>
      </c>
      <c r="D5641" s="1" t="str">
        <f>"20240730"</f>
        <v>20240730</v>
      </c>
      <c r="E5641" s="1" t="str">
        <f>"南阳医学高等专科学校"</f>
        <v>南阳医学高等专科学校</v>
      </c>
      <c r="F5641" s="1" t="str">
        <f>"药学"</f>
        <v>药学</v>
      </c>
      <c r="G5641" s="1" t="str">
        <f>"河南省南阳市新野县歪子镇棉花庄村梁岗"</f>
        <v>河南省南阳市新野县歪子镇棉花庄村梁岗</v>
      </c>
      <c r="H5641" s="1" t="str">
        <f t="shared" si="2808"/>
        <v>无</v>
      </c>
      <c r="I5641" s="1" t="str">
        <f>"202109-202407南阳医学高等专科学校就读药学专业全日制学历"</f>
        <v>202109-202407南阳医学高等专科学校就读药学专业全日制学历</v>
      </c>
    </row>
    <row r="5642" spans="1:9">
      <c r="A5642" s="1" t="str">
        <f>"411330200207034012"</f>
        <v>411330200207034012</v>
      </c>
      <c r="B5642" s="1" t="str">
        <f t="shared" si="2809"/>
        <v>共青团员</v>
      </c>
      <c r="C5642" s="1" t="str">
        <f t="shared" si="2810"/>
        <v>本科</v>
      </c>
      <c r="D5642" s="1" t="str">
        <f>"20250628"</f>
        <v>20250628</v>
      </c>
      <c r="E5642" s="1" t="str">
        <f>"包头医学院"</f>
        <v>包头医学院</v>
      </c>
      <c r="F5642" s="1" t="str">
        <f t="shared" ref="F5642:F5647" si="2813">"护理学"</f>
        <v>护理学</v>
      </c>
      <c r="G5642" s="1" t="str">
        <f>"河南省南阳市西峡县五里桥镇葛营村香坊营五号楼三单元"</f>
        <v>河南省南阳市西峡县五里桥镇葛营村香坊营五号楼三单元</v>
      </c>
      <c r="H5642" s="1" t="str">
        <f>"护士资格证"</f>
        <v>护士资格证</v>
      </c>
      <c r="I5642" s="1" t="str">
        <f>"202109-202506在包头医学院护理学院护理系就读，是全日制本科"</f>
        <v>202109-202506在包头医学院护理学院护理系就读，是全日制本科</v>
      </c>
    </row>
    <row r="5643" spans="1:9">
      <c r="A5643" s="1" t="str">
        <f>"411324199812100062"</f>
        <v>411324199812100062</v>
      </c>
      <c r="B5643" s="1" t="str">
        <f t="shared" ref="B5643:B5647" si="2814">"群众"</f>
        <v>群众</v>
      </c>
      <c r="C5643" s="1" t="str">
        <f t="shared" ref="C5643:C5645" si="2815">"专科"</f>
        <v>专科</v>
      </c>
      <c r="D5643" s="1" t="str">
        <f>"20200601"</f>
        <v>20200601</v>
      </c>
      <c r="E5643" s="1" t="str">
        <f>"湖北职业技术学院"</f>
        <v>湖北职业技术学院</v>
      </c>
      <c r="F5643" s="1" t="str">
        <f>"护理"</f>
        <v>护理</v>
      </c>
      <c r="G5643" s="1" t="str">
        <f>"河南省南阳市镇平县东关怡平小区"</f>
        <v>河南省南阳市镇平县东关怡平小区</v>
      </c>
      <c r="H5643" s="1" t="str">
        <f>"卫生专业技术资格   初级（士）   护士执业证书"</f>
        <v>卫生专业技术资格   初级（士）   护士执业证书</v>
      </c>
      <c r="I5643" s="1" t="str">
        <f>"201709-202006湖北职业技术学院，全日制
202102-202306浙江鸥唯丝医疗美容门诊部
202403-至今镇平县农业农村局（公益岗）
间断时间均在家待业备考"</f>
        <v>201709-202006湖北职业技术学院，全日制
202102-202306浙江鸥唯丝医疗美容门诊部
202403-至今镇平县农业农村局（公益岗）
间断时间均在家待业备考</v>
      </c>
    </row>
    <row r="5644" spans="1:9">
      <c r="A5644" s="1" t="str">
        <f>"411323200309226345"</f>
        <v>411323200309226345</v>
      </c>
      <c r="B5644" s="1" t="str">
        <f t="shared" ref="B5644:B5650" si="2816">"共青团员"</f>
        <v>共青团员</v>
      </c>
      <c r="C5644" s="1" t="str">
        <f t="shared" si="2815"/>
        <v>专科</v>
      </c>
      <c r="D5644" s="1" t="str">
        <f>"20250701"</f>
        <v>20250701</v>
      </c>
      <c r="E5644" s="1" t="str">
        <f>"山东中医药高等专科学校"</f>
        <v>山东中医药高等专科学校</v>
      </c>
      <c r="F5644" s="1" t="str">
        <f>"中医学"</f>
        <v>中医学</v>
      </c>
      <c r="G5644" s="1" t="str">
        <f>"河南省南阳市"</f>
        <v>河南省南阳市</v>
      </c>
      <c r="H5644" s="1" t="str">
        <f>"无"</f>
        <v>无</v>
      </c>
      <c r="I5644" s="1" t="str">
        <f>"202209-202507山东中医药高等专科学校中医系中医专业就读是全日制学历"</f>
        <v>202209-202507山东中医药高等专科学校中医系中医专业就读是全日制学历</v>
      </c>
    </row>
    <row r="5645" spans="1:9">
      <c r="A5645" s="1" t="str">
        <f>"411323199211045321"</f>
        <v>411323199211045321</v>
      </c>
      <c r="B5645" s="1" t="str">
        <f t="shared" si="2814"/>
        <v>群众</v>
      </c>
      <c r="C5645" s="1" t="str">
        <f t="shared" si="2815"/>
        <v>专科</v>
      </c>
      <c r="D5645" s="1" t="str">
        <f>"20140701"</f>
        <v>20140701</v>
      </c>
      <c r="E5645" s="1" t="str">
        <f>"郑州铁路职业技术学院"</f>
        <v>郑州铁路职业技术学院</v>
      </c>
      <c r="F5645" s="1" t="str">
        <f>"护理（ICU）"</f>
        <v>护理（ICU）</v>
      </c>
      <c r="G5645" s="1" t="str">
        <f>"河南省淅川县香花镇"</f>
        <v>河南省淅川县香花镇</v>
      </c>
      <c r="H5645" s="1" t="str">
        <f>"护师"</f>
        <v>护师</v>
      </c>
      <c r="I5645" s="1" t="str">
        <f>"201109--201407郑州铁路职业技术学院就读（护理ICU全日制大专）
201308--201406  郑州大学第一附属医院实习
201408--201609  北京清华长庚医院（急诊科护士）
201409--201502  北京协和医院进修（急诊科护士）
201610--202010  郑州待业
201011--至今       南阳淅川待业"</f>
        <v>201109--201407郑州铁路职业技术学院就读（护理ICU全日制大专）
201308--201406  郑州大学第一附属医院实习
201408--201609  北京清华长庚医院（急诊科护士）
201409--201502  北京协和医院进修（急诊科护士）
201610--202010  郑州待业
201011--至今       南阳淅川待业</v>
      </c>
    </row>
    <row r="5646" spans="1:9">
      <c r="A5646" s="1" t="str">
        <f>"411327200007191525"</f>
        <v>411327200007191525</v>
      </c>
      <c r="B5646" s="1" t="str">
        <f t="shared" si="2814"/>
        <v>群众</v>
      </c>
      <c r="C5646" s="1" t="str">
        <f t="shared" ref="C5646:C5650" si="2817">"本科"</f>
        <v>本科</v>
      </c>
      <c r="D5646" s="1" t="str">
        <f>"20230701"</f>
        <v>20230701</v>
      </c>
      <c r="E5646" s="1" t="str">
        <f>"河南科技职业大学"</f>
        <v>河南科技职业大学</v>
      </c>
      <c r="F5646" s="1" t="str">
        <f t="shared" si="2813"/>
        <v>护理学</v>
      </c>
      <c r="G5646" s="1" t="str">
        <f>"内乡县城关镇南园村"</f>
        <v>内乡县城关镇南园村</v>
      </c>
      <c r="H5646" s="1" t="str">
        <f>"护师"</f>
        <v>护师</v>
      </c>
      <c r="I5646" s="1" t="str">
        <f>"2202109-202307 在河南科技职业大学医学院系护理专业就读"</f>
        <v>2202109-202307 在河南科技职业大学医学院系护理专业就读</v>
      </c>
    </row>
    <row r="5647" spans="1:9">
      <c r="A5647" s="1" t="str">
        <f>"411327199711104928"</f>
        <v>411327199711104928</v>
      </c>
      <c r="B5647" s="1" t="str">
        <f t="shared" si="2814"/>
        <v>群众</v>
      </c>
      <c r="C5647" s="1" t="str">
        <f t="shared" si="2817"/>
        <v>本科</v>
      </c>
      <c r="D5647" s="1" t="str">
        <f>"2025-07-01"</f>
        <v>2025-07-01</v>
      </c>
      <c r="E5647" s="1" t="str">
        <f>"新乡医学院三全学院"</f>
        <v>新乡医学院三全学院</v>
      </c>
      <c r="F5647" s="1" t="str">
        <f t="shared" si="2813"/>
        <v>护理学</v>
      </c>
      <c r="G5647" s="1" t="str">
        <f>"河南省南阳市内乡县湍东镇五里堡村"</f>
        <v>河南省南阳市内乡县湍东镇五里堡村</v>
      </c>
      <c r="H5647" s="1" t="str">
        <f>"202341000201"</f>
        <v>202341000201</v>
      </c>
      <c r="I5647" s="1" t="str">
        <f>"202305-202506 新乡医学院三全学院 护理学院 护理学专业 就读 非全日制；
201907-202305 内乡县待业
201609-201907 南阳理工学院 张仲景国医国药学院 护理学专业 就读 全日制"</f>
        <v>202305-202506 新乡医学院三全学院 护理学院 护理学专业 就读 非全日制；
201907-202305 内乡县待业
201609-201907 南阳理工学院 张仲景国医国药学院 护理学专业 就读 全日制</v>
      </c>
    </row>
    <row r="5648" spans="1:9">
      <c r="A5648" s="1" t="str">
        <f>"411330200202015146"</f>
        <v>411330200202015146</v>
      </c>
      <c r="B5648" s="1" t="str">
        <f t="shared" si="2816"/>
        <v>共青团员</v>
      </c>
      <c r="C5648" s="1" t="str">
        <f t="shared" si="2817"/>
        <v>本科</v>
      </c>
      <c r="D5648" s="1" t="str">
        <f>"20250620"</f>
        <v>20250620</v>
      </c>
      <c r="E5648" s="1" t="str">
        <f>"北华大学"</f>
        <v>北华大学</v>
      </c>
      <c r="F5648" s="1" t="str">
        <f>"医学检验技术"</f>
        <v>医学检验技术</v>
      </c>
      <c r="G5648" s="1" t="str">
        <f>"河南省南阳市西峡县双龙镇"</f>
        <v>河南省南阳市西峡县双龙镇</v>
      </c>
      <c r="H5648" s="1" t="str">
        <f>"临床医学检验技术初级（士）"</f>
        <v>临床医学检验技术初级（士）</v>
      </c>
      <c r="I5648" s="1" t="str">
        <f>"202009-202306 吉林医药学院检验学院医学检验技术专业就读 是全日制
202309-202506 北华大学医学技术学院医学检验技术专业就读 是全日制"</f>
        <v>202009-202306 吉林医药学院检验学院医学检验技术专业就读 是全日制
202309-202506 北华大学医学技术学院医学检验技术专业就读 是全日制</v>
      </c>
    </row>
    <row r="5649" spans="1:9">
      <c r="A5649" s="1" t="str">
        <f>"411324200012104511"</f>
        <v>411324200012104511</v>
      </c>
      <c r="B5649" s="1" t="str">
        <f t="shared" si="2816"/>
        <v>共青团员</v>
      </c>
      <c r="C5649" s="1" t="str">
        <f t="shared" si="2817"/>
        <v>本科</v>
      </c>
      <c r="D5649" s="1" t="str">
        <f>"20240601"</f>
        <v>20240601</v>
      </c>
      <c r="E5649" s="1" t="str">
        <f>"河南中医药大学"</f>
        <v>河南中医药大学</v>
      </c>
      <c r="F5649" s="1" t="str">
        <f>"护理学"</f>
        <v>护理学</v>
      </c>
      <c r="G5649" s="1" t="str">
        <f>"1937204408@qq.com"</f>
        <v>1937204408@qq.com</v>
      </c>
      <c r="H5649" s="1" t="str">
        <f>"具有护士资格证"</f>
        <v>具有护士资格证</v>
      </c>
      <c r="I5649" s="1" t="str">
        <f>"202009-202406 河南中医药大学护理学院护理学就读 全日制本科学历"</f>
        <v>202009-202406 河南中医药大学护理学院护理学就读 全日制本科学历</v>
      </c>
    </row>
    <row r="5650" spans="1:9">
      <c r="A5650" s="1" t="str">
        <f>"411528200012181345"</f>
        <v>411528200012181345</v>
      </c>
      <c r="B5650" s="1" t="str">
        <f t="shared" si="2816"/>
        <v>共青团员</v>
      </c>
      <c r="C5650" s="1" t="str">
        <f t="shared" si="2817"/>
        <v>本科</v>
      </c>
      <c r="D5650" s="1" t="str">
        <f>"20240631"</f>
        <v>20240631</v>
      </c>
      <c r="E5650" s="1" t="str">
        <f>"新乡医学院三全学院"</f>
        <v>新乡医学院三全学院</v>
      </c>
      <c r="F5650" s="1" t="str">
        <f>"医学检验技术"</f>
        <v>医学检验技术</v>
      </c>
      <c r="G5650" s="1" t="str">
        <f>"河南省南阳市宛城区万家园五号小区"</f>
        <v>河南省南阳市宛城区万家园五号小区</v>
      </c>
      <c r="H5650" s="1" t="str">
        <f>"临床医学检验技术士"</f>
        <v>临床医学检验技术士</v>
      </c>
      <c r="I5650" s="1" t="str">
        <f>"202009-202306 在河南理大学 医学检验技术专业 全日制专科
202309-202506 在新乡医学院三全学院 医学检验技术专业 全日制本科"</f>
        <v>202009-202306 在河南理大学 医学检验技术专业 全日制专科
202309-202506 在新乡医学院三全学院 医学检验技术专业 全日制本科</v>
      </c>
    </row>
    <row r="5651" spans="1:9">
      <c r="A5651" s="1" t="str">
        <f>"41132520010908252X"</f>
        <v>41132520010908252X</v>
      </c>
      <c r="B5651" s="1" t="str">
        <f t="shared" ref="B5651:B5656" si="2818">"群众"</f>
        <v>群众</v>
      </c>
      <c r="C5651" s="1" t="str">
        <f t="shared" ref="C5651:C5655" si="2819">"专科"</f>
        <v>专科</v>
      </c>
      <c r="D5651" s="1" t="str">
        <f>"202307"</f>
        <v>202307</v>
      </c>
      <c r="E5651" s="1" t="str">
        <f>"濮阳医学高等专科学校"</f>
        <v>濮阳医学高等专科学校</v>
      </c>
      <c r="F5651" s="1" t="str">
        <f t="shared" ref="F5651:F5653" si="2820">"护理"</f>
        <v>护理</v>
      </c>
      <c r="G5651" s="1" t="str">
        <f>"河南省南阳市内乡县王店镇堰张村"</f>
        <v>河南省南阳市内乡县王店镇堰张村</v>
      </c>
      <c r="H5651" s="1" t="str">
        <f>"护士资格证书"</f>
        <v>护士资格证书</v>
      </c>
      <c r="I5651" s="1" t="str">
        <f>"202010-202307在濮阳医学高等专科学校就读护理系护理专业，全日制专科。"</f>
        <v>202010-202307在濮阳医学高等专科学校就读护理系护理专业，全日制专科。</v>
      </c>
    </row>
    <row r="5652" spans="1:9">
      <c r="A5652" s="1" t="str">
        <f>"411527199109020060"</f>
        <v>411527199109020060</v>
      </c>
      <c r="B5652" s="1" t="str">
        <f t="shared" si="2818"/>
        <v>群众</v>
      </c>
      <c r="C5652" s="1" t="str">
        <f t="shared" si="2819"/>
        <v>专科</v>
      </c>
      <c r="D5652" s="1" t="str">
        <f>"20110701"</f>
        <v>20110701</v>
      </c>
      <c r="E5652" s="1" t="str">
        <f>"河南省职工医学院"</f>
        <v>河南省职工医学院</v>
      </c>
      <c r="F5652" s="1" t="str">
        <f t="shared" si="2820"/>
        <v>护理</v>
      </c>
      <c r="G5652" s="1" t="str">
        <f>"河南省淮滨县星河名都"</f>
        <v>河南省淮滨县星河名都</v>
      </c>
      <c r="H5652" s="1" t="str">
        <f>"无"</f>
        <v>无</v>
      </c>
      <c r="I5652" s="1" t="str">
        <f>"2006.9月—2009.7月在郑州卫校就读护理专业
2009.9月—2011.7月在河南省职工医学院就读护理专业
2012.4月—至今在准滨县人民医院宣传科就职科员"</f>
        <v>2006.9月—2009.7月在郑州卫校就读护理专业
2009.9月—2011.7月在河南省职工医学院就读护理专业
2012.4月—至今在准滨县人民医院宣传科就职科员</v>
      </c>
    </row>
    <row r="5653" spans="1:9">
      <c r="A5653" s="1" t="str">
        <f>"411327200402133720"</f>
        <v>411327200402133720</v>
      </c>
      <c r="B5653" s="1" t="str">
        <f t="shared" si="2818"/>
        <v>群众</v>
      </c>
      <c r="C5653" s="1" t="str">
        <f t="shared" si="2819"/>
        <v>专科</v>
      </c>
      <c r="D5653" s="1" t="str">
        <f>"20250610"</f>
        <v>20250610</v>
      </c>
      <c r="E5653" s="1" t="str">
        <f>"河南护理职业学院"</f>
        <v>河南护理职业学院</v>
      </c>
      <c r="F5653" s="1" t="str">
        <f t="shared" si="2820"/>
        <v>护理</v>
      </c>
      <c r="G5653" s="1" t="str">
        <f>"河南省内乡县桃溪镇寺河村"</f>
        <v>河南省内乡县桃溪镇寺河村</v>
      </c>
      <c r="H5653" s="1" t="str">
        <f>"护士资格证"</f>
        <v>护士资格证</v>
      </c>
      <c r="I5653" s="1" t="str">
        <f>"202209-202506 河南护理职业学院 国际教育系护理专业就读，是全日制学历，2024年7月在郑州大学第一附属医院实习八个月。"</f>
        <v>202209-202506 河南护理职业学院 国际教育系护理专业就读，是全日制学历，2024年7月在郑州大学第一附属医院实习八个月。</v>
      </c>
    </row>
    <row r="5654" spans="1:9">
      <c r="A5654" s="1" t="str">
        <f>"411327199804100029"</f>
        <v>411327199804100029</v>
      </c>
      <c r="B5654" s="1" t="str">
        <f t="shared" si="2818"/>
        <v>群众</v>
      </c>
      <c r="C5654" s="1" t="str">
        <f t="shared" si="2819"/>
        <v>专科</v>
      </c>
      <c r="D5654" s="1" t="str">
        <f>"2019-07-01"</f>
        <v>2019-07-01</v>
      </c>
      <c r="E5654" s="1" t="str">
        <f>"郑州澍青医学高等专科学校"</f>
        <v>郑州澍青医学高等专科学校</v>
      </c>
      <c r="F5654" s="1" t="str">
        <f>"护理学"</f>
        <v>护理学</v>
      </c>
      <c r="G5654" s="1" t="str">
        <f>"河南省南阳市内乡县城关镇东风村东风东路8号"</f>
        <v>河南省南阳市内乡县城关镇东风村东风东路8号</v>
      </c>
      <c r="H5654" s="1" t="str">
        <f>"护士"</f>
        <v>护士</v>
      </c>
      <c r="I5654" s="1" t="str">
        <f>"201609-201907郑州澍青医学高等专科学校就读，专业护理学，全日制学历"</f>
        <v>201609-201907郑州澍青医学高等专科学校就读，专业护理学，全日制学历</v>
      </c>
    </row>
    <row r="5655" spans="1:9">
      <c r="A5655" s="1" t="str">
        <f>"411324200109025844"</f>
        <v>411324200109025844</v>
      </c>
      <c r="B5655" s="1" t="str">
        <f t="shared" si="2818"/>
        <v>群众</v>
      </c>
      <c r="C5655" s="1" t="str">
        <f t="shared" si="2819"/>
        <v>专科</v>
      </c>
      <c r="D5655" s="1" t="str">
        <f>"20220701"</f>
        <v>20220701</v>
      </c>
      <c r="E5655" s="1" t="str">
        <f>"南阳医学高等专科学校"</f>
        <v>南阳医学高等专科学校</v>
      </c>
      <c r="F5655" s="1" t="str">
        <f>"护理"</f>
        <v>护理</v>
      </c>
      <c r="G5655" s="1" t="str">
        <f>"河南省南阳市镇平县城关镇安国路14组2号"</f>
        <v>河南省南阳市镇平县城关镇安国路14组2号</v>
      </c>
      <c r="H5655" s="1" t="str">
        <f>"护士执业证"</f>
        <v>护士执业证</v>
      </c>
      <c r="I5655" s="1" t="str">
        <f>"2016年9月--2019年6月在镇平县雪峰中学就读
2019年9月--2021年6月在南阳医学高等专科学校就读
2021年7月--2022年1月在镇平县人民医院实习
2022年3月--2022年10月在镇平县人民医院上班
2022年11月至今在镇平县第二人民医院上班"</f>
        <v>2016年9月--2019年6月在镇平县雪峰中学就读
2019年9月--2021年6月在南阳医学高等专科学校就读
2021年7月--2022年1月在镇平县人民医院实习
2022年3月--2022年10月在镇平县人民医院上班
2022年11月至今在镇平县第二人民医院上班</v>
      </c>
    </row>
    <row r="5656" spans="1:9">
      <c r="A5656" s="1" t="str">
        <f>"411327199801231541"</f>
        <v>411327199801231541</v>
      </c>
      <c r="B5656" s="1" t="str">
        <f t="shared" si="2818"/>
        <v>群众</v>
      </c>
      <c r="C5656" s="1" t="str">
        <f t="shared" ref="C5656:C5659" si="2821">"本科"</f>
        <v>本科</v>
      </c>
      <c r="D5656" s="1" t="str">
        <f>"20210701"</f>
        <v>20210701</v>
      </c>
      <c r="E5656" s="1" t="str">
        <f>"郑州工业应用技术学院"</f>
        <v>郑州工业应用技术学院</v>
      </c>
      <c r="F5656" s="1" t="str">
        <f>"药学"</f>
        <v>药学</v>
      </c>
      <c r="G5656" s="1" t="str">
        <f>"河南省南阳市内乡县郦都国际1期"</f>
        <v>河南省南阳市内乡县郦都国际1期</v>
      </c>
      <c r="H5656" s="1" t="str">
        <f>"药士"</f>
        <v>药士</v>
      </c>
      <c r="I5656" s="1" t="str">
        <f>"201309-201807南阳医学高等专科学校药学系药品生产技术全日制
201809-202107郑州工业应用技术学院药学非全日制"</f>
        <v>201309-201807南阳医学高等专科学校药学系药品生产技术全日制
201809-202107郑州工业应用技术学院药学非全日制</v>
      </c>
    </row>
    <row r="5657" spans="1:9">
      <c r="A5657" s="1" t="str">
        <f>"131182200203286632"</f>
        <v>131182200203286632</v>
      </c>
      <c r="B5657" s="1" t="str">
        <f t="shared" ref="B5657:B5660" si="2822">"共青团员"</f>
        <v>共青团员</v>
      </c>
      <c r="C5657" s="1" t="str">
        <f t="shared" si="2821"/>
        <v>本科</v>
      </c>
      <c r="D5657" s="1" t="str">
        <f>"20250615"</f>
        <v>20250615</v>
      </c>
      <c r="E5657" s="1" t="str">
        <f>"华北理工大学冀唐学院"</f>
        <v>华北理工大学冀唐学院</v>
      </c>
      <c r="F5657" s="1" t="str">
        <f>"临床医学"</f>
        <v>临床医学</v>
      </c>
      <c r="G5657" s="1" t="str">
        <f>"河北省衡水市深州市英才小区"</f>
        <v>河北省衡水市深州市英才小区</v>
      </c>
      <c r="H5657" s="1" t="str">
        <f>"无"</f>
        <v>无</v>
      </c>
      <c r="I5657" s="1" t="str">
        <f>"2020.9-2025.6就读于华北理工大学冀唐学院临床医学专业全日制
2017.9-2020.6就读于河北省深州市中学全日制
"</f>
        <v>2020.9-2025.6就读于华北理工大学冀唐学院临床医学专业全日制
2017.9-2020.6就读于河北省深州市中学全日制
</v>
      </c>
    </row>
    <row r="5658" spans="1:9">
      <c r="A5658" s="1" t="str">
        <f>"411327199011054536"</f>
        <v>411327199011054536</v>
      </c>
      <c r="B5658" s="1" t="str">
        <f t="shared" ref="B5658:B5663" si="2823">"群众"</f>
        <v>群众</v>
      </c>
      <c r="C5658" s="1" t="str">
        <f t="shared" si="2821"/>
        <v>本科</v>
      </c>
      <c r="D5658" s="1" t="str">
        <f>"2025年1月1日"</f>
        <v>2025年1月1日</v>
      </c>
      <c r="E5658" s="1" t="str">
        <f>"河南新乡医学院"</f>
        <v>河南新乡医学院</v>
      </c>
      <c r="F5658" s="1" t="str">
        <f>"临床医学"</f>
        <v>临床医学</v>
      </c>
      <c r="G5658" s="1" t="str">
        <f>"河南省南阳市内乡县赵店乡赵店街4组"</f>
        <v>河南省南阳市内乡县赵店乡赵店街4组</v>
      </c>
      <c r="H5658" s="1" t="str">
        <f>"执业医师"</f>
        <v>执业医师</v>
      </c>
      <c r="I5658" s="1" t="str">
        <f>"201809—202107 廊坊卫生职业学院 临床医学专业全日制
202109—202306 邓州市中心医院全科医师规范化培训
202201—202501 河南新乡医学院  临床医学专业 非全日制"</f>
        <v>201809—202107 廊坊卫生职业学院 临床医学专业全日制
202109—202306 邓州市中心医院全科医师规范化培训
202201—202501 河南新乡医学院  临床医学专业 非全日制</v>
      </c>
    </row>
    <row r="5659" spans="1:9">
      <c r="A5659" s="1" t="str">
        <f>"411327200401154220"</f>
        <v>411327200401154220</v>
      </c>
      <c r="B5659" s="1" t="str">
        <f t="shared" si="2822"/>
        <v>共青团员</v>
      </c>
      <c r="C5659" s="1" t="str">
        <f t="shared" si="2821"/>
        <v>本科</v>
      </c>
      <c r="D5659" s="1" t="str">
        <f>"20250616"</f>
        <v>20250616</v>
      </c>
      <c r="E5659" s="1" t="str">
        <f>"商丘工学院"</f>
        <v>商丘工学院</v>
      </c>
      <c r="F5659" s="1" t="str">
        <f>"护理学"</f>
        <v>护理学</v>
      </c>
      <c r="G5659" s="1" t="str">
        <f>"河南省南阳市内乡县余关乡余关街朝阳路123号"</f>
        <v>河南省南阳市内乡县余关乡余关街朝阳路123号</v>
      </c>
      <c r="H5659" s="1" t="str">
        <f>"护士资格证，初级（士）"</f>
        <v>护士资格证，初级（士）</v>
      </c>
      <c r="I5659" s="1" t="str">
        <f>"202109-202506在商丘工学院医学院护理学就读，全日制本科。"</f>
        <v>202109-202506在商丘工学院医学院护理学就读，全日制本科。</v>
      </c>
    </row>
    <row r="5660" spans="1:9">
      <c r="A5660" s="1" t="str">
        <f>"411327200304130323"</f>
        <v>411327200304130323</v>
      </c>
      <c r="B5660" s="1" t="str">
        <f t="shared" si="2822"/>
        <v>共青团员</v>
      </c>
      <c r="C5660" s="1" t="str">
        <f t="shared" ref="C5660:C5664" si="2824">"专科"</f>
        <v>专科</v>
      </c>
      <c r="D5660" s="1" t="str">
        <f>"20240620"</f>
        <v>20240620</v>
      </c>
      <c r="E5660" s="1" t="str">
        <f>"河南推拿职业学院"</f>
        <v>河南推拿职业学院</v>
      </c>
      <c r="F5660" s="1" t="str">
        <f>"护理"</f>
        <v>护理</v>
      </c>
      <c r="G5660" s="1" t="str">
        <f>"河南省南阳市内乡县大桥乡陡沟村"</f>
        <v>河南省南阳市内乡县大桥乡陡沟村</v>
      </c>
      <c r="H5660" s="1" t="str">
        <f>"护士执业证"</f>
        <v>护士执业证</v>
      </c>
      <c r="I5660" s="1" t="str">
        <f>"202109-202406 河南推拿职业学院 护理系 护理 专业就读 全日制学历"</f>
        <v>202109-202406 河南推拿职业学院 护理系 护理 专业就读 全日制学历</v>
      </c>
    </row>
    <row r="5661" spans="1:9">
      <c r="A5661" s="1" t="str">
        <f>"411381200407225622"</f>
        <v>411381200407225622</v>
      </c>
      <c r="B5661" s="1" t="str">
        <f t="shared" si="2823"/>
        <v>群众</v>
      </c>
      <c r="C5661" s="1" t="str">
        <f t="shared" si="2824"/>
        <v>专科</v>
      </c>
      <c r="D5661" s="1" t="str">
        <f>"2024年6月20日"</f>
        <v>2024年6月20日</v>
      </c>
      <c r="E5661" s="1" t="str">
        <f>"漯河医学高等专科学校"</f>
        <v>漯河医学高等专科学校</v>
      </c>
      <c r="F5661" s="1" t="str">
        <f>"护理专业"</f>
        <v>护理专业</v>
      </c>
      <c r="G5661" s="1" t="str">
        <f>"河南省邓州市湍宾小区"</f>
        <v>河南省邓州市湍宾小区</v>
      </c>
      <c r="H5661" s="1" t="str">
        <f>"护士资格证"</f>
        <v>护士资格证</v>
      </c>
      <c r="I5661" s="1" t="str">
        <f>"2021-09-01-2024-06-20在漯河医学高等专科学校就读
2023-06-20-2024-02-20在邓州市中心医院实习
2025-0127-2025-07-29在邓州市人民医院工作"</f>
        <v>2021-09-01-2024-06-20在漯河医学高等专科学校就读
2023-06-20-2024-02-20在邓州市中心医院实习
2025-0127-2025-07-29在邓州市人民医院工作</v>
      </c>
    </row>
    <row r="5662" spans="1:9">
      <c r="A5662" s="1" t="str">
        <f>"411327199604080086"</f>
        <v>411327199604080086</v>
      </c>
      <c r="B5662" s="1" t="str">
        <f t="shared" si="2823"/>
        <v>群众</v>
      </c>
      <c r="C5662" s="1" t="str">
        <f t="shared" ref="C5662:C5667" si="2825">"本科"</f>
        <v>本科</v>
      </c>
      <c r="D5662" s="1" t="str">
        <f>"20190701"</f>
        <v>20190701</v>
      </c>
      <c r="E5662" s="1" t="str">
        <f>"新乡医学院"</f>
        <v>新乡医学院</v>
      </c>
      <c r="F5662" s="1" t="str">
        <f>"医学检验技术"</f>
        <v>医学检验技术</v>
      </c>
      <c r="G5662" s="1" t="str">
        <f>"河南省 南阳市内乡县"</f>
        <v>河南省 南阳市内乡县</v>
      </c>
      <c r="H5662" s="1" t="str">
        <f>"初级检验师资格证"</f>
        <v>初级检验师资格证</v>
      </c>
      <c r="I5662" s="1" t="str">
        <f>"201509-201906新乡医学院国际教育学院全日制医学检验技术专业就读
201907-202011在河南省内乡县待业
202012至今就职于内乡县人民医院检验科"</f>
        <v>201509-201906新乡医学院国际教育学院全日制医学检验技术专业就读
201907-202011在河南省内乡县待业
202012至今就职于内乡县人民医院检验科</v>
      </c>
    </row>
    <row r="5663" spans="1:9">
      <c r="A5663" s="1" t="str">
        <f>"411327200102181587"</f>
        <v>411327200102181587</v>
      </c>
      <c r="B5663" s="1" t="str">
        <f t="shared" si="2823"/>
        <v>群众</v>
      </c>
      <c r="C5663" s="1" t="str">
        <f t="shared" si="2824"/>
        <v>专科</v>
      </c>
      <c r="D5663" s="1" t="str">
        <f>"20220701"</f>
        <v>20220701</v>
      </c>
      <c r="E5663" s="1" t="str">
        <f>"南阳医学高等专科学校"</f>
        <v>南阳医学高等专科学校</v>
      </c>
      <c r="F5663" s="1" t="str">
        <f>"临床医学"</f>
        <v>临床医学</v>
      </c>
      <c r="G5663" s="1" t="str">
        <f>"内乡县梨苑山庄"</f>
        <v>内乡县梨苑山庄</v>
      </c>
      <c r="H5663" s="1" t="str">
        <f>"助理医师证书"</f>
        <v>助理医师证书</v>
      </c>
      <c r="I5663" s="1" t="str">
        <f>"201909-202207 南阳医学高等专科学校就读临床医学系，全日制学习"</f>
        <v>201909-202207 南阳医学高等专科学校就读临床医学系，全日制学习</v>
      </c>
    </row>
    <row r="5664" spans="1:9">
      <c r="A5664" s="1" t="str">
        <f>"411381200210014549"</f>
        <v>411381200210014549</v>
      </c>
      <c r="B5664" s="1" t="str">
        <f>"共青团员"</f>
        <v>共青团员</v>
      </c>
      <c r="C5664" s="1" t="str">
        <f t="shared" si="2824"/>
        <v>专科</v>
      </c>
      <c r="D5664" s="1" t="str">
        <f>"20240701"</f>
        <v>20240701</v>
      </c>
      <c r="E5664" s="1" t="str">
        <f>"济源职业技术学院"</f>
        <v>济源职业技术学院</v>
      </c>
      <c r="F5664" s="1" t="str">
        <f>"护理"</f>
        <v>护理</v>
      </c>
      <c r="G5664" s="1" t="str">
        <f>"河南省南阳市邓州市张村镇和谐街"</f>
        <v>河南省南阳市邓州市张村镇和谐街</v>
      </c>
      <c r="H5664" s="1" t="str">
        <f>"护士执业证书"</f>
        <v>护士执业证书</v>
      </c>
      <c r="I5664" s="1" t="str">
        <f>"202109-202407济源职业技术学院医学护理系护理专业就读，是全日制学历。
202408至今在河南省南阳市邓州市张村卫生院临时就业。
"</f>
        <v>202109-202407济源职业技术学院医学护理系护理专业就读，是全日制学历。
202408至今在河南省南阳市邓州市张村卫生院临时就业。
</v>
      </c>
    </row>
    <row r="5665" spans="1:9">
      <c r="A5665" s="1" t="str">
        <f>"411327199112011543"</f>
        <v>411327199112011543</v>
      </c>
      <c r="B5665" s="1" t="str">
        <f t="shared" ref="B5665:B5669" si="2826">"群众"</f>
        <v>群众</v>
      </c>
      <c r="C5665" s="1" t="str">
        <f t="shared" si="2825"/>
        <v>本科</v>
      </c>
      <c r="D5665" s="1" t="str">
        <f>"20160701"</f>
        <v>20160701</v>
      </c>
      <c r="E5665" s="1" t="str">
        <f>"浙江海洋大学"</f>
        <v>浙江海洋大学</v>
      </c>
      <c r="F5665" s="1" t="str">
        <f>"药学"</f>
        <v>药学</v>
      </c>
      <c r="G5665" s="1" t="str">
        <f>"内乡县城关镇"</f>
        <v>内乡县城关镇</v>
      </c>
      <c r="H5665" s="1" t="str">
        <f>"药学 中级"</f>
        <v>药学 中级</v>
      </c>
      <c r="I5665" s="1" t="str">
        <f>"201209-2016-07在浙江海洋大学，药学专业就读；全日制；"</f>
        <v>201209-2016-07在浙江海洋大学，药学专业就读；全日制；</v>
      </c>
    </row>
    <row r="5666" spans="1:9">
      <c r="A5666" s="1" t="str">
        <f>"411325200003070061"</f>
        <v>411325200003070061</v>
      </c>
      <c r="B5666" s="1" t="str">
        <f>"中共党员"</f>
        <v>中共党员</v>
      </c>
      <c r="C5666" s="1" t="str">
        <f t="shared" si="2825"/>
        <v>本科</v>
      </c>
      <c r="D5666" s="1" t="str">
        <f>"20210709"</f>
        <v>20210709</v>
      </c>
      <c r="E5666" s="1" t="str">
        <f>"河南理工大学"</f>
        <v>河南理工大学</v>
      </c>
      <c r="F5666" s="1" t="str">
        <f>"护理学"</f>
        <v>护理学</v>
      </c>
      <c r="G5666" s="1" t="str">
        <f>"河南省内乡县城关镇清真寺一组"</f>
        <v>河南省内乡县城关镇清真寺一组</v>
      </c>
      <c r="H5666" s="1" t="str">
        <f>"卫生专业技术资格证"</f>
        <v>卫生专业技术资格证</v>
      </c>
      <c r="I5666" s="1" t="str">
        <f>"201709-202107河南理工大学鹤壁工程学院护理专业就读202107-202209备考研究生202209-202507甘肃中医药大学护理学院护理专业就读"</f>
        <v>201709-202107河南理工大学鹤壁工程学院护理专业就读202107-202209备考研究生202209-202507甘肃中医药大学护理学院护理专业就读</v>
      </c>
    </row>
    <row r="5667" spans="1:9">
      <c r="A5667" s="1" t="str">
        <f>"411302200209190080"</f>
        <v>411302200209190080</v>
      </c>
      <c r="B5667" s="1" t="str">
        <f t="shared" si="2826"/>
        <v>群众</v>
      </c>
      <c r="C5667" s="1" t="str">
        <f t="shared" si="2825"/>
        <v>本科</v>
      </c>
      <c r="D5667" s="1" t="str">
        <f>"2024-07-01"</f>
        <v>2024-07-01</v>
      </c>
      <c r="E5667" s="1" t="str">
        <f>"陕西中医药大学"</f>
        <v>陕西中医药大学</v>
      </c>
      <c r="F5667" s="1" t="str">
        <f>"医学检验技术"</f>
        <v>医学检验技术</v>
      </c>
      <c r="G5667" s="1" t="str">
        <f>"河南省南阳市宛城区白河镇竹园村刘高庄"</f>
        <v>河南省南阳市宛城区白河镇竹园村刘高庄</v>
      </c>
      <c r="H5667" s="1" t="str">
        <f t="shared" ref="H5667:H5672" si="2827">"无"</f>
        <v>无</v>
      </c>
      <c r="I5667" s="1" t="str">
        <f>"202009-202407陕西中医药大学医学技术学院医学检验技术专业就读
202407-至今河南省南阳市待业"</f>
        <v>202009-202407陕西中医药大学医学技术学院医学检验技术专业就读
202407-至今河南省南阳市待业</v>
      </c>
    </row>
    <row r="5668" spans="1:9">
      <c r="A5668" s="1" t="str">
        <f>"411327199411081541"</f>
        <v>411327199411081541</v>
      </c>
      <c r="B5668" s="1" t="str">
        <f t="shared" si="2826"/>
        <v>群众</v>
      </c>
      <c r="C5668" s="1" t="str">
        <f t="shared" ref="C5668:C5670" si="2828">"专科"</f>
        <v>专科</v>
      </c>
      <c r="D5668" s="1" t="str">
        <f>"20160701"</f>
        <v>20160701</v>
      </c>
      <c r="E5668" s="1" t="str">
        <f>"河南医学高等专科学校"</f>
        <v>河南医学高等专科学校</v>
      </c>
      <c r="F5668" s="1" t="str">
        <f>"护理"</f>
        <v>护理</v>
      </c>
      <c r="G5668" s="1" t="str">
        <f>"河南省南阳市内乡县湍东镇"</f>
        <v>河南省南阳市内乡县湍东镇</v>
      </c>
      <c r="H5668" s="1" t="str">
        <f>"护师"</f>
        <v>护师</v>
      </c>
      <c r="I5668" s="1" t="str">
        <f>"201309-201607  河南医学高等专科学校   护理系   护理专业
是全日制学历"</f>
        <v>201309-201607  河南医学高等专科学校   护理系   护理专业
是全日制学历</v>
      </c>
    </row>
    <row r="5669" spans="1:9">
      <c r="A5669" s="1" t="str">
        <f>"411323200103124423"</f>
        <v>411323200103124423</v>
      </c>
      <c r="B5669" s="1" t="str">
        <f t="shared" si="2826"/>
        <v>群众</v>
      </c>
      <c r="C5669" s="1" t="str">
        <f t="shared" si="2828"/>
        <v>专科</v>
      </c>
      <c r="D5669" s="1" t="str">
        <f>"20230701"</f>
        <v>20230701</v>
      </c>
      <c r="E5669" s="1" t="str">
        <f>"南阳医学高等专科学校"</f>
        <v>南阳医学高等专科学校</v>
      </c>
      <c r="F5669" s="1" t="str">
        <f>"临床专业"</f>
        <v>临床专业</v>
      </c>
      <c r="G5669" s="1" t="str">
        <f>"河南省南阳市宛城区赤虎街道油田总医院"</f>
        <v>河南省南阳市宛城区赤虎街道油田总医院</v>
      </c>
      <c r="H5669" s="1" t="str">
        <f>"执业助理医师专业技术十三级"</f>
        <v>执业助理医师专业技术十三级</v>
      </c>
      <c r="I5669" s="1" t="str">
        <f>"20200901-20230701就读于南阳医学高等专科学校临床医院系临床医院就读，是全日制学历；20230701-20240731工作于淅川县第二人民医院；20240801后于南阳油田总医院参与助理全科医师规范化培训至今。"</f>
        <v>20200901-20230701就读于南阳医学高等专科学校临床医院系临床医院就读，是全日制学历；20230701-20240731工作于淅川县第二人民医院；20240801后于南阳油田总医院参与助理全科医师规范化培训至今。</v>
      </c>
    </row>
    <row r="5670" spans="1:9">
      <c r="A5670" s="1" t="str">
        <f>"411323200410121767"</f>
        <v>411323200410121767</v>
      </c>
      <c r="B5670" s="1" t="str">
        <f>"共青团员"</f>
        <v>共青团员</v>
      </c>
      <c r="C5670" s="1" t="str">
        <f t="shared" si="2828"/>
        <v>专科</v>
      </c>
      <c r="D5670" s="1" t="str">
        <f>"2025628"</f>
        <v>2025628</v>
      </c>
      <c r="E5670" s="1" t="str">
        <f>"南阳医学高等专科学校"</f>
        <v>南阳医学高等专科学校</v>
      </c>
      <c r="F5670" s="1" t="str">
        <f>"临床医学"</f>
        <v>临床医学</v>
      </c>
      <c r="G5670" s="1" t="str">
        <f>"河南省南阳市淅川县"</f>
        <v>河南省南阳市淅川县</v>
      </c>
      <c r="H5670" s="1" t="str">
        <f t="shared" si="2827"/>
        <v>无</v>
      </c>
      <c r="I5670" s="1" t="str">
        <f>"202209-202506 于南阳医学高等专科学校中外合作办学临床医学系就读，为全日制专科学历。"</f>
        <v>202209-202506 于南阳医学高等专科学校中外合作办学临床医学系就读，为全日制专科学历。</v>
      </c>
    </row>
    <row r="5671" spans="1:9">
      <c r="A5671" s="1" t="str">
        <f>"411330200211113418"</f>
        <v>411330200211113418</v>
      </c>
      <c r="B5671" s="1" t="str">
        <f t="shared" ref="B5671:B5674" si="2829">"群众"</f>
        <v>群众</v>
      </c>
      <c r="C5671" s="1" t="str">
        <f t="shared" ref="C5671:C5673" si="2830">"本科"</f>
        <v>本科</v>
      </c>
      <c r="D5671" s="1" t="str">
        <f>"2025-06-30"</f>
        <v>2025-06-30</v>
      </c>
      <c r="E5671" s="1" t="str">
        <f>"河南医药大学"</f>
        <v>河南医药大学</v>
      </c>
      <c r="F5671" s="1" t="str">
        <f>"医学检验技术"</f>
        <v>医学检验技术</v>
      </c>
      <c r="G5671" s="1" t="str">
        <f>"河南省南阳市西峡县"</f>
        <v>河南省南阳市西峡县</v>
      </c>
      <c r="H5671" s="1" t="str">
        <f t="shared" si="2827"/>
        <v>无</v>
      </c>
      <c r="I5671" s="1" t="str">
        <f>"202109-202506 河南医药大学 医学技术学院 医学检验技术 就读 全日制本科"</f>
        <v>202109-202506 河南医药大学 医学技术学院 医学检验技术 就读 全日制本科</v>
      </c>
    </row>
    <row r="5672" spans="1:9">
      <c r="A5672" s="1" t="str">
        <f>"411323200202055320"</f>
        <v>411323200202055320</v>
      </c>
      <c r="B5672" s="1" t="str">
        <f>"中共党员"</f>
        <v>中共党员</v>
      </c>
      <c r="C5672" s="1" t="str">
        <f t="shared" si="2830"/>
        <v>本科</v>
      </c>
      <c r="D5672" s="1" t="str">
        <f>"20250612"</f>
        <v>20250612</v>
      </c>
      <c r="E5672" s="1" t="str">
        <f>"郑州工业应用技术学院"</f>
        <v>郑州工业应用技术学院</v>
      </c>
      <c r="F5672" s="1" t="str">
        <f t="shared" ref="F5672:F5676" si="2831">"药学"</f>
        <v>药学</v>
      </c>
      <c r="G5672" s="1" t="str">
        <f>"河南省南阳市邓州市裴营乡刘楼社区西下01"</f>
        <v>河南省南阳市邓州市裴营乡刘楼社区西下01</v>
      </c>
      <c r="H5672" s="1" t="str">
        <f t="shared" si="2827"/>
        <v>无</v>
      </c>
      <c r="I5672" s="1" t="str">
        <f>"202009-202306 在南阳医学高等专科学校药学系药学专业就读
202309-202506 在郑州工业应用技术学院药学与化学工程学院药学专业就读"</f>
        <v>202009-202306 在南阳医学高等专科学校药学系药学专业就读
202309-202506 在郑州工业应用技术学院药学与化学工程学院药学专业就读</v>
      </c>
    </row>
    <row r="5673" spans="1:9">
      <c r="A5673" s="1" t="str">
        <f>"411325198409091911"</f>
        <v>411325198409091911</v>
      </c>
      <c r="B5673" s="1" t="str">
        <f t="shared" si="2829"/>
        <v>群众</v>
      </c>
      <c r="C5673" s="1" t="str">
        <f t="shared" si="2830"/>
        <v>本科</v>
      </c>
      <c r="D5673" s="1" t="str">
        <f>"20070701"</f>
        <v>20070701</v>
      </c>
      <c r="E5673" s="1" t="str">
        <f>"河南中医学院"</f>
        <v>河南中医学院</v>
      </c>
      <c r="F5673" s="1" t="str">
        <f>"中医学（中西医结合方向）"</f>
        <v>中医学（中西医结合方向）</v>
      </c>
      <c r="G5673" s="1" t="str">
        <f>"南阳市卧龙区七一路"</f>
        <v>南阳市卧龙区七一路</v>
      </c>
      <c r="H5673" s="1" t="str">
        <f>"河南省专业技术人员职称证书（副高级）"</f>
        <v>河南省专业技术人员职称证书（副高级）</v>
      </c>
      <c r="I5673" s="1" t="str">
        <f>"200209-200707 河南中医学院就读，第一临床医学院，中医学（中西医结合方向），全日制。
200708-至今 南阳市中医院"</f>
        <v>200209-200707 河南中医学院就读，第一临床医学院，中医学（中西医结合方向），全日制。
200708-至今 南阳市中医院</v>
      </c>
    </row>
    <row r="5674" spans="1:9">
      <c r="A5674" s="1" t="str">
        <f>"41132720030828061X"</f>
        <v>41132720030828061X</v>
      </c>
      <c r="B5674" s="1" t="str">
        <f t="shared" si="2829"/>
        <v>群众</v>
      </c>
      <c r="C5674" s="1" t="str">
        <f>"专科"</f>
        <v>专科</v>
      </c>
      <c r="D5674" s="1" t="str">
        <f>"20240618"</f>
        <v>20240618</v>
      </c>
      <c r="E5674" s="1" t="str">
        <f>"郑州黄河护理职业学院"</f>
        <v>郑州黄河护理职业学院</v>
      </c>
      <c r="F5674" s="1" t="str">
        <f t="shared" si="2831"/>
        <v>药学</v>
      </c>
      <c r="G5674" s="1" t="str">
        <f>"河南省内乡县马山口镇"</f>
        <v>河南省内乡县马山口镇</v>
      </c>
      <c r="H5674" s="1" t="str">
        <f>"无"</f>
        <v>无</v>
      </c>
      <c r="I5674" s="1" t="str">
        <f>"在郑州黄河护理职业学校就读有俩年在医院药房工作经验"</f>
        <v>在郑州黄河护理职业学校就读有俩年在医院药房工作经验</v>
      </c>
    </row>
    <row r="5675" spans="1:9">
      <c r="A5675" s="1" t="str">
        <f>"411202200008245019"</f>
        <v>411202200008245019</v>
      </c>
      <c r="B5675" s="1" t="str">
        <f t="shared" ref="B5675:B5678" si="2832">"共青团员"</f>
        <v>共青团员</v>
      </c>
      <c r="C5675" s="1" t="str">
        <f t="shared" ref="C5675:C5677" si="2833">"本科"</f>
        <v>本科</v>
      </c>
      <c r="D5675" s="1" t="str">
        <f>"20240701"</f>
        <v>20240701</v>
      </c>
      <c r="E5675" s="1" t="str">
        <f>"郑州工业应用技术学院"</f>
        <v>郑州工业应用技术学院</v>
      </c>
      <c r="F5675" s="1" t="str">
        <f t="shared" ref="F5675:F5679" si="2834">"护理学"</f>
        <v>护理学</v>
      </c>
      <c r="G5675" s="1" t="str">
        <f>"河南省三门峡市湖滨区涧河街道丽景湾小区7号楼"</f>
        <v>河南省三门峡市湖滨区涧河街道丽景湾小区7号楼</v>
      </c>
      <c r="H5675" s="1" t="str">
        <f>"护士执业资格证书，护士执业证书。"</f>
        <v>护士执业资格证书，护士执业证书。</v>
      </c>
      <c r="I5675" s="1" t="str">
        <f>"201607-201907：三门峡市第一高级中学，全日制高中，理工科就读；
201907-202207：商丘医学高等专科学校，全日制专科就读，护理专业；
202207-202407：郑州工业应用技术学院，全日制本科就读，护理学专业；
202407-至今：在家中待业（河南省三门峡市湖滨区）。"</f>
        <v>201607-201907：三门峡市第一高级中学，全日制高中，理工科就读；
201907-202207：商丘医学高等专科学校，全日制专科就读，护理专业；
202207-202407：郑州工业应用技术学院，全日制本科就读，护理学专业；
202407-至今：在家中待业（河南省三门峡市湖滨区）。</v>
      </c>
    </row>
    <row r="5676" spans="1:9">
      <c r="A5676" s="1" t="str">
        <f>"410621200108233605"</f>
        <v>410621200108233605</v>
      </c>
      <c r="B5676" s="1" t="str">
        <f t="shared" si="2832"/>
        <v>共青团员</v>
      </c>
      <c r="C5676" s="1" t="str">
        <f t="shared" si="2833"/>
        <v>本科</v>
      </c>
      <c r="D5676" s="1" t="str">
        <f>"20250613"</f>
        <v>20250613</v>
      </c>
      <c r="E5676" s="1" t="str">
        <f>"新乡医学院三全学院"</f>
        <v>新乡医学院三全学院</v>
      </c>
      <c r="F5676" s="1" t="str">
        <f t="shared" si="2831"/>
        <v>药学</v>
      </c>
      <c r="G5676" s="1" t="str">
        <f>"河南省鹤壁市淇滨区九江路新城花园"</f>
        <v>河南省鹤壁市淇滨区九江路新城花园</v>
      </c>
      <c r="H5676" s="1" t="str">
        <f>"无"</f>
        <v>无</v>
      </c>
      <c r="I5676" s="1" t="str">
        <f>"202009-202306许昌学院药学专业就读，是全日制学历
202309-202506新乡医学院三全学院药学专业就读，是全日制学历"</f>
        <v>202009-202306许昌学院药学专业就读，是全日制学历
202309-202506新乡医学院三全学院药学专业就读，是全日制学历</v>
      </c>
    </row>
    <row r="5677" spans="1:9">
      <c r="A5677" s="1" t="str">
        <f>"411327199002273323"</f>
        <v>411327199002273323</v>
      </c>
      <c r="B5677" s="1" t="str">
        <f>"中共党员"</f>
        <v>中共党员</v>
      </c>
      <c r="C5677" s="1" t="str">
        <f t="shared" si="2833"/>
        <v>本科</v>
      </c>
      <c r="D5677" s="1" t="str">
        <f>"20130701"</f>
        <v>20130701</v>
      </c>
      <c r="E5677" s="1" t="str">
        <f>"河南大学"</f>
        <v>河南大学</v>
      </c>
      <c r="F5677" s="1" t="str">
        <f t="shared" si="2834"/>
        <v>护理学</v>
      </c>
      <c r="G5677" s="1" t="str">
        <f>"河南省内乡县城关镇梨园山庄"</f>
        <v>河南省内乡县城关镇梨园山庄</v>
      </c>
      <c r="H5677" s="1" t="str">
        <f>"主管护师"</f>
        <v>主管护师</v>
      </c>
      <c r="I5677" s="1" t="str">
        <f>"200909-201307 河南大学护理学院就读 护理学专业 全日制本科
201308-201411待业
201412-201912内乡县人民医院上班
202001-至今内乡县医疗保险中心上班"</f>
        <v>200909-201307 河南大学护理学院就读 护理学专业 全日制本科
201308-201411待业
201412-201912内乡县人民医院上班
202001-至今内乡县医疗保险中心上班</v>
      </c>
    </row>
    <row r="5678" spans="1:9">
      <c r="A5678" s="1" t="str">
        <f>"411330200010012522"</f>
        <v>411330200010012522</v>
      </c>
      <c r="B5678" s="1" t="str">
        <f t="shared" si="2832"/>
        <v>共青团员</v>
      </c>
      <c r="C5678" s="1" t="str">
        <f t="shared" ref="C5678:C5682" si="2835">"专科"</f>
        <v>专科</v>
      </c>
      <c r="D5678" s="1" t="str">
        <f>"20220701"</f>
        <v>20220701</v>
      </c>
      <c r="E5678" s="1" t="str">
        <f>"三门峡职业技术学院"</f>
        <v>三门峡职业技术学院</v>
      </c>
      <c r="F5678" s="1" t="str">
        <f t="shared" ref="F5678:F5682" si="2836">"护理"</f>
        <v>护理</v>
      </c>
      <c r="G5678" s="1" t="str">
        <f>"河南省南阳市西峡县丁河镇"</f>
        <v>河南省南阳市西峡县丁河镇</v>
      </c>
      <c r="H5678" s="1" t="str">
        <f>"护士资格证"</f>
        <v>护士资格证</v>
      </c>
      <c r="I5678" s="1" t="str">
        <f>"201909-202207 三门峡职业技术学院医护学院护理专业就读 全日制"</f>
        <v>201909-202207 三门峡职业技术学院医护学院护理专业就读 全日制</v>
      </c>
    </row>
    <row r="5679" spans="1:9">
      <c r="A5679" s="1" t="str">
        <f>"411327199812010023"</f>
        <v>411327199812010023</v>
      </c>
      <c r="B5679" s="1" t="str">
        <f t="shared" ref="B5679:B5684" si="2837">"群众"</f>
        <v>群众</v>
      </c>
      <c r="C5679" s="1" t="str">
        <f t="shared" ref="C5679:C5684" si="2838">"本科"</f>
        <v>本科</v>
      </c>
      <c r="D5679" s="1" t="str">
        <f>"20210701"</f>
        <v>20210701</v>
      </c>
      <c r="E5679" s="1" t="str">
        <f>"黄河科技学院"</f>
        <v>黄河科技学院</v>
      </c>
      <c r="F5679" s="1" t="str">
        <f t="shared" si="2834"/>
        <v>护理学</v>
      </c>
      <c r="G5679" s="1" t="str">
        <f>"河南省南阳内乡县"</f>
        <v>河南省南阳内乡县</v>
      </c>
      <c r="H5679" s="1" t="str">
        <f>"护师资格证"</f>
        <v>护师资格证</v>
      </c>
      <c r="I5679" s="1" t="str">
        <f>"201609-201907 南阳医学高等专科学校就读 全日制
201909-202107  黄河科技学院就读 全日制
202107-至今 内乡县人民医院上班"</f>
        <v>201609-201907 南阳医学高等专科学校就读 全日制
201909-202107  黄河科技学院就读 全日制
202107-至今 内乡县人民医院上班</v>
      </c>
    </row>
    <row r="5680" spans="1:9">
      <c r="A5680" s="1" t="str">
        <f>"411325199810122926"</f>
        <v>411325199810122926</v>
      </c>
      <c r="B5680" s="1" t="str">
        <f t="shared" si="2837"/>
        <v>群众</v>
      </c>
      <c r="C5680" s="1" t="str">
        <f t="shared" si="2835"/>
        <v>专科</v>
      </c>
      <c r="D5680" s="1" t="str">
        <f>"20190701"</f>
        <v>20190701</v>
      </c>
      <c r="E5680" s="1" t="str">
        <f>"河南护理职业学院"</f>
        <v>河南护理职业学院</v>
      </c>
      <c r="F5680" s="1" t="str">
        <f t="shared" si="2836"/>
        <v>护理</v>
      </c>
      <c r="G5680" s="1" t="str">
        <f>"河南省南阳市宛城区官庄镇油田测井小区"</f>
        <v>河南省南阳市宛城区官庄镇油田测井小区</v>
      </c>
      <c r="H5680" s="1" t="str">
        <f>"护士资格证"</f>
        <v>护士资格证</v>
      </c>
      <c r="I5680" s="1" t="str">
        <f>"2016年9月-2019年河南护理职业学院"</f>
        <v>2016年9月-2019年河南护理职业学院</v>
      </c>
    </row>
    <row r="5681" spans="1:9">
      <c r="A5681" s="1" t="str">
        <f>"411327199911090321"</f>
        <v>411327199911090321</v>
      </c>
      <c r="B5681" s="1" t="str">
        <f t="shared" si="2837"/>
        <v>群众</v>
      </c>
      <c r="C5681" s="1" t="str">
        <f t="shared" si="2838"/>
        <v>本科</v>
      </c>
      <c r="D5681" s="1" t="str">
        <f>"20220701"</f>
        <v>20220701</v>
      </c>
      <c r="E5681" s="1" t="str">
        <f>"黄淮学院"</f>
        <v>黄淮学院</v>
      </c>
      <c r="F5681" s="1" t="str">
        <f>"护理学"</f>
        <v>护理学</v>
      </c>
      <c r="G5681" s="1" t="str">
        <f>"河南省南阳市内乡县大桥乡				"</f>
        <v>河南省南阳市内乡县大桥乡				</v>
      </c>
      <c r="H5681" s="1" t="str">
        <f>"护士执业资格证"</f>
        <v>护士执业资格证</v>
      </c>
      <c r="I5681" s="1" t="str">
        <f>"2018年09年01日在黄淮学院黄淮医学院护理学专业，是全日制学历"</f>
        <v>2018年09年01日在黄淮学院黄淮医学院护理学专业，是全日制学历</v>
      </c>
    </row>
    <row r="5682" spans="1:9">
      <c r="A5682" s="1" t="str">
        <f>"411327199207193116"</f>
        <v>411327199207193116</v>
      </c>
      <c r="B5682" s="1" t="str">
        <f t="shared" si="2837"/>
        <v>群众</v>
      </c>
      <c r="C5682" s="1" t="str">
        <f t="shared" si="2835"/>
        <v>专科</v>
      </c>
      <c r="D5682" s="1" t="str">
        <f>"20160607"</f>
        <v>20160607</v>
      </c>
      <c r="E5682" s="1" t="str">
        <f>"安阳职业技术学院"</f>
        <v>安阳职业技术学院</v>
      </c>
      <c r="F5682" s="1" t="str">
        <f t="shared" si="2836"/>
        <v>护理</v>
      </c>
      <c r="G5682" s="1" t="str">
        <f>"内乡县屈庄村"</f>
        <v>内乡县屈庄村</v>
      </c>
      <c r="H5682" s="1" t="str">
        <f>"主管护师"</f>
        <v>主管护师</v>
      </c>
      <c r="I5682" s="1" t="str">
        <f>"201309-201606安阳职业技术学院医药卫生学院护理专业就读，是"</f>
        <v>201309-201606安阳职业技术学院医药卫生学院护理专业就读，是</v>
      </c>
    </row>
    <row r="5683" spans="1:9">
      <c r="A5683" s="1" t="str">
        <f>"412725199301307116"</f>
        <v>412725199301307116</v>
      </c>
      <c r="B5683" s="1" t="str">
        <f t="shared" si="2837"/>
        <v>群众</v>
      </c>
      <c r="C5683" s="1" t="str">
        <f t="shared" si="2838"/>
        <v>本科</v>
      </c>
      <c r="D5683" s="1" t="str">
        <f>"20200701"</f>
        <v>20200701</v>
      </c>
      <c r="E5683" s="1" t="str">
        <f>"新乡医学院"</f>
        <v>新乡医学院</v>
      </c>
      <c r="F5683" s="1" t="str">
        <f>"临床医学"</f>
        <v>临床医学</v>
      </c>
      <c r="G5683" s="1" t="str">
        <f>"河南省周口市鹿邑县"</f>
        <v>河南省周口市鹿邑县</v>
      </c>
      <c r="H5683" s="1" t="str">
        <f>"医师资格证"</f>
        <v>医师资格证</v>
      </c>
      <c r="I5683" s="1" t="str">
        <f>"201409-201707 南阳医学高等专科学校 临床系 临床医学 是
201709-202007新乡医学院 临床系 临床医学 是"</f>
        <v>201409-201707 南阳医学高等专科学校 临床系 临床医学 是
201709-202007新乡医学院 临床系 临床医学 是</v>
      </c>
    </row>
    <row r="5684" spans="1:9">
      <c r="A5684" s="1" t="str">
        <f>"411327200107100061"</f>
        <v>411327200107100061</v>
      </c>
      <c r="B5684" s="1" t="str">
        <f t="shared" si="2837"/>
        <v>群众</v>
      </c>
      <c r="C5684" s="1" t="str">
        <f t="shared" si="2838"/>
        <v>本科</v>
      </c>
      <c r="D5684" s="1" t="str">
        <f>"2025年7月1日"</f>
        <v>2025年7月1日</v>
      </c>
      <c r="E5684" s="1" t="str">
        <f>"河南科技大学"</f>
        <v>河南科技大学</v>
      </c>
      <c r="F5684" s="1" t="str">
        <f>"护理学"</f>
        <v>护理学</v>
      </c>
      <c r="G5684" s="1" t="str">
        <f>"内乡县菊潭大街65号"</f>
        <v>内乡县菊潭大街65号</v>
      </c>
      <c r="H5684" s="1" t="str">
        <f>"护士执业证"</f>
        <v>护士执业证</v>
      </c>
      <c r="I5684" s="1" t="str">
        <f>"2019.09-2022.07 三门峡职业技术学院就读 全日制学历
2023.04-2025.07 河南科技大学就读 函授 非全日制"</f>
        <v>2019.09-2022.07 三门峡职业技术学院就读 全日制学历
2023.04-2025.07 河南科技大学就读 函授 非全日制</v>
      </c>
    </row>
    <row r="5685" spans="1:9">
      <c r="A5685" s="1" t="str">
        <f>"41132719980927006X"</f>
        <v>41132719980927006X</v>
      </c>
      <c r="B5685" s="1" t="str">
        <f>"中共党员"</f>
        <v>中共党员</v>
      </c>
      <c r="C5685" s="1" t="str">
        <f t="shared" ref="C5685:C5687" si="2839">"专科"</f>
        <v>专科</v>
      </c>
      <c r="D5685" s="1" t="str">
        <f>"20200701"</f>
        <v>20200701</v>
      </c>
      <c r="E5685" s="1" t="str">
        <f>"漯河医学高等专科学校"</f>
        <v>漯河医学高等专科学校</v>
      </c>
      <c r="F5685" s="1" t="str">
        <f>"护理"</f>
        <v>护理</v>
      </c>
      <c r="G5685" s="1" t="str">
        <f>"河南省南阳市内乡县公园南路菊城花园小区"</f>
        <v>河南省南阳市内乡县公园南路菊城花园小区</v>
      </c>
      <c r="H5685" s="1" t="str">
        <f>"201841014151"</f>
        <v>201841014151</v>
      </c>
      <c r="I5685" s="1" t="str">
        <f>"201709-2020-07 在漯河医学高等专科学校护理专业就读，是全日制学历；202008-202111 在中国人民解放军南部战区总医院心脏外科工作；202112至今 在内乡县城关镇卫生院重症监护室工作"</f>
        <v>201709-2020-07 在漯河医学高等专科学校护理专业就读，是全日制学历；202008-202111 在中国人民解放军南部战区总医院心脏外科工作；202112至今 在内乡县城关镇卫生院重症监护室工作</v>
      </c>
    </row>
    <row r="5686" spans="1:9">
      <c r="A5686" s="1" t="str">
        <f>"411323199602012623"</f>
        <v>411323199602012623</v>
      </c>
      <c r="B5686" s="1" t="str">
        <f t="shared" ref="B5686:B5693" si="2840">"群众"</f>
        <v>群众</v>
      </c>
      <c r="C5686" s="1" t="str">
        <f t="shared" si="2839"/>
        <v>专科</v>
      </c>
      <c r="D5686" s="1" t="str">
        <f>"20190701"</f>
        <v>20190701</v>
      </c>
      <c r="E5686" s="1" t="str">
        <f>"鹤壁职业技术学院"</f>
        <v>鹤壁职业技术学院</v>
      </c>
      <c r="F5686" s="1" t="str">
        <f>"护理"</f>
        <v>护理</v>
      </c>
      <c r="G5686" s="1" t="str">
        <f>"河南省南阳市淅川县"</f>
        <v>河南省南阳市淅川县</v>
      </c>
      <c r="H5686" s="1" t="str">
        <f>"护师"</f>
        <v>护师</v>
      </c>
      <c r="I5686" s="1" t="str">
        <f>"2016年9月1日至2019年7月1日在鹤壁职业技术学院就读；
2020年9月28日起在淅川县中医院工作至今。"</f>
        <v>2016年9月1日至2019年7月1日在鹤壁职业技术学院就读；
2020年9月28日起在淅川县中医院工作至今。</v>
      </c>
    </row>
    <row r="5687" spans="1:9">
      <c r="A5687" s="1" t="str">
        <f>"411327200007020611"</f>
        <v>411327200007020611</v>
      </c>
      <c r="B5687" s="1" t="str">
        <f t="shared" ref="B5687:B5689" si="2841">"共青团员"</f>
        <v>共青团员</v>
      </c>
      <c r="C5687" s="1" t="str">
        <f t="shared" si="2839"/>
        <v>专科</v>
      </c>
      <c r="D5687" s="1" t="str">
        <f>"2023.0701"</f>
        <v>2023.0701</v>
      </c>
      <c r="E5687" s="1" t="str">
        <f>"河南护理职业学院"</f>
        <v>河南护理职业学院</v>
      </c>
      <c r="F5687" s="1" t="str">
        <f t="shared" ref="F5687:F5690" si="2842">"临床医学"</f>
        <v>临床医学</v>
      </c>
      <c r="G5687" s="1" t="str">
        <f>"内乡县马山口镇"</f>
        <v>内乡县马山口镇</v>
      </c>
      <c r="H5687" s="1" t="str">
        <f>"无"</f>
        <v>无</v>
      </c>
      <c r="I5687" s="1" t="str">
        <f>"2020.09.01-2023.07.01 河南护理职业学院
2023.09.01-2025.09.01 内乡县人民医院规培"</f>
        <v>2020.09.01-2023.07.01 河南护理职业学院
2023.09.01-2025.09.01 内乡县人民医院规培</v>
      </c>
    </row>
    <row r="5688" spans="1:9">
      <c r="A5688" s="1" t="str">
        <f>"41132719991120152X"</f>
        <v>41132719991120152X</v>
      </c>
      <c r="B5688" s="1" t="str">
        <f t="shared" si="2841"/>
        <v>共青团员</v>
      </c>
      <c r="C5688" s="1" t="str">
        <f>"本科"</f>
        <v>本科</v>
      </c>
      <c r="D5688" s="1" t="str">
        <f>"20210701"</f>
        <v>20210701</v>
      </c>
      <c r="E5688" s="1" t="str">
        <f>"平顶山学院"</f>
        <v>平顶山学院</v>
      </c>
      <c r="F5688" s="1" t="str">
        <f>"护理学"</f>
        <v>护理学</v>
      </c>
      <c r="G5688" s="1" t="str">
        <f>"河南省南阳市内乡县高杆灯广源小区"</f>
        <v>河南省南阳市内乡县高杆灯广源小区</v>
      </c>
      <c r="H5688" s="1" t="str">
        <f>"护师职业资格证"</f>
        <v>护师职业资格证</v>
      </c>
      <c r="I5688" s="1" t="str">
        <f>"20170901-20210701 平顶山学院医学院护理学专业就读，全日制学历
20210701-20211001在家待业
20211001至今在内乡县人民医院就业
"</f>
        <v>20170901-20210701 平顶山学院医学院护理学专业就读，全日制学历
20210701-20211001在家待业
20211001至今在内乡县人民医院就业
</v>
      </c>
    </row>
    <row r="5689" spans="1:9">
      <c r="A5689" s="1" t="str">
        <f>"411327200204080322"</f>
        <v>411327200204080322</v>
      </c>
      <c r="B5689" s="1" t="str">
        <f t="shared" si="2841"/>
        <v>共青团员</v>
      </c>
      <c r="C5689" s="1" t="str">
        <f t="shared" ref="C5689:C5693" si="2843">"专科"</f>
        <v>专科</v>
      </c>
      <c r="D5689" s="1" t="str">
        <f>"20240701"</f>
        <v>20240701</v>
      </c>
      <c r="E5689" s="1" t="str">
        <f>"河南医学高等专科学校"</f>
        <v>河南医学高等专科学校</v>
      </c>
      <c r="F5689" s="1" t="str">
        <f t="shared" si="2842"/>
        <v>临床医学</v>
      </c>
      <c r="G5689" s="1" t="str">
        <f>"河南省南阳市内乡县大桥乡郑营村"</f>
        <v>河南省南阳市内乡县大桥乡郑营村</v>
      </c>
      <c r="H5689" s="1" t="str">
        <f t="shared" ref="H5689:H5694" si="2844">"无"</f>
        <v>无</v>
      </c>
      <c r="I5689" s="1" t="str">
        <f>"2021.09-2024.07 河南医学高等专科学校 临床医学系就读，全日制学历
2024.08-2025.07 邓州市人民医院参加助理全科医生培训"</f>
        <v>2021.09-2024.07 河南医学高等专科学校 临床医学系就读，全日制学历
2024.08-2025.07 邓州市人民医院参加助理全科医生培训</v>
      </c>
    </row>
    <row r="5690" spans="1:9">
      <c r="A5690" s="1" t="str">
        <f>"500236199711294428"</f>
        <v>500236199711294428</v>
      </c>
      <c r="B5690" s="1" t="str">
        <f t="shared" si="2840"/>
        <v>群众</v>
      </c>
      <c r="C5690" s="1" t="str">
        <f t="shared" si="2843"/>
        <v>专科</v>
      </c>
      <c r="D5690" s="1" t="str">
        <f>"20200630"</f>
        <v>20200630</v>
      </c>
      <c r="E5690" s="1" t="str">
        <f>"重庆医药高等专科学校"</f>
        <v>重庆医药高等专科学校</v>
      </c>
      <c r="F5690" s="1" t="str">
        <f t="shared" si="2842"/>
        <v>临床医学</v>
      </c>
      <c r="G5690" s="1" t="str">
        <f>"重庆市奉节县"</f>
        <v>重庆市奉节县</v>
      </c>
      <c r="H5690" s="1" t="str">
        <f>"执业助理医师"</f>
        <v>执业助理医师</v>
      </c>
      <c r="I5690" s="1" t="str">
        <f>"201709-202006重庆医药高等专科学校就读，是全日制学历
"</f>
        <v>201709-202006重庆医药高等专科学校就读，是全日制学历
</v>
      </c>
    </row>
    <row r="5691" spans="1:9">
      <c r="A5691" s="1" t="str">
        <f>"411327199510260641"</f>
        <v>411327199510260641</v>
      </c>
      <c r="B5691" s="1" t="str">
        <f t="shared" si="2840"/>
        <v>群众</v>
      </c>
      <c r="C5691" s="1" t="str">
        <f t="shared" si="2843"/>
        <v>专科</v>
      </c>
      <c r="D5691" s="1" t="str">
        <f>"20160701"</f>
        <v>20160701</v>
      </c>
      <c r="E5691" s="1" t="str">
        <f>"南阳医学高等专科学校"</f>
        <v>南阳医学高等专科学校</v>
      </c>
      <c r="F5691" s="1" t="str">
        <f>"药学"</f>
        <v>药学</v>
      </c>
      <c r="G5691" s="1" t="str">
        <f>"内乡县建业森林半岛"</f>
        <v>内乡县建业森林半岛</v>
      </c>
      <c r="H5691" s="1" t="str">
        <f>"药学初级（师）"</f>
        <v>药学初级（师）</v>
      </c>
      <c r="I5691" s="1" t="str">
        <f>"2011-2013在南阳医学高等专科学校就读药学专业，全日制；
2013-2014在内乡县人民医院实习；
2014-2015在南医学高等专科学校就读药学专业，全日制；
2015-2016在内乡县人民医院实习；"</f>
        <v>2011-2013在南阳医学高等专科学校就读药学专业，全日制；
2013-2014在内乡县人民医院实习；
2014-2015在南医学高等专科学校就读药学专业，全日制；
2015-2016在内乡县人民医院实习；</v>
      </c>
    </row>
    <row r="5692" spans="1:9">
      <c r="A5692" s="1" t="str">
        <f>"411327200001314942"</f>
        <v>411327200001314942</v>
      </c>
      <c r="B5692" s="1" t="str">
        <f t="shared" si="2840"/>
        <v>群众</v>
      </c>
      <c r="C5692" s="1" t="str">
        <f t="shared" si="2843"/>
        <v>专科</v>
      </c>
      <c r="D5692" s="1" t="str">
        <f>"20210701"</f>
        <v>20210701</v>
      </c>
      <c r="E5692" s="1" t="str">
        <f>"濮阳医学高等专科学校"</f>
        <v>濮阳医学高等专科学校</v>
      </c>
      <c r="F5692" s="1" t="str">
        <f>"护理学"</f>
        <v>护理学</v>
      </c>
      <c r="G5692" s="1" t="str">
        <f>"河南省南阳市内乡县灌涨镇"</f>
        <v>河南省南阳市内乡县灌涨镇</v>
      </c>
      <c r="H5692" s="1" t="str">
        <f>"护士"</f>
        <v>护士</v>
      </c>
      <c r="I5692" s="1" t="str">
        <f>"2018年9月至2021年7月就读于濮阳医学高等专科学校护理系护理专业
2021年7月在马山口镇卫生院工作至今"</f>
        <v>2018年9月至2021年7月就读于濮阳医学高等专科学校护理系护理专业
2021年7月在马山口镇卫生院工作至今</v>
      </c>
    </row>
    <row r="5693" spans="1:9">
      <c r="A5693" s="1" t="str">
        <f>"411327199906220320"</f>
        <v>411327199906220320</v>
      </c>
      <c r="B5693" s="1" t="str">
        <f t="shared" si="2840"/>
        <v>群众</v>
      </c>
      <c r="C5693" s="1" t="str">
        <f t="shared" si="2843"/>
        <v>专科</v>
      </c>
      <c r="D5693" s="1" t="str">
        <f>"20200630"</f>
        <v>20200630</v>
      </c>
      <c r="E5693" s="1" t="str">
        <f>"广东食品药品职业学院"</f>
        <v>广东食品药品职业学院</v>
      </c>
      <c r="F5693" s="1" t="str">
        <f>"药品生产技术（药物制剂技术）"</f>
        <v>药品生产技术（药物制剂技术）</v>
      </c>
      <c r="G5693" s="1" t="str">
        <f>"河南省南阳市内乡县大成相府"</f>
        <v>河南省南阳市内乡县大成相府</v>
      </c>
      <c r="H5693" s="1" t="str">
        <f t="shared" si="2844"/>
        <v>无</v>
      </c>
      <c r="I5693" s="1" t="str">
        <f>"201709-202006 在广东食品药品职业学院就读药品生产技术（药物制剂技术）专业就读 全日制学历"</f>
        <v>201709-202006 在广东食品药品职业学院就读药品生产技术（药物制剂技术）专业就读 全日制学历</v>
      </c>
    </row>
    <row r="5694" spans="1:9">
      <c r="A5694" s="1" t="str">
        <f>"411330200203061582"</f>
        <v>411330200203061582</v>
      </c>
      <c r="B5694" s="1" t="str">
        <f t="shared" ref="B5694:B5697" si="2845">"共青团员"</f>
        <v>共青团员</v>
      </c>
      <c r="C5694" s="1" t="str">
        <f>"本科"</f>
        <v>本科</v>
      </c>
      <c r="D5694" s="1" t="str">
        <f>"2025年6月13日"</f>
        <v>2025年6月13日</v>
      </c>
      <c r="E5694" s="1" t="str">
        <f>"新乡医学院三全学院"</f>
        <v>新乡医学院三全学院</v>
      </c>
      <c r="F5694" s="1" t="str">
        <f>"医学检验技术"</f>
        <v>医学检验技术</v>
      </c>
      <c r="G5694" s="1" t="str">
        <f>"河南省南阳市"</f>
        <v>河南省南阳市</v>
      </c>
      <c r="H5694" s="1" t="str">
        <f t="shared" si="2844"/>
        <v>无</v>
      </c>
      <c r="I5694" s="1" t="str">
        <f>"202009-202307河南理工大学医学检验技术专业就读全日制专科
202309-202506新乡医学院三全学院医学检验技术专业就读全日制本科
"</f>
        <v>202009-202307河南理工大学医学检验技术专业就读全日制专科
202309-202506新乡医学院三全学院医学检验技术专业就读全日制本科
</v>
      </c>
    </row>
    <row r="5695" spans="1:9">
      <c r="A5695" s="1" t="str">
        <f>"41132720021025152X"</f>
        <v>41132720021025152X</v>
      </c>
      <c r="B5695" s="1" t="str">
        <f t="shared" si="2845"/>
        <v>共青团员</v>
      </c>
      <c r="C5695" s="1" t="str">
        <f>"本科"</f>
        <v>本科</v>
      </c>
      <c r="D5695" s="1" t="str">
        <f>"20240701"</f>
        <v>20240701</v>
      </c>
      <c r="E5695" s="1" t="str">
        <f>"河南科技职业大学"</f>
        <v>河南科技职业大学</v>
      </c>
      <c r="F5695" s="1" t="str">
        <f>"护理"</f>
        <v>护理</v>
      </c>
      <c r="G5695" s="1" t="str">
        <f>"河南省南阳市内乡县湍东镇屈庄村"</f>
        <v>河南省南阳市内乡县湍东镇屈庄村</v>
      </c>
      <c r="H5695" s="1" t="str">
        <f>"护士资格证"</f>
        <v>护士资格证</v>
      </c>
      <c r="I5695" s="1" t="str">
        <f>"202009-202407 河南科技职业大学医学院护理专业就读 全日制学历"</f>
        <v>202009-202407 河南科技职业大学医学院护理专业就读 全日制学历</v>
      </c>
    </row>
    <row r="5696" spans="1:9">
      <c r="A5696" s="1" t="str">
        <f>"411323200209185320"</f>
        <v>411323200209185320</v>
      </c>
      <c r="B5696" s="1" t="str">
        <f t="shared" si="2845"/>
        <v>共青团员</v>
      </c>
      <c r="C5696" s="1" t="str">
        <f t="shared" ref="C5696:C5699" si="2846">"专科"</f>
        <v>专科</v>
      </c>
      <c r="D5696" s="1" t="str">
        <f>"20230701"</f>
        <v>20230701</v>
      </c>
      <c r="E5696" s="1" t="str">
        <f t="shared" ref="E5696:E5701" si="2847">"南阳医学高等专科学校"</f>
        <v>南阳医学高等专科学校</v>
      </c>
      <c r="F5696" s="1" t="str">
        <f t="shared" ref="F5696:F5702" si="2848">"临床医学"</f>
        <v>临床医学</v>
      </c>
      <c r="G5696" s="1" t="str">
        <f>"河南省淅川县香花镇十二里河村"</f>
        <v>河南省淅川县香花镇十二里河村</v>
      </c>
      <c r="H5696" s="1" t="str">
        <f>"助理医师执业证书"</f>
        <v>助理医师执业证书</v>
      </c>
      <c r="I5696" s="1" t="str">
        <f>"202009-202307 南阳医学高等专科学校就读 临床医学专业 全日制
202207-202303 惠州市第六人民医院实习
202304-202308 邓州肿瘤医院耳鼻喉外科医助
202309-202509 内乡县人民医院 助理全科规培
"</f>
        <v>202009-202307 南阳医学高等专科学校就读 临床医学专业 全日制
202207-202303 惠州市第六人民医院实习
202304-202308 邓州肿瘤医院耳鼻喉外科医助
202309-202509 内乡县人民医院 助理全科规培
</v>
      </c>
    </row>
    <row r="5697" spans="1:9">
      <c r="A5697" s="1" t="str">
        <f>"411327200205272019"</f>
        <v>411327200205272019</v>
      </c>
      <c r="B5697" s="1" t="str">
        <f t="shared" si="2845"/>
        <v>共青团员</v>
      </c>
      <c r="C5697" s="1" t="str">
        <f t="shared" si="2846"/>
        <v>专科</v>
      </c>
      <c r="D5697" s="1" t="str">
        <f>"2024-6-12"</f>
        <v>2024-6-12</v>
      </c>
      <c r="E5697" s="1" t="str">
        <f t="shared" si="2847"/>
        <v>南阳医学高等专科学校</v>
      </c>
      <c r="F5697" s="1" t="str">
        <f>"中医学"</f>
        <v>中医学</v>
      </c>
      <c r="G5697" s="1" t="str">
        <f>"内乡县师岗镇"</f>
        <v>内乡县师岗镇</v>
      </c>
      <c r="H5697" s="1" t="str">
        <f t="shared" ref="H5697:H5702" si="2849">"无"</f>
        <v>无</v>
      </c>
      <c r="I5697" s="1" t="str">
        <f>"202109-202406在 南阳医学高等专科学校就读，全日制学历
202406至今在家待业"</f>
        <v>202109-202406在 南阳医学高等专科学校就读，全日制学历
202406至今在家待业</v>
      </c>
    </row>
    <row r="5698" spans="1:9">
      <c r="A5698" s="1" t="str">
        <f>"411282199506211520"</f>
        <v>411282199506211520</v>
      </c>
      <c r="B5698" s="1" t="str">
        <f t="shared" ref="B5698:B5700" si="2850">"群众"</f>
        <v>群众</v>
      </c>
      <c r="C5698" s="1" t="str">
        <f t="shared" si="2846"/>
        <v>专科</v>
      </c>
      <c r="D5698" s="1" t="str">
        <f>"20170701"</f>
        <v>20170701</v>
      </c>
      <c r="E5698" s="1" t="str">
        <f>"河南中医药大学"</f>
        <v>河南中医药大学</v>
      </c>
      <c r="F5698" s="1" t="str">
        <f>"护理"</f>
        <v>护理</v>
      </c>
      <c r="G5698" s="1" t="str">
        <f>"河南省灵宝市锦悦华庭"</f>
        <v>河南省灵宝市锦悦华庭</v>
      </c>
      <c r="H5698" s="1" t="str">
        <f>"护师"</f>
        <v>护师</v>
      </c>
      <c r="I5698" s="1" t="str">
        <f>"20140901-20170701河南中医药大学护理学院护理学专业，全日制
20170701-20190430洛阳新区人民医院
20190501-20200501灵宝市中医院
20200501-20211101灵宝市妇幼保健院
20211101-至今灵宝市上好口腔门诊部
"</f>
        <v>20140901-20170701河南中医药大学护理学院护理学专业，全日制
20170701-20190430洛阳新区人民医院
20190501-20200501灵宝市中医院
20200501-20211101灵宝市妇幼保健院
20211101-至今灵宝市上好口腔门诊部
</v>
      </c>
    </row>
    <row r="5699" spans="1:9">
      <c r="A5699" s="1" t="str">
        <f>"411381200306190416"</f>
        <v>411381200306190416</v>
      </c>
      <c r="B5699" s="1" t="str">
        <f t="shared" si="2850"/>
        <v>群众</v>
      </c>
      <c r="C5699" s="1" t="str">
        <f t="shared" si="2846"/>
        <v>专科</v>
      </c>
      <c r="D5699" s="1" t="str">
        <f>"20240627"</f>
        <v>20240627</v>
      </c>
      <c r="E5699" s="1" t="str">
        <f>"郑州澍青医学高等专科学校"</f>
        <v>郑州澍青医学高等专科学校</v>
      </c>
      <c r="F5699" s="1" t="str">
        <f>"中医学"</f>
        <v>中医学</v>
      </c>
      <c r="G5699" s="1" t="str">
        <f>"1205179671@qq.com"</f>
        <v>1205179671@qq.com</v>
      </c>
      <c r="H5699" s="1" t="str">
        <f t="shared" si="2849"/>
        <v>无</v>
      </c>
      <c r="I5699" s="1" t="str">
        <f>"202109-202406在郑州澍青医学高等专科学校中医学就读，全日制学历"</f>
        <v>202109-202406在郑州澍青医学高等专科学校中医学就读，全日制学历</v>
      </c>
    </row>
    <row r="5700" spans="1:9">
      <c r="A5700" s="1" t="str">
        <f>"630121199709243620"</f>
        <v>630121199709243620</v>
      </c>
      <c r="B5700" s="1" t="str">
        <f t="shared" si="2850"/>
        <v>群众</v>
      </c>
      <c r="C5700" s="1" t="str">
        <f>"本科"</f>
        <v>本科</v>
      </c>
      <c r="D5700" s="1" t="str">
        <f>"20200701"</f>
        <v>20200701</v>
      </c>
      <c r="E5700" s="1" t="str">
        <f>"新乡医学院"</f>
        <v>新乡医学院</v>
      </c>
      <c r="F5700" s="1" t="str">
        <f t="shared" si="2848"/>
        <v>临床医学</v>
      </c>
      <c r="G5700" s="1" t="str">
        <f>"青海省西宁市城西区海湖新区综合安置小区"</f>
        <v>青海省西宁市城西区海湖新区综合安置小区</v>
      </c>
      <c r="H5700" s="1" t="str">
        <f>"执业医师"</f>
        <v>执业医师</v>
      </c>
      <c r="I5700" s="1" t="str">
        <f>"201509-202007，新乡医学院临床医学专业就读，全日制，
202010-202302，海东市共和乡卫生院
202306-至今西宁市中医院急诊科就职"</f>
        <v>201509-202007，新乡医学院临床医学专业就读，全日制，
202010-202302，海东市共和乡卫生院
202306-至今西宁市中医院急诊科就职</v>
      </c>
    </row>
    <row r="5701" spans="1:9">
      <c r="A5701" s="1" t="str">
        <f>"411327200105251528"</f>
        <v>411327200105251528</v>
      </c>
      <c r="B5701" s="1" t="str">
        <f t="shared" ref="B5701:B5705" si="2851">"共青团员"</f>
        <v>共青团员</v>
      </c>
      <c r="C5701" s="1" t="str">
        <f t="shared" ref="C5701:C5706" si="2852">"专科"</f>
        <v>专科</v>
      </c>
      <c r="D5701" s="1" t="str">
        <f>"20220701"</f>
        <v>20220701</v>
      </c>
      <c r="E5701" s="1" t="str">
        <f t="shared" si="2847"/>
        <v>南阳医学高等专科学校</v>
      </c>
      <c r="F5701" s="1" t="str">
        <f t="shared" si="2848"/>
        <v>临床医学</v>
      </c>
      <c r="G5701" s="1" t="str">
        <f>"河南省南阳市内乡县"</f>
        <v>河南省南阳市内乡县</v>
      </c>
      <c r="H5701" s="1" t="str">
        <f t="shared" si="2849"/>
        <v>无</v>
      </c>
      <c r="I5701" s="1" t="str">
        <f>"201909-202207在南阳医学高等专科学校就读 全日制
202403至今在黄河科技学院就读 非全日制成人本科
202310-202502在内乡卫校工作"</f>
        <v>201909-202207在南阳医学高等专科学校就读 全日制
202403至今在黄河科技学院就读 非全日制成人本科
202310-202502在内乡卫校工作</v>
      </c>
    </row>
    <row r="5702" spans="1:9">
      <c r="A5702" s="1" t="str">
        <f>"411327200406160312"</f>
        <v>411327200406160312</v>
      </c>
      <c r="B5702" s="1" t="str">
        <f t="shared" ref="B5702:B5708" si="2853">"群众"</f>
        <v>群众</v>
      </c>
      <c r="C5702" s="1" t="str">
        <f t="shared" si="2852"/>
        <v>专科</v>
      </c>
      <c r="D5702" s="1" t="str">
        <f>"20250701"</f>
        <v>20250701</v>
      </c>
      <c r="E5702" s="1" t="str">
        <f>"黑龙江护理高等专科学校"</f>
        <v>黑龙江护理高等专科学校</v>
      </c>
      <c r="F5702" s="1" t="str">
        <f t="shared" si="2848"/>
        <v>临床医学</v>
      </c>
      <c r="G5702" s="1" t="str">
        <f>"河南省南阳市内乡县大桥乡封营村"</f>
        <v>河南省南阳市内乡县大桥乡封营村</v>
      </c>
      <c r="H5702" s="1" t="str">
        <f t="shared" si="2849"/>
        <v>无</v>
      </c>
      <c r="I5702" s="1" t="str">
        <f>"20220910-20250701在黑龙江护理高等专科学校临床医学专业就读，普通全日制学历；"</f>
        <v>20220910-20250701在黑龙江护理高等专科学校临床医学专业就读，普通全日制学历；</v>
      </c>
    </row>
    <row r="5703" spans="1:9">
      <c r="A5703" s="1" t="str">
        <f>"41132720011218452X"</f>
        <v>41132720011218452X</v>
      </c>
      <c r="B5703" s="1" t="str">
        <f t="shared" si="2851"/>
        <v>共青团员</v>
      </c>
      <c r="C5703" s="1" t="str">
        <f>"本科"</f>
        <v>本科</v>
      </c>
      <c r="D5703" s="1" t="str">
        <f>"20230626"</f>
        <v>20230626</v>
      </c>
      <c r="E5703" s="1" t="str">
        <f>"上海中医药大学"</f>
        <v>上海中医药大学</v>
      </c>
      <c r="F5703" s="1" t="str">
        <f>"护理学"</f>
        <v>护理学</v>
      </c>
      <c r="G5703" s="1" t="str">
        <f>"河南省南阳市内乡县湍河镇建业森林半岛二期九幢二单元302"</f>
        <v>河南省南阳市内乡县湍河镇建业森林半岛二期九幢二单元302</v>
      </c>
      <c r="H5703" s="1" t="str">
        <f>"护士职业资格证书"</f>
        <v>护士职业资格证书</v>
      </c>
      <c r="I5703" s="1" t="str">
        <f>"201909-20230626  上海中医药大学  就读
20230626-20230801 河南省南阳市内乡县建业森林半岛家中  待业
20230801-20230930  上海市第七人民医院  就业
20230930-20240528  河南省南阳市内乡县建业森林半岛家中  待业
20240528-20240926  上海荟医科技有限公司  就业
20240926-至今  河南省南阳市内乡县建业森林半岛家中  待业"</f>
        <v>201909-20230626  上海中医药大学  就读
20230626-20230801 河南省南阳市内乡县建业森林半岛家中  待业
20230801-20230930  上海市第七人民医院  就业
20230930-20240528  河南省南阳市内乡县建业森林半岛家中  待业
20240528-20240926  上海荟医科技有限公司  就业
20240926-至今  河南省南阳市内乡县建业森林半岛家中  待业</v>
      </c>
    </row>
    <row r="5704" spans="1:9">
      <c r="A5704" s="1" t="str">
        <f>"411327200212192965"</f>
        <v>411327200212192965</v>
      </c>
      <c r="B5704" s="1" t="str">
        <f t="shared" si="2853"/>
        <v>群众</v>
      </c>
      <c r="C5704" s="1" t="str">
        <f t="shared" si="2852"/>
        <v>专科</v>
      </c>
      <c r="D5704" s="1" t="str">
        <f>"20230607"</f>
        <v>20230607</v>
      </c>
      <c r="E5704" s="1" t="str">
        <f>"南阳医学高等专科学校"</f>
        <v>南阳医学高等专科学校</v>
      </c>
      <c r="F5704" s="1" t="str">
        <f>"护理学"</f>
        <v>护理学</v>
      </c>
      <c r="G5704" s="1" t="str">
        <f>"南阳市内乡县梨园山庄"</f>
        <v>南阳市内乡县梨园山庄</v>
      </c>
      <c r="H5704" s="1" t="str">
        <f>"护士资格证"</f>
        <v>护士资格证</v>
      </c>
      <c r="I5704" s="1" t="str">
        <f>"202009-202306在南阳医学高等专科学校护理专业就读，是全日制学历"</f>
        <v>202009-202306在南阳医学高等专科学校护理专业就读，是全日制学历</v>
      </c>
    </row>
    <row r="5705" spans="1:9">
      <c r="A5705" s="1" t="str">
        <f>"411381200211017143"</f>
        <v>411381200211017143</v>
      </c>
      <c r="B5705" s="1" t="str">
        <f t="shared" si="2851"/>
        <v>共青团员</v>
      </c>
      <c r="C5705" s="1" t="str">
        <f t="shared" si="2852"/>
        <v>专科</v>
      </c>
      <c r="D5705" s="1" t="str">
        <f>"20240701"</f>
        <v>20240701</v>
      </c>
      <c r="E5705" s="1" t="str">
        <f>"河南推拿职业学院"</f>
        <v>河南推拿职业学院</v>
      </c>
      <c r="F5705" s="1" t="str">
        <f>"护理"</f>
        <v>护理</v>
      </c>
      <c r="G5705" s="1" t="str">
        <f>"河南省邓州市刘集镇高河村前郭营"</f>
        <v>河南省邓州市刘集镇高河村前郭营</v>
      </c>
      <c r="H5705" s="1" t="str">
        <f>"护士职业资格证书"</f>
        <v>护士职业资格证书</v>
      </c>
      <c r="I5705" s="1" t="str">
        <f>"202109-202407河南推拿职业学院就读护理系护理专业全日制
202407-至今待业"</f>
        <v>202109-202407河南推拿职业学院就读护理系护理专业全日制
202407-至今待业</v>
      </c>
    </row>
    <row r="5706" spans="1:9">
      <c r="A5706" s="1" t="str">
        <f>"411327199912124562"</f>
        <v>411327199912124562</v>
      </c>
      <c r="B5706" s="1" t="str">
        <f t="shared" si="2853"/>
        <v>群众</v>
      </c>
      <c r="C5706" s="1" t="str">
        <f t="shared" si="2852"/>
        <v>专科</v>
      </c>
      <c r="D5706" s="1" t="str">
        <f>"20210701"</f>
        <v>20210701</v>
      </c>
      <c r="E5706" s="1" t="str">
        <f>"漯河医学高等专科学校"</f>
        <v>漯河医学高等专科学校</v>
      </c>
      <c r="F5706" s="1" t="str">
        <f t="shared" ref="F5706:F5712" si="2854">"临床医学"</f>
        <v>临床医学</v>
      </c>
      <c r="G5706" s="1" t="str">
        <f>"河南省南阳市内乡县"</f>
        <v>河南省南阳市内乡县</v>
      </c>
      <c r="H5706" s="1" t="str">
        <f t="shared" ref="H5706:H5711" si="2855">"无"</f>
        <v>无</v>
      </c>
      <c r="I5706" s="1" t="str">
        <f>"20180901-20210701 漯河医学高等专科学校 全日制"</f>
        <v>20180901-20210701 漯河医学高等专科学校 全日制</v>
      </c>
    </row>
    <row r="5707" spans="1:9">
      <c r="A5707" s="1" t="str">
        <f>"421087200305264229"</f>
        <v>421087200305264229</v>
      </c>
      <c r="B5707" s="1" t="str">
        <f t="shared" si="2853"/>
        <v>群众</v>
      </c>
      <c r="C5707" s="1" t="str">
        <f t="shared" ref="C5707:C5710" si="2856">"本科"</f>
        <v>本科</v>
      </c>
      <c r="D5707" s="1" t="str">
        <f>"20250630"</f>
        <v>20250630</v>
      </c>
      <c r="E5707" s="1" t="str">
        <f>"湖北中医药大学"</f>
        <v>湖北中医药大学</v>
      </c>
      <c r="F5707" s="1" t="str">
        <f>"医学检验技术"</f>
        <v>医学检验技术</v>
      </c>
      <c r="G5707" s="1" t="str">
        <f>"湖北省荆州市松滋市新江口镇德化路1号阳光苑6栋1单元502室"</f>
        <v>湖北省荆州市松滋市新江口镇德化路1号阳光苑6栋1单元502室</v>
      </c>
      <c r="H5707" s="1" t="str">
        <f t="shared" si="2855"/>
        <v>无</v>
      </c>
      <c r="I5707" s="1" t="str">
        <f>"202109-202506湖北中医药大学就读"</f>
        <v>202109-202506湖北中医药大学就读</v>
      </c>
    </row>
    <row r="5708" spans="1:9">
      <c r="A5708" s="1" t="str">
        <f>"411327200110052021"</f>
        <v>411327200110052021</v>
      </c>
      <c r="B5708" s="1" t="str">
        <f t="shared" si="2853"/>
        <v>群众</v>
      </c>
      <c r="C5708" s="1" t="str">
        <f t="shared" ref="C5708:C5714" si="2857">"专科"</f>
        <v>专科</v>
      </c>
      <c r="D5708" s="1" t="str">
        <f>"20230701"</f>
        <v>20230701</v>
      </c>
      <c r="E5708" s="1" t="str">
        <f>"信阳职业技术学院"</f>
        <v>信阳职业技术学院</v>
      </c>
      <c r="F5708" s="1" t="str">
        <f>"中医学"</f>
        <v>中医学</v>
      </c>
      <c r="G5708" s="1" t="str">
        <f>"河南省南阳市内乡县大成相府"</f>
        <v>河南省南阳市内乡县大成相府</v>
      </c>
      <c r="H5708" s="1" t="str">
        <f>"护士资格证书"</f>
        <v>护士资格证书</v>
      </c>
      <c r="I5708" s="1" t="str">
        <f>"201709-202006在南阳中医药学校就读
202009-202307在信阳职业技术学院就读
202308-至今在内乡县余关镇卫生院工作"</f>
        <v>201709-202006在南阳中医药学校就读
202009-202307在信阳职业技术学院就读
202308-至今在内乡县余关镇卫生院工作</v>
      </c>
    </row>
    <row r="5709" spans="1:9">
      <c r="A5709" s="1" t="str">
        <f>"411327199909132027"</f>
        <v>411327199909132027</v>
      </c>
      <c r="B5709" s="1" t="str">
        <f>"中共党员"</f>
        <v>中共党员</v>
      </c>
      <c r="C5709" s="1" t="str">
        <f t="shared" si="2856"/>
        <v>本科</v>
      </c>
      <c r="D5709" s="1" t="str">
        <f>"20250701"</f>
        <v>20250701</v>
      </c>
      <c r="E5709" s="1" t="str">
        <f>"长春中医药大学"</f>
        <v>长春中医药大学</v>
      </c>
      <c r="F5709" s="1" t="str">
        <f>"护理学"</f>
        <v>护理学</v>
      </c>
      <c r="G5709" s="1" t="str">
        <f>"河南省内乡县北斗星城"</f>
        <v>河南省内乡县北斗星城</v>
      </c>
      <c r="H5709" s="1" t="str">
        <f>"护士资格证、执业证"</f>
        <v>护士资格证、执业证</v>
      </c>
      <c r="I5709" s="1" t="str">
        <f>"2019.09-2022.07 济源职业技术学院 大专 护理专业 全日制
2023.05-2025.07 长春中医药大学 护理学专业学生  非全日制 
2022.05-至今 内乡县城关镇卫生院 职员"</f>
        <v>2019.09-2022.07 济源职业技术学院 大专 护理专业 全日制
2023.05-2025.07 长春中医药大学 护理学专业学生  非全日制 
2022.05-至今 内乡县城关镇卫生院 职员</v>
      </c>
    </row>
    <row r="5710" spans="1:9">
      <c r="A5710" s="1" t="str">
        <f>"411327199812101515"</f>
        <v>411327199812101515</v>
      </c>
      <c r="B5710" s="1" t="str">
        <f t="shared" ref="B5710:B5714" si="2858">"群众"</f>
        <v>群众</v>
      </c>
      <c r="C5710" s="1" t="str">
        <f t="shared" si="2856"/>
        <v>本科</v>
      </c>
      <c r="D5710" s="1" t="str">
        <f>"2024-07-10"</f>
        <v>2024-07-10</v>
      </c>
      <c r="E5710" s="1" t="str">
        <f>"新乡医学院三全学院"</f>
        <v>新乡医学院三全学院</v>
      </c>
      <c r="F5710" s="1" t="str">
        <f t="shared" si="2854"/>
        <v>临床医学</v>
      </c>
      <c r="G5710" s="1" t="str">
        <f>"河南省南阳市内乡县湍东镇东王营村王北组"</f>
        <v>河南省南阳市内乡县湍东镇东王营村王北组</v>
      </c>
      <c r="H5710" s="1" t="str">
        <f t="shared" si="2855"/>
        <v>无</v>
      </c>
      <c r="I5710" s="1" t="str">
        <f>"2018.9-2024.7      新乡医学院三全学院     临床医学 全日制（本科）
通过专业英语四考试，获得普通话二级乙等证书。
2021年疫情期间，积极参与家乡防疫工作，获“优秀志愿者”称号。
2022.4发刊“VR技术在医学教育方面的应用和展望”，被“科技新时代”录用
2024.4获“优秀实习生”称号"</f>
        <v>2018.9-2024.7      新乡医学院三全学院     临床医学 全日制（本科）
通过专业英语四考试，获得普通话二级乙等证书。
2021年疫情期间，积极参与家乡防疫工作，获“优秀志愿者”称号。
2022.4发刊“VR技术在医学教育方面的应用和展望”，被“科技新时代”录用
2024.4获“优秀实习生”称号</v>
      </c>
    </row>
    <row r="5711" spans="1:9">
      <c r="A5711" s="1" t="str">
        <f>"370481199002011833"</f>
        <v>370481199002011833</v>
      </c>
      <c r="B5711" s="1" t="str">
        <f t="shared" si="2858"/>
        <v>群众</v>
      </c>
      <c r="C5711" s="1" t="str">
        <f t="shared" si="2857"/>
        <v>专科</v>
      </c>
      <c r="D5711" s="1" t="str">
        <f>"2013.07"</f>
        <v>2013.07</v>
      </c>
      <c r="E5711" s="1" t="str">
        <f>"山东万杰医学院"</f>
        <v>山东万杰医学院</v>
      </c>
      <c r="F5711" s="1" t="str">
        <f t="shared" si="2854"/>
        <v>临床医学</v>
      </c>
      <c r="G5711" s="1" t="str">
        <f>"山东省枣庄市滕州市界河镇皇娘沟村"</f>
        <v>山东省枣庄市滕州市界河镇皇娘沟村</v>
      </c>
      <c r="H5711" s="1" t="str">
        <f t="shared" si="2855"/>
        <v>无</v>
      </c>
      <c r="I5711" s="1" t="str">
        <f>"201009-201307   山东万杰医学院          医学系      临床医学    全日制
201307-202012   滕州市第二人民医院   慢病科      科员           临时工
202012-至今        待业"</f>
        <v>201009-201307   山东万杰医学院          医学系      临床医学    全日制
201307-202012   滕州市第二人民医院   慢病科      科员           临时工
202012-至今        待业</v>
      </c>
    </row>
    <row r="5712" spans="1:9">
      <c r="A5712" s="1" t="str">
        <f>"411328199402155066"</f>
        <v>411328199402155066</v>
      </c>
      <c r="B5712" s="1" t="str">
        <f>"中共党员"</f>
        <v>中共党员</v>
      </c>
      <c r="C5712" s="1" t="str">
        <f t="shared" si="2857"/>
        <v>专科</v>
      </c>
      <c r="D5712" s="1" t="str">
        <f>"20140701"</f>
        <v>20140701</v>
      </c>
      <c r="E5712" s="1" t="str">
        <f>"南阳医专高等专科学校"</f>
        <v>南阳医专高等专科学校</v>
      </c>
      <c r="F5712" s="1" t="str">
        <f t="shared" si="2854"/>
        <v>临床医学</v>
      </c>
      <c r="G5712" s="1" t="str">
        <f>"南阳市新野县上港乡"</f>
        <v>南阳市新野县上港乡</v>
      </c>
      <c r="H5712" s="1" t="str">
        <f>"执业医师"</f>
        <v>执业医师</v>
      </c>
      <c r="I5712" s="1" t="str">
        <f>"201407-201810新野县上港乡卫生院工作
201810至今新野县人民医院工作"</f>
        <v>201407-201810新野县上港乡卫生院工作
201810至今新野县人民医院工作</v>
      </c>
    </row>
    <row r="5713" spans="1:9">
      <c r="A5713" s="1" t="str">
        <f>"41132720030726372X"</f>
        <v>41132720030726372X</v>
      </c>
      <c r="B5713" s="1" t="str">
        <f t="shared" si="2858"/>
        <v>群众</v>
      </c>
      <c r="C5713" s="1" t="str">
        <f t="shared" si="2857"/>
        <v>专科</v>
      </c>
      <c r="D5713" s="1" t="str">
        <f>"2023年7月30日"</f>
        <v>2023年7月30日</v>
      </c>
      <c r="E5713" s="1" t="str">
        <f>"许昌职业技术学院"</f>
        <v>许昌职业技术学院</v>
      </c>
      <c r="F5713" s="1" t="str">
        <f>"护理学"</f>
        <v>护理学</v>
      </c>
      <c r="G5713" s="1" t="str">
        <f>"内乡县城关镇大成相符"</f>
        <v>内乡县城关镇大成相符</v>
      </c>
      <c r="H5713" s="1" t="str">
        <f>"护士资格证"</f>
        <v>护士资格证</v>
      </c>
      <c r="I5713" s="1" t="str">
        <f>"2020年9月1日至2023年7月30日在许昌职业技术学院医疗系护理专业就读，是全日制"</f>
        <v>2020年9月1日至2023年7月30日在许昌职业技术学院医疗系护理专业就读，是全日制</v>
      </c>
    </row>
    <row r="5714" spans="1:9">
      <c r="A5714" s="1" t="str">
        <f>"411327200309124221"</f>
        <v>411327200309124221</v>
      </c>
      <c r="B5714" s="1" t="str">
        <f t="shared" si="2858"/>
        <v>群众</v>
      </c>
      <c r="C5714" s="1" t="str">
        <f t="shared" si="2857"/>
        <v>专科</v>
      </c>
      <c r="D5714" s="1" t="str">
        <f>"2024.07.01"</f>
        <v>2024.07.01</v>
      </c>
      <c r="E5714" s="1" t="str">
        <f>"河南医学高等专科学校"</f>
        <v>河南医学高等专科学校</v>
      </c>
      <c r="F5714" s="1" t="str">
        <f>"临床医学"</f>
        <v>临床医学</v>
      </c>
      <c r="G5714" s="1" t="str">
        <f>"河南省南阳市内乡县"</f>
        <v>河南省南阳市内乡县</v>
      </c>
      <c r="H5714" s="1" t="str">
        <f t="shared" ref="H5714:H5719" si="2859">"无"</f>
        <v>无</v>
      </c>
      <c r="I5714" s="1" t="str">
        <f>"2021.09.01-2024.07.01于河南医学高等专科学校的临床医学院的临床医学专业就读，为全日制学历；
2024.07.01——至今 待业"</f>
        <v>2021.09.01-2024.07.01于河南医学高等专科学校的临床医学院的临床医学专业就读，为全日制学历；
2024.07.01——至今 待业</v>
      </c>
    </row>
    <row r="5715" spans="1:9">
      <c r="A5715" s="1" t="str">
        <f>"411327199804030649"</f>
        <v>411327199804030649</v>
      </c>
      <c r="B5715" s="1" t="str">
        <f t="shared" ref="B5715:B5719" si="2860">"共青团员"</f>
        <v>共青团员</v>
      </c>
      <c r="C5715" s="1" t="str">
        <f t="shared" ref="C5715:C5721" si="2861">"本科"</f>
        <v>本科</v>
      </c>
      <c r="D5715" s="1" t="str">
        <f>"20220701"</f>
        <v>20220701</v>
      </c>
      <c r="E5715" s="1" t="str">
        <f>"新乡医学院三全学院"</f>
        <v>新乡医学院三全学院</v>
      </c>
      <c r="F5715" s="1" t="str">
        <f>"临床医学"</f>
        <v>临床医学</v>
      </c>
      <c r="G5715" s="1" t="str">
        <f>"南阳市内乡县左岸皇朝"</f>
        <v>南阳市内乡县左岸皇朝</v>
      </c>
      <c r="H5715" s="1" t="str">
        <f>"执业医师资格证书"</f>
        <v>执业医师资格证书</v>
      </c>
      <c r="I5715" s="1" t="str">
        <f>"201609-201907信阳职业技术学院
201909-202207新乡医学院三全学院
202209-202507南阳市第一人民医院规培结业"</f>
        <v>201609-201907信阳职业技术学院
201909-202207新乡医学院三全学院
202209-202507南阳市第一人民医院规培结业</v>
      </c>
    </row>
    <row r="5716" spans="1:9">
      <c r="A5716" s="1" t="str">
        <f>"411327200105230022"</f>
        <v>411327200105230022</v>
      </c>
      <c r="B5716" s="1" t="str">
        <f t="shared" ref="B5716:B5720" si="2862">"群众"</f>
        <v>群众</v>
      </c>
      <c r="C5716" s="1" t="str">
        <f t="shared" si="2861"/>
        <v>本科</v>
      </c>
      <c r="D5716" s="1" t="str">
        <f>"20250620"</f>
        <v>20250620</v>
      </c>
      <c r="E5716" s="1" t="str">
        <f>"郑州工业应用技术学院"</f>
        <v>郑州工业应用技术学院</v>
      </c>
      <c r="F5716" s="1" t="str">
        <f>"护理学"</f>
        <v>护理学</v>
      </c>
      <c r="G5716" s="1" t="str">
        <f>"河南省南阳市内乡县马山口镇"</f>
        <v>河南省南阳市内乡县马山口镇</v>
      </c>
      <c r="H5716" s="1" t="str">
        <f>"护士资格证"</f>
        <v>护士资格证</v>
      </c>
      <c r="I5716" s="1" t="str">
        <f>"2020.09-2023.06   洛阳职业技术学院 全日制    主修护理学 在洛阳新里程医院实习 在校获得个人技能大赛二等奖
2023.09-2025.06   郑州工业应用技术学院全日制   主修护理学 在汝州第一人民医院实习"</f>
        <v>2020.09-2023.06   洛阳职业技术学院 全日制    主修护理学 在洛阳新里程医院实习 在校获得个人技能大赛二等奖
2023.09-2025.06   郑州工业应用技术学院全日制   主修护理学 在汝州第一人民医院实习</v>
      </c>
    </row>
    <row r="5717" spans="1:9">
      <c r="A5717" s="1" t="str">
        <f>"411330200206202029"</f>
        <v>411330200206202029</v>
      </c>
      <c r="B5717" s="1" t="str">
        <f t="shared" si="2862"/>
        <v>群众</v>
      </c>
      <c r="C5717" s="1" t="str">
        <f t="shared" si="2861"/>
        <v>本科</v>
      </c>
      <c r="D5717" s="1" t="str">
        <f>"2025-06-30"</f>
        <v>2025-06-30</v>
      </c>
      <c r="E5717" s="1" t="str">
        <f>"郑州工业应用技术学院"</f>
        <v>郑州工业应用技术学院</v>
      </c>
      <c r="F5717" s="1" t="str">
        <f t="shared" ref="F5717:F5721" si="2863">"药学"</f>
        <v>药学</v>
      </c>
      <c r="G5717" s="1" t="str">
        <f>"河南省南阳市西峡县五里桥"</f>
        <v>河南省南阳市西峡县五里桥</v>
      </c>
      <c r="H5717" s="1" t="str">
        <f t="shared" si="2859"/>
        <v>无</v>
      </c>
      <c r="I5717" s="1" t="str">
        <f>"202009-202306 商丘医学高等专科学校，药学院药学专业就读，全日制学校
202309-202506 郑州工业应用技术学校，药学与化学工程学院药学专业就读，全日制学历"</f>
        <v>202009-202306 商丘医学高等专科学校，药学院药学专业就读，全日制学校
202309-202506 郑州工业应用技术学校，药学与化学工程学院药学专业就读，全日制学历</v>
      </c>
    </row>
    <row r="5718" spans="1:9">
      <c r="A5718" s="1" t="str">
        <f>"411302199902170023"</f>
        <v>411302199902170023</v>
      </c>
      <c r="B5718" s="1" t="str">
        <f t="shared" si="2860"/>
        <v>共青团员</v>
      </c>
      <c r="C5718" s="1" t="str">
        <f t="shared" si="2861"/>
        <v>本科</v>
      </c>
      <c r="D5718" s="1" t="str">
        <f>"2022-07-01"</f>
        <v>2022-07-01</v>
      </c>
      <c r="E5718" s="1" t="str">
        <f>"黄河科技学院"</f>
        <v>黄河科技学院</v>
      </c>
      <c r="F5718" s="1" t="str">
        <f>"医学检验技术"</f>
        <v>医学检验技术</v>
      </c>
      <c r="G5718" s="1" t="str">
        <f>"南阳市宛城区杨家后坑89号"</f>
        <v>南阳市宛城区杨家后坑89号</v>
      </c>
      <c r="H5718" s="1" t="str">
        <f t="shared" si="2859"/>
        <v>无</v>
      </c>
      <c r="I5718" s="1" t="str">
        <f>"202007-202207  黄河科技学院   医学检验技术专业  就读"</f>
        <v>202007-202207  黄河科技学院   医学检验技术专业  就读</v>
      </c>
    </row>
    <row r="5719" spans="1:9">
      <c r="A5719" s="1" t="str">
        <f>"411323200111191714"</f>
        <v>411323200111191714</v>
      </c>
      <c r="B5719" s="1" t="str">
        <f t="shared" si="2860"/>
        <v>共青团员</v>
      </c>
      <c r="C5719" s="1" t="str">
        <f t="shared" si="2861"/>
        <v>本科</v>
      </c>
      <c r="D5719" s="1" t="str">
        <f>"20240626"</f>
        <v>20240626</v>
      </c>
      <c r="E5719" s="1" t="str">
        <f>"新乡医学院三全学院"</f>
        <v>新乡医学院三全学院</v>
      </c>
      <c r="F5719" s="1" t="str">
        <f t="shared" si="2863"/>
        <v>药学</v>
      </c>
      <c r="G5719" s="1" t="str">
        <f>"河南省内乡县"</f>
        <v>河南省内乡县</v>
      </c>
      <c r="H5719" s="1" t="str">
        <f t="shared" si="2859"/>
        <v>无</v>
      </c>
      <c r="I5719" s="1" t="str">
        <f>"201909-202206河南医学高等专科学校药学专业就读(全日制)
202209-202406新乡医学院三全学院药学专业就读（全日制）
202406-202505于家中待业
202505-至今于内乡县人民医院试用期中"</f>
        <v>201909-202206河南医学高等专科学校药学专业就读(全日制)
202209-202406新乡医学院三全学院药学专业就读（全日制）
202406-202505于家中待业
202505-至今于内乡县人民医院试用期中</v>
      </c>
    </row>
    <row r="5720" spans="1:9">
      <c r="A5720" s="1" t="str">
        <f>"23018119980427032X"</f>
        <v>23018119980427032X</v>
      </c>
      <c r="B5720" s="1" t="str">
        <f t="shared" si="2862"/>
        <v>群众</v>
      </c>
      <c r="C5720" s="1" t="str">
        <f t="shared" si="2861"/>
        <v>本科</v>
      </c>
      <c r="D5720" s="1" t="str">
        <f>"20240710"</f>
        <v>20240710</v>
      </c>
      <c r="E5720" s="1" t="str">
        <f>"中国医科大学"</f>
        <v>中国医科大学</v>
      </c>
      <c r="F5720" s="1" t="str">
        <f>"护理学"</f>
        <v>护理学</v>
      </c>
      <c r="G5720" s="1" t="str">
        <f>"河北省廊坊市广阳区万庄镇 万欣小区B区"</f>
        <v>河北省廊坊市广阳区万庄镇 万欣小区B区</v>
      </c>
      <c r="H5720" s="1" t="str">
        <f>"有全国护士职业资格证书，卫生专业技术资格级别为初级（士），专业护理学。"</f>
        <v>有全国护士职业资格证书，卫生专业技术资格级别为初级（士），专业护理学。</v>
      </c>
      <c r="I5720" s="1" t="str">
        <f>"2012年9月-2015年6月，黑龙江中医药学校（中专）全日制就读；
2013年3月-2015年7月，在黑龙江中医药大学护理专业（大专）非全日制毕业；
2018年3月-2024年7月，中国医科大学护理学专业（成人高等教育本科毕业生）非全日制毕业；
2024年12月，取得中国医科大学护理学专业学士学位；
2015年7月-2018年7月，在河北省廊坊市家内待业；
2018年7月至今，在河北省廊坊市福康门诊部担任护士。"</f>
        <v>2012年9月-2015年6月，黑龙江中医药学校（中专）全日制就读；
2013年3月-2015年7月，在黑龙江中医药大学护理专业（大专）非全日制毕业；
2018年3月-2024年7月，中国医科大学护理学专业（成人高等教育本科毕业生）非全日制毕业；
2024年12月，取得中国医科大学护理学专业学士学位；
2015年7月-2018年7月，在河北省廊坊市家内待业；
2018年7月至今，在河北省廊坊市福康门诊部担任护士。</v>
      </c>
    </row>
    <row r="5721" spans="1:9">
      <c r="A5721" s="1" t="str">
        <f>"372922200109083567"</f>
        <v>372922200109083567</v>
      </c>
      <c r="B5721" s="1" t="str">
        <f>"共青团员"</f>
        <v>共青团员</v>
      </c>
      <c r="C5721" s="1" t="str">
        <f t="shared" si="2861"/>
        <v>本科</v>
      </c>
      <c r="D5721" s="1" t="str">
        <f>"20250619"</f>
        <v>20250619</v>
      </c>
      <c r="E5721" s="1" t="str">
        <f>"临沂大学"</f>
        <v>临沂大学</v>
      </c>
      <c r="F5721" s="1" t="str">
        <f t="shared" si="2863"/>
        <v>药学</v>
      </c>
      <c r="G5721" s="1" t="str">
        <f>"山东省菏泽市曹县青岗集镇荣菜园行政村荣菜园村"</f>
        <v>山东省菏泽市曹县青岗集镇荣菜园行政村荣菜园村</v>
      </c>
      <c r="H5721" s="1" t="str">
        <f>"无"</f>
        <v>无</v>
      </c>
      <c r="I5721" s="1" t="str">
        <f>"202009-202306在山东中医药高等专科学校医学院中药学专业，全日制
202309-202506在临沂大学医学院药学专业，全日制"</f>
        <v>202009-202306在山东中医药高等专科学校医学院中药学专业，全日制
202309-202506在临沂大学医学院药学专业，全日制</v>
      </c>
    </row>
    <row r="5722" spans="1:9">
      <c r="A5722" s="1" t="str">
        <f>"41132319941104004X"</f>
        <v>41132319941104004X</v>
      </c>
      <c r="B5722" s="1" t="str">
        <f t="shared" ref="B5722:B5727" si="2864">"群众"</f>
        <v>群众</v>
      </c>
      <c r="C5722" s="1" t="str">
        <f t="shared" ref="C5722:C5726" si="2865">"专科"</f>
        <v>专科</v>
      </c>
      <c r="D5722" s="1" t="str">
        <f>"20160701"</f>
        <v>20160701</v>
      </c>
      <c r="E5722" s="1" t="str">
        <f>"济源职业技术学院"</f>
        <v>济源职业技术学院</v>
      </c>
      <c r="F5722" s="1" t="str">
        <f>"护理"</f>
        <v>护理</v>
      </c>
      <c r="G5722" s="1" t="str">
        <f>"淅川县顺达停车厂对面"</f>
        <v>淅川县顺达停车厂对面</v>
      </c>
      <c r="H5722" s="1" t="str">
        <f>"主管护师"</f>
        <v>主管护师</v>
      </c>
      <c r="I5722" s="1" t="str">
        <f>"201309-201607在济源职业技术学院护理系护理专业就读，全日制专科学历。"</f>
        <v>201309-201607在济源职业技术学院护理系护理专业就读，全日制专科学历。</v>
      </c>
    </row>
    <row r="5723" spans="1:9">
      <c r="A5723" s="1" t="str">
        <f>"411323199508265368"</f>
        <v>411323199508265368</v>
      </c>
      <c r="B5723" s="1" t="str">
        <f t="shared" si="2864"/>
        <v>群众</v>
      </c>
      <c r="C5723" s="1" t="str">
        <f t="shared" ref="C5723:C5730" si="2866">"本科"</f>
        <v>本科</v>
      </c>
      <c r="D5723" s="1" t="str">
        <f>"20220101"</f>
        <v>20220101</v>
      </c>
      <c r="E5723" s="1" t="str">
        <f>"河南科技大学"</f>
        <v>河南科技大学</v>
      </c>
      <c r="F5723" s="1" t="str">
        <f>"临床医学"</f>
        <v>临床医学</v>
      </c>
      <c r="G5723" s="1" t="str">
        <f>"河南省南阳市淅川县"</f>
        <v>河南省南阳市淅川县</v>
      </c>
      <c r="H5723" s="1" t="str">
        <f>"执业医师资格证书，"</f>
        <v>执业医师资格证书，</v>
      </c>
      <c r="I5723" s="1" t="str">
        <f>"201903-202201毕业于河南科技大学临床医学专业
202201-至今就业于淅川县香花镇卫生院"</f>
        <v>201903-202201毕业于河南科技大学临床医学专业
202201-至今就业于淅川县香花镇卫生院</v>
      </c>
    </row>
    <row r="5724" spans="1:9">
      <c r="A5724" s="1" t="str">
        <f>"411323200204235827"</f>
        <v>411323200204235827</v>
      </c>
      <c r="B5724" s="1" t="str">
        <f t="shared" ref="B5724:B5730" si="2867">"共青团员"</f>
        <v>共青团员</v>
      </c>
      <c r="C5724" s="1" t="str">
        <f t="shared" si="2865"/>
        <v>专科</v>
      </c>
      <c r="D5724" s="1" t="str">
        <f>"20230730"</f>
        <v>20230730</v>
      </c>
      <c r="E5724" s="1" t="str">
        <f>"商丘医学高等专科学校"</f>
        <v>商丘医学高等专科学校</v>
      </c>
      <c r="F5724" s="1" t="str">
        <f>"商丘医学高等专科学校"</f>
        <v>商丘医学高等专科学校</v>
      </c>
      <c r="G5724" s="1" t="str">
        <f>"河南省南阳市淅川县香花镇"</f>
        <v>河南省南阳市淅川县香花镇</v>
      </c>
      <c r="H5724" s="1" t="str">
        <f>"执业助理医师资格证"</f>
        <v>执业助理医师资格证</v>
      </c>
      <c r="I5724" s="1" t="str">
        <f>"202009—202307商丘医学高等专科学校就读临床医学系临床医学专业，全日制学历"</f>
        <v>202009—202307商丘医学高等专科学校就读临床医学系临床医学专业，全日制学历</v>
      </c>
    </row>
    <row r="5725" spans="1:9">
      <c r="A5725" s="1" t="str">
        <f>"411327199508061563"</f>
        <v>411327199508061563</v>
      </c>
      <c r="B5725" s="1" t="str">
        <f t="shared" si="2864"/>
        <v>群众</v>
      </c>
      <c r="C5725" s="1" t="str">
        <f t="shared" si="2865"/>
        <v>专科</v>
      </c>
      <c r="D5725" s="1" t="str">
        <f>"20170704"</f>
        <v>20170704</v>
      </c>
      <c r="E5725" s="1" t="str">
        <f>"郑州市黄河护理职业学院"</f>
        <v>郑州市黄河护理职业学院</v>
      </c>
      <c r="F5725" s="1" t="str">
        <f>"护理学"</f>
        <v>护理学</v>
      </c>
      <c r="G5725" s="1" t="str">
        <f>"河南省南阳市内乡县"</f>
        <v>河南省南阳市内乡县</v>
      </c>
      <c r="H5725" s="1" t="str">
        <f>"201841017479"</f>
        <v>201841017479</v>
      </c>
      <c r="I5725" s="1" t="str">
        <f>"20140901-20170704郑州黄河护理职业学院就读  全日制学历
20170704-20200301南阳第九人民医院 工作
20200301-20220701南阳理工学院 就读  非全日制学历
20220701-2025.7.20 内乡县中医院  工作
"</f>
        <v>20140901-20170704郑州黄河护理职业学院就读  全日制学历
20170704-20200301南阳第九人民医院 工作
20200301-20220701南阳理工学院 就读  非全日制学历
20220701-2025.7.20 内乡县中医院  工作
</v>
      </c>
    </row>
    <row r="5726" spans="1:9">
      <c r="A5726" s="1" t="str">
        <f>"41132120041203236X"</f>
        <v>41132120041203236X</v>
      </c>
      <c r="B5726" s="1" t="str">
        <f t="shared" si="2864"/>
        <v>群众</v>
      </c>
      <c r="C5726" s="1" t="str">
        <f t="shared" si="2865"/>
        <v>专科</v>
      </c>
      <c r="D5726" s="1" t="str">
        <f>"20250611"</f>
        <v>20250611</v>
      </c>
      <c r="E5726" s="1" t="str">
        <f>"河南护理职业学院"</f>
        <v>河南护理职业学院</v>
      </c>
      <c r="F5726" s="1" t="str">
        <f>"护理"</f>
        <v>护理</v>
      </c>
      <c r="G5726" s="1" t="str">
        <f>"河南省南阳市桐柏县大河镇尖山村徐后庄"</f>
        <v>河南省南阳市桐柏县大河镇尖山村徐后庄</v>
      </c>
      <c r="H5726" s="1" t="str">
        <f t="shared" ref="H5726:H5730" si="2868">"无"</f>
        <v>无</v>
      </c>
      <c r="I5726" s="1" t="str">
        <f>"202209-202506在河南护理职业学院国际教育系护理专业应届毕业生，全日制专科。在校期间掌握了基础护理知识，内外妇儿知识，其中驻马店中心医院实习九个月，学习过高血压/糖尿病及普外的疾病知识。适应环境强，已通过护士资格证考试。"</f>
        <v>202209-202506在河南护理职业学院国际教育系护理专业应届毕业生，全日制专科。在校期间掌握了基础护理知识，内外妇儿知识，其中驻马店中心医院实习九个月，学习过高血压/糖尿病及普外的疾病知识。适应环境强，已通过护士资格证考试。</v>
      </c>
    </row>
    <row r="5727" spans="1:9">
      <c r="A5727" s="1" t="str">
        <f>"411422200006106329"</f>
        <v>411422200006106329</v>
      </c>
      <c r="B5727" s="1" t="str">
        <f t="shared" si="2864"/>
        <v>群众</v>
      </c>
      <c r="C5727" s="1" t="str">
        <f t="shared" si="2866"/>
        <v>本科</v>
      </c>
      <c r="D5727" s="1" t="str">
        <f>"202407"</f>
        <v>202407</v>
      </c>
      <c r="E5727" s="1" t="str">
        <f>"河南中医药大学"</f>
        <v>河南中医药大学</v>
      </c>
      <c r="F5727" s="1" t="str">
        <f>"药学"</f>
        <v>药学</v>
      </c>
      <c r="G5727" s="1" t="str">
        <f>"河南省南阳市镇平县张林镇"</f>
        <v>河南省南阳市镇平县张林镇</v>
      </c>
      <c r="H5727" s="1" t="str">
        <f>"初级药士"</f>
        <v>初级药士</v>
      </c>
      <c r="I5727" s="1" t="str">
        <f>"201809-202107就读于漯河医学高等专科学校药学系药学专业 为全日制学历
202108至202203，在河南省南阳市镇平县家中待业
202203-202407就读于河南中医药大学药学系药学专业，为非全日制学历"</f>
        <v>201809-202107就读于漯河医学高等专科学校药学系药学专业 为全日制学历
202108至202203，在河南省南阳市镇平县家中待业
202203-202407就读于河南中医药大学药学系药学专业，为非全日制学历</v>
      </c>
    </row>
    <row r="5728" spans="1:9">
      <c r="A5728" s="1" t="str">
        <f>"411324200101010023"</f>
        <v>411324200101010023</v>
      </c>
      <c r="B5728" s="1" t="str">
        <f t="shared" si="2867"/>
        <v>共青团员</v>
      </c>
      <c r="C5728" s="1" t="str">
        <f t="shared" si="2866"/>
        <v>本科</v>
      </c>
      <c r="D5728" s="1" t="str">
        <f>"20240620"</f>
        <v>20240620</v>
      </c>
      <c r="E5728" s="1" t="str">
        <f>"郑州工业应用技术学院"</f>
        <v>郑州工业应用技术学院</v>
      </c>
      <c r="F5728" s="1" t="str">
        <f>"药学"</f>
        <v>药学</v>
      </c>
      <c r="G5728" s="1" t="str">
        <f>"河南省南阳市镇平县老万德隆东巷道500米处"</f>
        <v>河南省南阳市镇平县老万德隆东巷道500米处</v>
      </c>
      <c r="H5728" s="1" t="str">
        <f>"药物制剂工（三级），医药购销员（三级）"</f>
        <v>药物制剂工（三级），医药购销员（三级）</v>
      </c>
      <c r="I5728" s="1" t="str">
        <f>"201909-202207河南医学高等专科学校药学专业就读，为全日制
202106-202203南阳市中心医院实习
202209-202406郑州工业应用技术学院药学专业就读，为全日制"</f>
        <v>201909-202207河南医学高等专科学校药学专业就读，为全日制
202106-202203南阳市中心医院实习
202209-202406郑州工业应用技术学院药学专业就读，为全日制</v>
      </c>
    </row>
    <row r="5729" spans="1:9">
      <c r="A5729" s="1" t="str">
        <f>"411327199906010075"</f>
        <v>411327199906010075</v>
      </c>
      <c r="B5729" s="1" t="str">
        <f t="shared" si="2867"/>
        <v>共青团员</v>
      </c>
      <c r="C5729" s="1" t="str">
        <f t="shared" si="2866"/>
        <v>本科</v>
      </c>
      <c r="D5729" s="1" t="str">
        <f>"20240622"</f>
        <v>20240622</v>
      </c>
      <c r="E5729" s="1" t="str">
        <f>"新乡医学院三全学院"</f>
        <v>新乡医学院三全学院</v>
      </c>
      <c r="F5729" s="1" t="str">
        <f t="shared" ref="F5729:F5733" si="2869">"医学检验技术"</f>
        <v>医学检验技术</v>
      </c>
      <c r="G5729" s="1" t="str">
        <f>"河南省内乡县城关镇大成路43号"</f>
        <v>河南省内乡县城关镇大成路43号</v>
      </c>
      <c r="H5729" s="1" t="str">
        <f t="shared" si="2868"/>
        <v>无</v>
      </c>
      <c r="I5729" s="1" t="str">
        <f>"201609-201806 鹤壁职业技术学院医学院医学检验技术 全日制
201809-202109 海军六盘水舰
202209-202406  新乡医学院三全学院医学检验技术        全日制"</f>
        <v>201609-201806 鹤壁职业技术学院医学院医学检验技术 全日制
201809-202109 海军六盘水舰
202209-202406  新乡医学院三全学院医学检验技术        全日制</v>
      </c>
    </row>
    <row r="5730" spans="1:9">
      <c r="A5730" s="1" t="str">
        <f>"411324200011122240"</f>
        <v>411324200011122240</v>
      </c>
      <c r="B5730" s="1" t="str">
        <f t="shared" si="2867"/>
        <v>共青团员</v>
      </c>
      <c r="C5730" s="1" t="str">
        <f t="shared" si="2866"/>
        <v>本科</v>
      </c>
      <c r="D5730" s="1" t="str">
        <f>"20250626"</f>
        <v>20250626</v>
      </c>
      <c r="E5730" s="1" t="str">
        <f>"牡丹江医科大学"</f>
        <v>牡丹江医科大学</v>
      </c>
      <c r="F5730" s="1" t="str">
        <f t="shared" si="2869"/>
        <v>医学检验技术</v>
      </c>
      <c r="G5730" s="1" t="str">
        <f>"河南省平顶山市叶县郑庄后街兔喜驿站"</f>
        <v>河南省平顶山市叶县郑庄后街兔喜驿站</v>
      </c>
      <c r="H5730" s="1" t="str">
        <f t="shared" si="2868"/>
        <v>无</v>
      </c>
      <c r="I5730" s="1" t="str">
        <f>"202109-202506  牡丹江医科大学  医学检验技术  就读，全日制学历"</f>
        <v>202109-202506  牡丹江医科大学  医学检验技术  就读，全日制学历</v>
      </c>
    </row>
    <row r="5731" spans="1:9">
      <c r="A5731" s="1" t="str">
        <f>"411327200403180625"</f>
        <v>411327200403180625</v>
      </c>
      <c r="B5731" s="1" t="str">
        <f t="shared" ref="B5731:B5737" si="2870">"群众"</f>
        <v>群众</v>
      </c>
      <c r="C5731" s="1" t="str">
        <f t="shared" ref="C5731:C5736" si="2871">"专科"</f>
        <v>专科</v>
      </c>
      <c r="D5731" s="1" t="str">
        <f>"20250707"</f>
        <v>20250707</v>
      </c>
      <c r="E5731" s="1" t="str">
        <f>"宣城职业技术学院"</f>
        <v>宣城职业技术学院</v>
      </c>
      <c r="F5731" s="1" t="str">
        <f t="shared" ref="F5731:F5736" si="2872">"护理"</f>
        <v>护理</v>
      </c>
      <c r="G5731" s="1" t="str">
        <f>"河南省南阳市内乡县马山口镇茨元村三组"</f>
        <v>河南省南阳市内乡县马山口镇茨元村三组</v>
      </c>
      <c r="H5731" s="1" t="str">
        <f>"初级"</f>
        <v>初级</v>
      </c>
      <c r="I5731" s="1" t="str">
        <f>"202209-202507 宣城职业技术学院医护学院护理系 就读 全日制学历。"</f>
        <v>202209-202507 宣城职业技术学院医护学院护理系 就读 全日制学历。</v>
      </c>
    </row>
    <row r="5732" spans="1:9">
      <c r="A5732" s="1" t="str">
        <f>"411326199910026348"</f>
        <v>411326199910026348</v>
      </c>
      <c r="B5732" s="1" t="str">
        <f>"中共党员"</f>
        <v>中共党员</v>
      </c>
      <c r="C5732" s="1" t="str">
        <f t="shared" si="2871"/>
        <v>专科</v>
      </c>
      <c r="D5732" s="1" t="str">
        <f>"20210701"</f>
        <v>20210701</v>
      </c>
      <c r="E5732" s="1" t="str">
        <f>"郑州澍青医学高等专科学校"</f>
        <v>郑州澍青医学高等专科学校</v>
      </c>
      <c r="F5732" s="1" t="str">
        <f>"临床医学"</f>
        <v>临床医学</v>
      </c>
      <c r="G5732" s="1" t="str">
        <f>"南阳市淅川县"</f>
        <v>南阳市淅川县</v>
      </c>
      <c r="H5732" s="1" t="str">
        <f>"执业助理医师证书"</f>
        <v>执业助理医师证书</v>
      </c>
      <c r="I5732" s="1" t="str">
        <f>"201809-202107就读于郑州澍青医学高等专科学校临床医学系临床医学专业，全日制学历；202109于淅川工作-至今"</f>
        <v>201809-202107就读于郑州澍青医学高等专科学校临床医学系临床医学专业，全日制学历；202109于淅川工作-至今</v>
      </c>
    </row>
    <row r="5733" spans="1:9">
      <c r="A5733" s="1" t="str">
        <f>"411302200308040061"</f>
        <v>411302200308040061</v>
      </c>
      <c r="B5733" s="1" t="str">
        <f>"共青团员"</f>
        <v>共青团员</v>
      </c>
      <c r="C5733" s="1" t="str">
        <f>"本科"</f>
        <v>本科</v>
      </c>
      <c r="D5733" s="1" t="str">
        <f>"20250613"</f>
        <v>20250613</v>
      </c>
      <c r="E5733" s="1" t="str">
        <f>"新乡医学院三全学院"</f>
        <v>新乡医学院三全学院</v>
      </c>
      <c r="F5733" s="1" t="str">
        <f t="shared" si="2869"/>
        <v>医学检验技术</v>
      </c>
      <c r="G5733" s="1" t="str">
        <f>"河南省南阳市宛城区两相路兵工新城"</f>
        <v>河南省南阳市宛城区两相路兵工新城</v>
      </c>
      <c r="H5733" s="1" t="str">
        <f>"无"</f>
        <v>无</v>
      </c>
      <c r="I5733" s="1" t="str">
        <f>"202109-202506 新乡医学院三全学院 仁智书院 医学检验技术专业 就读 全日制学历"</f>
        <v>202109-202506 新乡医学院三全学院 仁智书院 医学检验技术专业 就读 全日制学历</v>
      </c>
    </row>
    <row r="5734" spans="1:9">
      <c r="A5734" s="1" t="str">
        <f>"411327200302081046"</f>
        <v>411327200302081046</v>
      </c>
      <c r="B5734" s="1" t="str">
        <f t="shared" si="2870"/>
        <v>群众</v>
      </c>
      <c r="C5734" s="1" t="str">
        <f t="shared" si="2871"/>
        <v>专科</v>
      </c>
      <c r="D5734" s="1" t="str">
        <f>"20230607"</f>
        <v>20230607</v>
      </c>
      <c r="E5734" s="1" t="str">
        <f>"河南医学高等专科学校"</f>
        <v>河南医学高等专科学校</v>
      </c>
      <c r="F5734" s="1" t="str">
        <f>"临床医学"</f>
        <v>临床医学</v>
      </c>
      <c r="G5734" s="1" t="str">
        <f>"河南省南阳市宛城区"</f>
        <v>河南省南阳市宛城区</v>
      </c>
      <c r="H5734" s="1" t="str">
        <f>"三甲医院助培证书"</f>
        <v>三甲医院助培证书</v>
      </c>
      <c r="I5734" s="1" t="str">
        <f>"202009-202306河南医学高等专科学校医学系临床医学专业就读
202308-202508南阳南石医院助理全科规范化培训"</f>
        <v>202009-202306河南医学高等专科学校医学系临床医学专业就读
202308-202508南阳南石医院助理全科规范化培训</v>
      </c>
    </row>
    <row r="5735" spans="1:9">
      <c r="A5735" s="1" t="str">
        <f>"411325200112042027"</f>
        <v>411325200112042027</v>
      </c>
      <c r="B5735" s="1" t="str">
        <f>"中共党员"</f>
        <v>中共党员</v>
      </c>
      <c r="C5735" s="1" t="str">
        <f t="shared" si="2871"/>
        <v>专科</v>
      </c>
      <c r="D5735" s="1" t="str">
        <f>"20220701"</f>
        <v>20220701</v>
      </c>
      <c r="E5735" s="1" t="str">
        <f>"南阳医学高等专科学校"</f>
        <v>南阳医学高等专科学校</v>
      </c>
      <c r="F5735" s="1" t="str">
        <f t="shared" si="2872"/>
        <v>护理</v>
      </c>
      <c r="G5735" s="1" t="str">
        <f>"河南省南阳市内乡县菊城豪庭"</f>
        <v>河南省南阳市内乡县菊城豪庭</v>
      </c>
      <c r="H5735" s="1" t="str">
        <f>"护士执业证"</f>
        <v>护士执业证</v>
      </c>
      <c r="I5735" s="1" t="str">
        <f>"2016年9月-2019年7月在内乡县第三高级中学 
2019年9月-2022年7月在南阳医学高等专科学校
2022年7月-2025年4月 内乡县第二人民医院
2025年5月至今 内乡县人民医院"</f>
        <v>2016年9月-2019年7月在内乡县第三高级中学 
2019年9月-2022年7月在南阳医学高等专科学校
2022年7月-2025年4月 内乡县第二人民医院
2025年5月至今 内乡县人民医院</v>
      </c>
    </row>
    <row r="5736" spans="1:9">
      <c r="A5736" s="1" t="str">
        <f>"411323199601286366"</f>
        <v>411323199601286366</v>
      </c>
      <c r="B5736" s="1" t="str">
        <f t="shared" si="2870"/>
        <v>群众</v>
      </c>
      <c r="C5736" s="1" t="str">
        <f t="shared" si="2871"/>
        <v>专科</v>
      </c>
      <c r="D5736" s="1" t="str">
        <f>"20180701"</f>
        <v>20180701</v>
      </c>
      <c r="E5736" s="1" t="str">
        <f>"信阳职业学院"</f>
        <v>信阳职业学院</v>
      </c>
      <c r="F5736" s="1" t="str">
        <f t="shared" si="2872"/>
        <v>护理</v>
      </c>
      <c r="G5736" s="1" t="str">
        <f>"河南省南阳市淅川县厚坡镇"</f>
        <v>河南省南阳市淅川县厚坡镇</v>
      </c>
      <c r="H5736" s="1" t="str">
        <f>"卫生专业技术资格初级（师）"</f>
        <v>卫生专业技术资格初级（师）</v>
      </c>
      <c r="I5736" s="1" t="str">
        <f>"201509-201807信阳职业技术学院护理学全日制
201807-202203邓州市华康中西医结合医院
202203-至今香花镇卫生院"</f>
        <v>201509-201807信阳职业技术学院护理学全日制
201807-202203邓州市华康中西医结合医院
202203-至今香花镇卫生院</v>
      </c>
    </row>
    <row r="5737" spans="1:9">
      <c r="A5737" s="1" t="str">
        <f>"411327199104083168"</f>
        <v>411327199104083168</v>
      </c>
      <c r="B5737" s="1" t="str">
        <f t="shared" si="2870"/>
        <v>群众</v>
      </c>
      <c r="C5737" s="1" t="str">
        <f t="shared" ref="C5737:C5743" si="2873">"本科"</f>
        <v>本科</v>
      </c>
      <c r="D5737" s="1" t="str">
        <f>"20170701"</f>
        <v>20170701</v>
      </c>
      <c r="E5737" s="1" t="str">
        <f>"郑州大学"</f>
        <v>郑州大学</v>
      </c>
      <c r="F5737" s="1" t="str">
        <f>"护理学"</f>
        <v>护理学</v>
      </c>
      <c r="G5737" s="1" t="str">
        <f>"内乡县菊湍小区"</f>
        <v>内乡县菊湍小区</v>
      </c>
      <c r="H5737" s="1" t="str">
        <f>"护士职业证，护理学初级（师）"</f>
        <v>护士职业证，护理学初级（师）</v>
      </c>
      <c r="I5737" s="1" t="str">
        <f>"201109-201407洛阳职业技术学院护理专业就读全日制
201407-201707郑州大学护理学（专升本 网络教育）
"</f>
        <v>201109-201407洛阳职业技术学院护理专业就读全日制
201407-201707郑州大学护理学（专升本 网络教育）
</v>
      </c>
    </row>
    <row r="5738" spans="1:9">
      <c r="A5738" s="1" t="str">
        <f>"411323200401151729"</f>
        <v>411323200401151729</v>
      </c>
      <c r="B5738" s="1" t="str">
        <f>"共青团员"</f>
        <v>共青团员</v>
      </c>
      <c r="C5738" s="1" t="str">
        <f>"专科"</f>
        <v>专科</v>
      </c>
      <c r="D5738" s="1" t="str">
        <f>"20250701"</f>
        <v>20250701</v>
      </c>
      <c r="E5738" s="1" t="str">
        <f>"郑州黄河护理职业学院"</f>
        <v>郑州黄河护理职业学院</v>
      </c>
      <c r="F5738" s="1" t="str">
        <f>"助产"</f>
        <v>助产</v>
      </c>
      <c r="G5738" s="1" t="str">
        <f>"河南省南阳市淅川县第二小学附近"</f>
        <v>河南省南阳市淅川县第二小学附近</v>
      </c>
      <c r="H5738" s="1" t="str">
        <f t="shared" ref="H5738:H5744" si="2874">"护士资格证"</f>
        <v>护士资格证</v>
      </c>
      <c r="I5738" s="1" t="str">
        <f>"202209-202507在郑州黄河护理职业学院助产系助产专业就读，是全日制学历。"</f>
        <v>202209-202507在郑州黄河护理职业学院助产系助产专业就读，是全日制学历。</v>
      </c>
    </row>
    <row r="5739" spans="1:9">
      <c r="A5739" s="1" t="str">
        <f>"411381200007060611"</f>
        <v>411381200007060611</v>
      </c>
      <c r="B5739" s="1" t="str">
        <f t="shared" ref="B5739:B5741" si="2875">"群众"</f>
        <v>群众</v>
      </c>
      <c r="C5739" s="1" t="str">
        <f>"专科"</f>
        <v>专科</v>
      </c>
      <c r="D5739" s="1" t="str">
        <f>"20230701"</f>
        <v>20230701</v>
      </c>
      <c r="E5739" s="1" t="str">
        <f>"洛阳职业技术学院"</f>
        <v>洛阳职业技术学院</v>
      </c>
      <c r="F5739" s="1" t="str">
        <f>"药学"</f>
        <v>药学</v>
      </c>
      <c r="G5739" s="1" t="str">
        <f>"河南省邓州市县后街2号"</f>
        <v>河南省邓州市县后街2号</v>
      </c>
      <c r="H5739" s="1" t="str">
        <f>"无"</f>
        <v>无</v>
      </c>
      <c r="I5739" s="1" t="str">
        <f>"201909-202307在洛阳职业技术学院食品药品学院就读药学专业 
202307-202507在河南省邓州市待业"</f>
        <v>201909-202307在洛阳职业技术学院食品药品学院就读药学专业 
202307-202507在河南省邓州市待业</v>
      </c>
    </row>
    <row r="5740" spans="1:9">
      <c r="A5740" s="1" t="str">
        <f>"411303200308180183"</f>
        <v>411303200308180183</v>
      </c>
      <c r="B5740" s="1" t="str">
        <f t="shared" si="2875"/>
        <v>群众</v>
      </c>
      <c r="C5740" s="1" t="str">
        <f t="shared" si="2873"/>
        <v>本科</v>
      </c>
      <c r="D5740" s="1" t="str">
        <f>"20250613"</f>
        <v>20250613</v>
      </c>
      <c r="E5740" s="1" t="str">
        <f>"商丘工学院"</f>
        <v>商丘工学院</v>
      </c>
      <c r="F5740" s="1" t="str">
        <f>"护理学"</f>
        <v>护理学</v>
      </c>
      <c r="G5740" s="1" t="str">
        <f>"南阳市卧龙区十二里河"</f>
        <v>南阳市卧龙区十二里河</v>
      </c>
      <c r="H5740" s="1" t="str">
        <f t="shared" si="2874"/>
        <v>护士资格证</v>
      </c>
      <c r="I5740" s="1" t="str">
        <f>"202109-202506商丘工学院医学院护理学专业就读  全日制学历
202506-202508河南南阳待业"</f>
        <v>202109-202506商丘工学院医学院护理学专业就读  全日制学历
202506-202508河南南阳待业</v>
      </c>
    </row>
    <row r="5741" spans="1:9">
      <c r="A5741" s="1" t="str">
        <f>"411327198707164552"</f>
        <v>411327198707164552</v>
      </c>
      <c r="B5741" s="1" t="str">
        <f t="shared" si="2875"/>
        <v>群众</v>
      </c>
      <c r="C5741" s="1" t="str">
        <f t="shared" si="2873"/>
        <v>本科</v>
      </c>
      <c r="D5741" s="1" t="str">
        <f>"20120630"</f>
        <v>20120630</v>
      </c>
      <c r="E5741" s="1" t="str">
        <f>"广西中医药大学赛恩斯新医药学院"</f>
        <v>广西中医药大学赛恩斯新医药学院</v>
      </c>
      <c r="F5741" s="1" t="str">
        <f>"中医学（骨伤科学方向）"</f>
        <v>中医学（骨伤科学方向）</v>
      </c>
      <c r="G5741" s="1" t="str">
        <f>"河南省南阳市内乡县湍东镇五里堡村前营组"</f>
        <v>河南省南阳市内乡县湍东镇五里堡村前营组</v>
      </c>
      <c r="H5741" s="1" t="str">
        <f>"河南省专业技术人员职称证书（中医骨伤副主任医师）"</f>
        <v>河南省专业技术人员职称证书（中医骨伤副主任医师）</v>
      </c>
      <c r="I5741" s="1" t="str">
        <f>"200709-201206广西中医药大学赛恩斯新医药学院就读，全日制本科学历；
201207-201811在内乡众康风湿骨病医院从事中医疼痛专业；
201812至今在内乡县人民医院骨科工作。"</f>
        <v>200709-201206广西中医药大学赛恩斯新医药学院就读，全日制本科学历；
201207-201811在内乡众康风湿骨病医院从事中医疼痛专业；
201812至今在内乡县人民医院骨科工作。</v>
      </c>
    </row>
    <row r="5742" spans="1:9">
      <c r="A5742" s="1" t="str">
        <f>"411325200003040751"</f>
        <v>411325200003040751</v>
      </c>
      <c r="B5742" s="1" t="str">
        <f t="shared" ref="B5742:B5746" si="2876">"共青团员"</f>
        <v>共青团员</v>
      </c>
      <c r="C5742" s="1" t="str">
        <f t="shared" si="2873"/>
        <v>本科</v>
      </c>
      <c r="D5742" s="1" t="str">
        <f>"20230629"</f>
        <v>20230629</v>
      </c>
      <c r="E5742" s="1" t="str">
        <f>"牡丹江医学院"</f>
        <v>牡丹江医学院</v>
      </c>
      <c r="F5742" s="1" t="str">
        <f>"药物制剂"</f>
        <v>药物制剂</v>
      </c>
      <c r="G5742" s="1" t="str">
        <f>"河南省南阳市百里世家"</f>
        <v>河南省南阳市百里世家</v>
      </c>
      <c r="H5742" s="1" t="str">
        <f t="shared" ref="H5742:H5747" si="2877">"无"</f>
        <v>无</v>
      </c>
      <c r="I5742" s="1" t="str">
        <f>"201909-202306  牡丹江医学院药学院药物制剂专业 全日制
202306-202408 南阳市待业
202408-至今       河南蓝图制药有限公司在职"</f>
        <v>201909-202306  牡丹江医学院药学院药物制剂专业 全日制
202306-202408 南阳市待业
202408-至今       河南蓝图制药有限公司在职</v>
      </c>
    </row>
    <row r="5743" spans="1:9">
      <c r="A5743" s="1" t="str">
        <f>"411324200012212424"</f>
        <v>411324200012212424</v>
      </c>
      <c r="B5743" s="1" t="str">
        <f>"中共预备党员"</f>
        <v>中共预备党员</v>
      </c>
      <c r="C5743" s="1" t="str">
        <f t="shared" si="2873"/>
        <v>本科</v>
      </c>
      <c r="D5743" s="1" t="str">
        <f>"20250606"</f>
        <v>20250606</v>
      </c>
      <c r="E5743" s="1" t="str">
        <f>"河南开封科技传媒学院"</f>
        <v>河南开封科技传媒学院</v>
      </c>
      <c r="F5743" s="1" t="str">
        <f>"护理学"</f>
        <v>护理学</v>
      </c>
      <c r="G5743" s="1" t="str">
        <f>"河南省南阳市镇平县高丘镇徐营村大路王2组"</f>
        <v>河南省南阳市镇平县高丘镇徐营村大路王2组</v>
      </c>
      <c r="H5743" s="1" t="str">
        <f t="shared" si="2874"/>
        <v>护士资格证</v>
      </c>
      <c r="I5743" s="1" t="str">
        <f>"202009-202307 许昌学院 医学院系 护理专业 就读 是全日制学历
202309-202506 河南开封科技传媒学院 医学院系 护理专业 就读 是全日制学历"</f>
        <v>202009-202307 许昌学院 医学院系 护理专业 就读 是全日制学历
202309-202506 河南开封科技传媒学院 医学院系 护理专业 就读 是全日制学历</v>
      </c>
    </row>
    <row r="5744" spans="1:9">
      <c r="A5744" s="1" t="str">
        <f>"411321200401152825"</f>
        <v>411321200401152825</v>
      </c>
      <c r="B5744" s="1" t="str">
        <f t="shared" si="2876"/>
        <v>共青团员</v>
      </c>
      <c r="C5744" s="1" t="str">
        <f t="shared" ref="C5744:C5748" si="2878">"专科"</f>
        <v>专科</v>
      </c>
      <c r="D5744" s="1" t="str">
        <f>"20250620"</f>
        <v>20250620</v>
      </c>
      <c r="E5744" s="1" t="str">
        <f>"漯河医学高等专科"</f>
        <v>漯河医学高等专科</v>
      </c>
      <c r="F5744" s="1" t="str">
        <f>"护理（母婴护理方向）"</f>
        <v>护理（母婴护理方向）</v>
      </c>
      <c r="G5744" s="1" t="str">
        <f>"河南省南阳市南召县城关镇"</f>
        <v>河南省南阳市南召县城关镇</v>
      </c>
      <c r="H5744" s="1" t="str">
        <f t="shared" si="2874"/>
        <v>护士资格证</v>
      </c>
      <c r="I5744" s="1" t="str">
        <f>"202209-202506漯河医学高等专科就读全日制专科"</f>
        <v>202209-202506漯河医学高等专科就读全日制专科</v>
      </c>
    </row>
    <row r="5745" spans="1:9">
      <c r="A5745" s="1" t="str">
        <f>"411327200402080622"</f>
        <v>411327200402080622</v>
      </c>
      <c r="B5745" s="1" t="str">
        <f t="shared" ref="B5745:B5748" si="2879">"群众"</f>
        <v>群众</v>
      </c>
      <c r="C5745" s="1" t="str">
        <f t="shared" si="2878"/>
        <v>专科</v>
      </c>
      <c r="D5745" s="1" t="str">
        <f>"2025.6.20"</f>
        <v>2025.6.20</v>
      </c>
      <c r="E5745" s="1" t="str">
        <f>"商丘高等专科学校"</f>
        <v>商丘高等专科学校</v>
      </c>
      <c r="F5745" s="1" t="str">
        <f>"临床医学"</f>
        <v>临床医学</v>
      </c>
      <c r="G5745" s="1" t="str">
        <f>"河南商丘"</f>
        <v>河南商丘</v>
      </c>
      <c r="H5745" s="1" t="str">
        <f t="shared" si="2877"/>
        <v>无</v>
      </c>
      <c r="I5745" s="1" t="str">
        <f>"202209-202506在商丘高等专科学校临床医学专业就读 ，是全日制"</f>
        <v>202209-202506在商丘高等专科学校临床医学专业就读 ，是全日制</v>
      </c>
    </row>
    <row r="5746" spans="1:9">
      <c r="A5746" s="1" t="str">
        <f>"411303200302080229"</f>
        <v>411303200302080229</v>
      </c>
      <c r="B5746" s="1" t="str">
        <f t="shared" si="2876"/>
        <v>共青团员</v>
      </c>
      <c r="C5746" s="1" t="str">
        <f t="shared" si="2878"/>
        <v>专科</v>
      </c>
      <c r="D5746" s="1" t="str">
        <f>"20240601"</f>
        <v>20240601</v>
      </c>
      <c r="E5746" s="1" t="str">
        <f>"郑州卫生健康职业学院"</f>
        <v>郑州卫生健康职业学院</v>
      </c>
      <c r="F5746" s="1" t="str">
        <f>"药学"</f>
        <v>药学</v>
      </c>
      <c r="G5746" s="1" t="str">
        <f>"河南省南阳市卧龙区十二里河"</f>
        <v>河南省南阳市卧龙区十二里河</v>
      </c>
      <c r="H5746" s="1" t="str">
        <f t="shared" si="2877"/>
        <v>无</v>
      </c>
      <c r="I5746" s="1" t="str">
        <f>"202109一202406郑州卫生健康职业学院 就读。基础医学系药学专业普通全日制。"</f>
        <v>202109一202406郑州卫生健康职业学院 就读。基础医学系药学专业普通全日制。</v>
      </c>
    </row>
    <row r="5747" spans="1:9">
      <c r="A5747" s="1" t="str">
        <f>"411327200503144912"</f>
        <v>411327200503144912</v>
      </c>
      <c r="B5747" s="1" t="str">
        <f t="shared" si="2879"/>
        <v>群众</v>
      </c>
      <c r="C5747" s="1" t="str">
        <f t="shared" si="2878"/>
        <v>专科</v>
      </c>
      <c r="D5747" s="1" t="str">
        <f>"20250630"</f>
        <v>20250630</v>
      </c>
      <c r="E5747" s="1" t="str">
        <f>"三门峡职业技术学院"</f>
        <v>三门峡职业技术学院</v>
      </c>
      <c r="F5747" s="1" t="str">
        <f>"药品经营与管理"</f>
        <v>药品经营与管理</v>
      </c>
      <c r="G5747" s="1" t="str">
        <f>"河南省南阳市内乡县城关镇教育路五巷"</f>
        <v>河南省南阳市内乡县城关镇教育路五巷</v>
      </c>
      <c r="H5747" s="1" t="str">
        <f t="shared" si="2877"/>
        <v>无</v>
      </c>
      <c r="I5747" s="1" t="str">
        <f>"2020年9月到2025年6月在三门峡职业技术学院食品园林学院药品经营与管理专业就读，普通全日制"</f>
        <v>2020年9月到2025年6月在三门峡职业技术学院食品园林学院药品经营与管理专业就读，普通全日制</v>
      </c>
    </row>
    <row r="5748" spans="1:9">
      <c r="A5748" s="1" t="str">
        <f>"41138120021022356X"</f>
        <v>41138120021022356X</v>
      </c>
      <c r="B5748" s="1" t="str">
        <f t="shared" si="2879"/>
        <v>群众</v>
      </c>
      <c r="C5748" s="1" t="str">
        <f t="shared" si="2878"/>
        <v>专科</v>
      </c>
      <c r="D5748" s="1" t="str">
        <f>"20220701"</f>
        <v>20220701</v>
      </c>
      <c r="E5748" s="1" t="str">
        <f>"濮阳医学高等专科学校"</f>
        <v>濮阳医学高等专科学校</v>
      </c>
      <c r="F5748" s="1" t="str">
        <f t="shared" ref="F5748:F5752" si="2880">"护理学"</f>
        <v>护理学</v>
      </c>
      <c r="G5748" s="1" t="str">
        <f>"河南省南阳市邓州市古城街道卫生路北段古城雷锋幼儿园北变压器"</f>
        <v>河南省南阳市邓州市古城街道卫生路北段古城雷锋幼儿园北变压器</v>
      </c>
      <c r="H5748" s="1" t="str">
        <f t="shared" ref="H5748:H5752" si="2881">"护士资格证"</f>
        <v>护士资格证</v>
      </c>
      <c r="I5748" s="1" t="str">
        <f>"201909-202207就读于濮阳医学高等专科学校护理系护理专业。全日制学历。
2022年7月至今就业于邓州市人民医院肿瘤三科。"</f>
        <v>201909-202207就读于濮阳医学高等专科学校护理系护理专业。全日制学历。
2022年7月至今就业于邓州市人民医院肿瘤三科。</v>
      </c>
    </row>
    <row r="5749" spans="1:9">
      <c r="A5749" s="1" t="str">
        <f>"411327200206080326"</f>
        <v>411327200206080326</v>
      </c>
      <c r="B5749" s="1" t="str">
        <f>"共青团员"</f>
        <v>共青团员</v>
      </c>
      <c r="C5749" s="1" t="str">
        <f>"本科"</f>
        <v>本科</v>
      </c>
      <c r="D5749" s="1" t="str">
        <f>"20250618"</f>
        <v>20250618</v>
      </c>
      <c r="E5749" s="1" t="str">
        <f>"黑龙江中医药大学"</f>
        <v>黑龙江中医药大学</v>
      </c>
      <c r="F5749" s="1" t="str">
        <f>"医学检验技术"</f>
        <v>医学检验技术</v>
      </c>
      <c r="G5749" s="1" t="str">
        <f>"河南省南阳市内乡县大桥乡磙子岗村"</f>
        <v>河南省南阳市内乡县大桥乡磙子岗村</v>
      </c>
      <c r="H5749" s="1" t="str">
        <f>"无"</f>
        <v>无</v>
      </c>
      <c r="I5749" s="1" t="str">
        <f>"202109－202506　黑龙江中医药大学医学检验技术专业就读，是全日制学历
202507－至今　在家复习备考"</f>
        <v>202109－202506　黑龙江中医药大学医学检验技术专业就读，是全日制学历
202507－至今　在家复习备考</v>
      </c>
    </row>
    <row r="5750" spans="1:9">
      <c r="A5750" s="1" t="str">
        <f>"411327199904121134"</f>
        <v>411327199904121134</v>
      </c>
      <c r="B5750" s="1" t="str">
        <f>"共青团员"</f>
        <v>共青团员</v>
      </c>
      <c r="C5750" s="1" t="str">
        <f>"本科"</f>
        <v>本科</v>
      </c>
      <c r="D5750" s="1" t="str">
        <f>"20250617"</f>
        <v>20250617</v>
      </c>
      <c r="E5750" s="1" t="str">
        <f>"南阳理工学院"</f>
        <v>南阳理工学院</v>
      </c>
      <c r="F5750" s="1" t="str">
        <f t="shared" si="2880"/>
        <v>护理学</v>
      </c>
      <c r="G5750" s="1" t="str">
        <f>"内乡县大成相府小区"</f>
        <v>内乡县大成相府小区</v>
      </c>
      <c r="H5750" s="1" t="str">
        <f t="shared" si="2881"/>
        <v>护士资格证</v>
      </c>
      <c r="I5750" s="1" t="str">
        <f>"201809-202009 65334部队服役
202009-202306  河南推拿职业学院 就读
202309-202506  南阳理工学院         就读
"</f>
        <v>201809-202009 65334部队服役
202009-202306  河南推拿职业学院 就读
202309-202506  南阳理工学院         就读
</v>
      </c>
    </row>
    <row r="5751" spans="1:9">
      <c r="A5751" s="1" t="str">
        <f>"411327200008013966"</f>
        <v>411327200008013966</v>
      </c>
      <c r="B5751" s="1" t="str">
        <f t="shared" ref="B5751:B5755" si="2882">"群众"</f>
        <v>群众</v>
      </c>
      <c r="C5751" s="1" t="str">
        <f t="shared" ref="C5751:C5759" si="2883">"专科"</f>
        <v>专科</v>
      </c>
      <c r="D5751" s="1" t="str">
        <f>"2023.7.1"</f>
        <v>2023.7.1</v>
      </c>
      <c r="E5751" s="1" t="str">
        <f>"郑州西亚学院"</f>
        <v>郑州西亚学院</v>
      </c>
      <c r="F5751" s="1" t="str">
        <f t="shared" si="2880"/>
        <v>护理学</v>
      </c>
      <c r="G5751" s="1" t="str">
        <f>"河南南阳"</f>
        <v>河南南阳</v>
      </c>
      <c r="H5751" s="1" t="str">
        <f t="shared" si="2881"/>
        <v>护士资格证</v>
      </c>
      <c r="I5751" s="1" t="str">
        <f>"2020年-2023年郑州西亚斯学院，护理学专业，全日制专科
2023年-2025年浙江浙健"</f>
        <v>2020年-2023年郑州西亚斯学院，护理学专业，全日制专科
2023年-2025年浙江浙健</v>
      </c>
    </row>
    <row r="5752" spans="1:9">
      <c r="A5752" s="1" t="str">
        <f>"411327200310024527"</f>
        <v>411327200310024527</v>
      </c>
      <c r="B5752" s="1" t="str">
        <f t="shared" si="2882"/>
        <v>群众</v>
      </c>
      <c r="C5752" s="1" t="str">
        <f t="shared" si="2883"/>
        <v>专科</v>
      </c>
      <c r="D5752" s="1" t="str">
        <f>"20250701"</f>
        <v>20250701</v>
      </c>
      <c r="E5752" s="1" t="str">
        <f>"河南医学高等专科学校"</f>
        <v>河南医学高等专科学校</v>
      </c>
      <c r="F5752" s="1" t="str">
        <f t="shared" si="2880"/>
        <v>护理学</v>
      </c>
      <c r="G5752" s="1" t="str">
        <f>"河南省南阳市西峡县"</f>
        <v>河南省南阳市西峡县</v>
      </c>
      <c r="H5752" s="1" t="str">
        <f t="shared" si="2881"/>
        <v>护士资格证</v>
      </c>
      <c r="I5752" s="1" t="str">
        <f>"2022年9月到2024年6月就读于河南医学高等专科学校，是全日制学历2024年6月到2025年2月实习于河南省第二人民医院。"</f>
        <v>2022年9月到2024年6月就读于河南医学高等专科学校，是全日制学历2024年6月到2025年2月实习于河南省第二人民医院。</v>
      </c>
    </row>
    <row r="5753" spans="1:9">
      <c r="A5753" s="1" t="str">
        <f>"411327200106104925"</f>
        <v>411327200106104925</v>
      </c>
      <c r="B5753" s="1" t="str">
        <f>"中共党员"</f>
        <v>中共党员</v>
      </c>
      <c r="C5753" s="1" t="str">
        <f t="shared" si="2883"/>
        <v>专科</v>
      </c>
      <c r="D5753" s="1" t="str">
        <f>"2023年7月1号"</f>
        <v>2023年7月1号</v>
      </c>
      <c r="E5753" s="1" t="str">
        <f>"南阳医学高等专科学校"</f>
        <v>南阳医学高等专科学校</v>
      </c>
      <c r="F5753" s="1" t="str">
        <f>"中医学"</f>
        <v>中医学</v>
      </c>
      <c r="G5753" s="1" t="str">
        <f>"南阳市内乡县"</f>
        <v>南阳市内乡县</v>
      </c>
      <c r="H5753" s="1" t="str">
        <f>"无"</f>
        <v>无</v>
      </c>
      <c r="I5753" s="1" t="str">
        <f>"2020年9月-2023年7月南阳医学高等专科学校中医系中医学就读,是全日制学历"</f>
        <v>2020年9月-2023年7月南阳医学高等专科学校中医系中医学就读,是全日制学历</v>
      </c>
    </row>
    <row r="5754" spans="1:9">
      <c r="A5754" s="1" t="str">
        <f>"411327200406303723"</f>
        <v>411327200406303723</v>
      </c>
      <c r="B5754" s="1" t="str">
        <f t="shared" si="2882"/>
        <v>群众</v>
      </c>
      <c r="C5754" s="1" t="str">
        <f t="shared" si="2883"/>
        <v>专科</v>
      </c>
      <c r="D5754" s="1" t="str">
        <f>"20250607"</f>
        <v>20250607</v>
      </c>
      <c r="E5754" s="1" t="str">
        <f>"鹤壁职业技术学院"</f>
        <v>鹤壁职业技术学院</v>
      </c>
      <c r="F5754" s="1" t="str">
        <f>"护理"</f>
        <v>护理</v>
      </c>
      <c r="G5754" s="1" t="str">
        <f>"河南省南阳市内乡县桃溪镇石碑营村"</f>
        <v>河南省南阳市内乡县桃溪镇石碑营村</v>
      </c>
      <c r="H5754" s="1" t="str">
        <f>"护士资格证"</f>
        <v>护士资格证</v>
      </c>
      <c r="I5754" s="1" t="str">
        <f>"202209-202506 鹤壁职业技术学院就读 全日制专科学历"</f>
        <v>202209-202506 鹤壁职业技术学院就读 全日制专科学历</v>
      </c>
    </row>
    <row r="5755" spans="1:9">
      <c r="A5755" s="1" t="str">
        <f>"411323199110160064"</f>
        <v>411323199110160064</v>
      </c>
      <c r="B5755" s="1" t="str">
        <f t="shared" si="2882"/>
        <v>群众</v>
      </c>
      <c r="C5755" s="1" t="str">
        <f t="shared" si="2883"/>
        <v>专科</v>
      </c>
      <c r="D5755" s="1" t="str">
        <f>"20120712"</f>
        <v>20120712</v>
      </c>
      <c r="E5755" s="1" t="str">
        <f>"南阳医学高等专科学校"</f>
        <v>南阳医学高等专科学校</v>
      </c>
      <c r="F5755" s="1" t="str">
        <f>"护理"</f>
        <v>护理</v>
      </c>
      <c r="G5755" s="1" t="str">
        <f>"河南省南阳市淅川县"</f>
        <v>河南省南阳市淅川县</v>
      </c>
      <c r="H5755" s="1" t="str">
        <f>"护师"</f>
        <v>护师</v>
      </c>
      <c r="I5755" s="1" t="str">
        <f>"200709-201007就读南阳国医大护理专业，201009-201207就读南阳医学高等专科学校护理专业.是全日制.201207毕业，201209就业于淅川县疾病预防控制中心至今."</f>
        <v>200709-201007就读南阳国医大护理专业，201009-201207就读南阳医学高等专科学校护理专业.是全日制.201207毕业，201209就业于淅川县疾病预防控制中心至今.</v>
      </c>
    </row>
    <row r="5756" spans="1:9">
      <c r="A5756" s="1" t="str">
        <f>"411325199809204545"</f>
        <v>411325199809204545</v>
      </c>
      <c r="B5756" s="1" t="str">
        <f t="shared" ref="B5756:B5762" si="2884">"共青团员"</f>
        <v>共青团员</v>
      </c>
      <c r="C5756" s="1" t="str">
        <f t="shared" si="2883"/>
        <v>专科</v>
      </c>
      <c r="D5756" s="1" t="str">
        <f>"2020年7月1日"</f>
        <v>2020年7月1日</v>
      </c>
      <c r="E5756" s="1" t="str">
        <f>"郑州澍青医学高等专业学校"</f>
        <v>郑州澍青医学高等专业学校</v>
      </c>
      <c r="F5756" s="1" t="str">
        <f t="shared" ref="F5756:F5760" si="2885">"临床医学"</f>
        <v>临床医学</v>
      </c>
      <c r="G5756" s="1" t="str">
        <f>"南阳市内乡县人民医院"</f>
        <v>南阳市内乡县人民医院</v>
      </c>
      <c r="H5756" s="1" t="str">
        <f>"执业医师资格证"</f>
        <v>执业医师资格证</v>
      </c>
      <c r="I5756" s="1" t="str">
        <f>"2017.07-2020.07，在郑州澍青医学高等专科学校就读
2020.08-2023.08，在内乡县人民医院助理规范化培训
2023.09-至今，在内乡人民医院工作"</f>
        <v>2017.07-2020.07，在郑州澍青医学高等专科学校就读
2020.08-2023.08，在内乡县人民医院助理规范化培训
2023.09-至今，在内乡人民医院工作</v>
      </c>
    </row>
    <row r="5757" spans="1:9">
      <c r="A5757" s="1" t="str">
        <f>"411324200302010919"</f>
        <v>411324200302010919</v>
      </c>
      <c r="B5757" s="1" t="str">
        <f>"群众"</f>
        <v>群众</v>
      </c>
      <c r="C5757" s="1" t="str">
        <f t="shared" si="2883"/>
        <v>专科</v>
      </c>
      <c r="D5757" s="1" t="str">
        <f>"20240701"</f>
        <v>20240701</v>
      </c>
      <c r="E5757" s="1" t="str">
        <f>"濮阳医学高等专科学校"</f>
        <v>濮阳医学高等专科学校</v>
      </c>
      <c r="F5757" s="1" t="str">
        <f>"护理（ICU护理方向）"</f>
        <v>护理（ICU护理方向）</v>
      </c>
      <c r="G5757" s="1" t="str">
        <f>"河南省南阳市镇平县东关书香苑"</f>
        <v>河南省南阳市镇平县东关书香苑</v>
      </c>
      <c r="H5757" s="1" t="str">
        <f>"护士执业资格证"</f>
        <v>护士执业资格证</v>
      </c>
      <c r="I5757" s="1" t="str">
        <f>"20211014-20240701在濮阳医学高等专科学校护理学院护理（ICU护理方向）专业就读，属全日制学历"</f>
        <v>20211014-20240701在濮阳医学高等专科学校护理学院护理（ICU护理方向）专业就读，属全日制学历</v>
      </c>
    </row>
    <row r="5758" spans="1:9">
      <c r="A5758" s="1" t="str">
        <f>"410927200010029037"</f>
        <v>410927200010029037</v>
      </c>
      <c r="B5758" s="1" t="str">
        <f t="shared" si="2884"/>
        <v>共青团员</v>
      </c>
      <c r="C5758" s="1" t="str">
        <f t="shared" si="2883"/>
        <v>专科</v>
      </c>
      <c r="D5758" s="1" t="str">
        <f>"20240701"</f>
        <v>20240701</v>
      </c>
      <c r="E5758" s="1" t="str">
        <f>"齐鲁医药学院"</f>
        <v>齐鲁医药学院</v>
      </c>
      <c r="F5758" s="1" t="str">
        <f>"药学"</f>
        <v>药学</v>
      </c>
      <c r="G5758" s="1" t="str">
        <f>"河南省濮阳市台前县吴坝镇吴坝村925号"</f>
        <v>河南省濮阳市台前县吴坝镇吴坝村925号</v>
      </c>
      <c r="H5758" s="1" t="str">
        <f t="shared" ref="H5758:H5763" si="2886">"无"</f>
        <v>无</v>
      </c>
      <c r="I5758" s="1" t="str">
        <f>"202109-202407在齐鲁医药学院药学院药学专业就读 是全日制学历"</f>
        <v>202109-202407在齐鲁医药学院药学院药学专业就读 是全日制学历</v>
      </c>
    </row>
    <row r="5759" spans="1:9">
      <c r="A5759" s="1" t="str">
        <f>"411327199404060021"</f>
        <v>411327199404060021</v>
      </c>
      <c r="B5759" s="1" t="str">
        <f t="shared" ref="B5759:B5765" si="2887">"群众"</f>
        <v>群众</v>
      </c>
      <c r="C5759" s="1" t="str">
        <f t="shared" si="2883"/>
        <v>专科</v>
      </c>
      <c r="D5759" s="1" t="str">
        <f>"201507"</f>
        <v>201507</v>
      </c>
      <c r="E5759" s="1" t="str">
        <f>"南阳医学高等专科学校"</f>
        <v>南阳医学高等专科学校</v>
      </c>
      <c r="F5759" s="1" t="str">
        <f t="shared" si="2885"/>
        <v>临床医学</v>
      </c>
      <c r="G5759" s="1" t="str">
        <f>"内乡县城关镇"</f>
        <v>内乡县城关镇</v>
      </c>
      <c r="H5759" s="1" t="str">
        <f>"执业医师"</f>
        <v>执业医师</v>
      </c>
      <c r="I5759" s="1" t="str">
        <f>"201009-201207南阳医学高等专科学校
201209-201307南阳第二附属医院实习
201309-201507南阳医学高等专科学校
201510-201701内乡卫校工作
201603-202004晁陂镇卫生院工作
202004至今在内乡县城关镇卫生院工作"</f>
        <v>201009-201207南阳医学高等专科学校
201209-201307南阳第二附属医院实习
201309-201507南阳医学高等专科学校
201510-201701内乡卫校工作
201603-202004晁陂镇卫生院工作
202004至今在内乡县城关镇卫生院工作</v>
      </c>
    </row>
    <row r="5760" spans="1:9">
      <c r="A5760" s="1" t="str">
        <f>"411302200202200303"</f>
        <v>411302200202200303</v>
      </c>
      <c r="B5760" s="1" t="str">
        <f t="shared" si="2884"/>
        <v>共青团员</v>
      </c>
      <c r="C5760" s="1" t="str">
        <f>"本科"</f>
        <v>本科</v>
      </c>
      <c r="D5760" s="1" t="str">
        <f>"20250701"</f>
        <v>20250701</v>
      </c>
      <c r="E5760" s="1" t="str">
        <f>"河南开封科技传媒学院"</f>
        <v>河南开封科技传媒学院</v>
      </c>
      <c r="F5760" s="1" t="str">
        <f t="shared" si="2885"/>
        <v>临床医学</v>
      </c>
      <c r="G5760" s="1" t="str">
        <f>"河南省南阳市宛城区新店乡龙腾社区"</f>
        <v>河南省南阳市宛城区新店乡龙腾社区</v>
      </c>
      <c r="H5760" s="1" t="str">
        <f t="shared" si="2886"/>
        <v>无</v>
      </c>
      <c r="I5760" s="1" t="str">
        <f>"201909-202207 在南阳医学高等专科学校就读，为全日制临床医学专业
202209-202507 在河南开封科技传媒学院就读，为全日制临床医学专业
202507-至今 待业
"</f>
        <v>201909-202207 在南阳医学高等专科学校就读，为全日制临床医学专业
202209-202507 在河南开封科技传媒学院就读，为全日制临床医学专业
202507-至今 待业
</v>
      </c>
    </row>
    <row r="5761" spans="1:9">
      <c r="A5761" s="1" t="str">
        <f>"411327200205254929"</f>
        <v>411327200205254929</v>
      </c>
      <c r="B5761" s="1" t="str">
        <f t="shared" si="2884"/>
        <v>共青团员</v>
      </c>
      <c r="C5761" s="1" t="str">
        <f t="shared" ref="C5761:C5765" si="2888">"专科"</f>
        <v>专科</v>
      </c>
      <c r="D5761" s="1" t="str">
        <f>"20230701"</f>
        <v>20230701</v>
      </c>
      <c r="E5761" s="1" t="str">
        <f>"漯河医学高等专科学校"</f>
        <v>漯河医学高等专科学校</v>
      </c>
      <c r="F5761" s="1" t="str">
        <f>"临床医学（卓越医生教育培养计划）"</f>
        <v>临床医学（卓越医生教育培养计划）</v>
      </c>
      <c r="G5761" s="1" t="str">
        <f>"河南省南阳市内乡县"</f>
        <v>河南省南阳市内乡县</v>
      </c>
      <c r="H5761" s="1" t="str">
        <f>"执业助理医师资格证"</f>
        <v>执业助理医师资格证</v>
      </c>
      <c r="I5761" s="1" t="str">
        <f>"202009-202307在漯河医学高等专科学校就读临床医学专业，全日制学历
202309至今在内乡县人民医院参加助理全科医师规培"</f>
        <v>202009-202307在漯河医学高等专科学校就读临床医学专业，全日制学历
202309至今在内乡县人民医院参加助理全科医师规培</v>
      </c>
    </row>
    <row r="5762" spans="1:9">
      <c r="A5762" s="1" t="str">
        <f>"411327200204170344"</f>
        <v>411327200204170344</v>
      </c>
      <c r="B5762" s="1" t="str">
        <f t="shared" si="2884"/>
        <v>共青团员</v>
      </c>
      <c r="C5762" s="1" t="str">
        <f t="shared" si="2888"/>
        <v>专科</v>
      </c>
      <c r="D5762" s="1" t="str">
        <f>"20230701"</f>
        <v>20230701</v>
      </c>
      <c r="E5762" s="1" t="str">
        <f>"三门峡职业技术学院"</f>
        <v>三门峡职业技术学院</v>
      </c>
      <c r="F5762" s="1" t="str">
        <f t="shared" ref="F5762:F5765" si="2889">"护理学"</f>
        <v>护理学</v>
      </c>
      <c r="G5762" s="1" t="str">
        <f>"河南省南阳市内乡县河南社区"</f>
        <v>河南省南阳市内乡县河南社区</v>
      </c>
      <c r="H5762" s="1" t="str">
        <f>"护士资格证"</f>
        <v>护士资格证</v>
      </c>
      <c r="I5762" s="1" t="str">
        <f>"202009-202307三门峡职业技术学院就读于护理专业全日制大专
2023年于大桥乡卫生院就业"</f>
        <v>202009-202307三门峡职业技术学院就读于护理专业全日制大专
2023年于大桥乡卫生院就业</v>
      </c>
    </row>
    <row r="5763" spans="1:9">
      <c r="A5763" s="1" t="str">
        <f>"411327200302023313"</f>
        <v>411327200302023313</v>
      </c>
      <c r="B5763" s="1" t="str">
        <f t="shared" si="2887"/>
        <v>群众</v>
      </c>
      <c r="C5763" s="1" t="str">
        <f t="shared" si="2888"/>
        <v>专科</v>
      </c>
      <c r="D5763" s="1" t="str">
        <f>"2025-05-14"</f>
        <v>2025-05-14</v>
      </c>
      <c r="E5763" s="1" t="str">
        <f>"河南推拿职业学院"</f>
        <v>河南推拿职业学院</v>
      </c>
      <c r="F5763" s="1" t="str">
        <f>"中医骨伤"</f>
        <v>中医骨伤</v>
      </c>
      <c r="G5763" s="1" t="str">
        <f>"河南省南阳市内乡县湍东镇屈庄村"</f>
        <v>河南省南阳市内乡县湍东镇屈庄村</v>
      </c>
      <c r="H5763" s="1" t="str">
        <f t="shared" si="2886"/>
        <v>无</v>
      </c>
      <c r="I5763" s="1" t="str">
        <f>"201909-202206邓州市职业技术学校
202209-202506河南推拿职业学院"</f>
        <v>201909-202206邓州市职业技术学校
202209-202506河南推拿职业学院</v>
      </c>
    </row>
    <row r="5764" spans="1:9">
      <c r="A5764" s="1" t="str">
        <f>"411327199904172521"</f>
        <v>411327199904172521</v>
      </c>
      <c r="B5764" s="1" t="str">
        <f t="shared" si="2887"/>
        <v>群众</v>
      </c>
      <c r="C5764" s="1" t="str">
        <f t="shared" si="2888"/>
        <v>专科</v>
      </c>
      <c r="D5764" s="1" t="str">
        <f>"20210601"</f>
        <v>20210601</v>
      </c>
      <c r="E5764" s="1" t="str">
        <f>"河南应用技术职业学院"</f>
        <v>河南应用技术职业学院</v>
      </c>
      <c r="F5764" s="1" t="str">
        <f t="shared" si="2889"/>
        <v>护理学</v>
      </c>
      <c r="G5764" s="1" t="str">
        <f>"河南省南阳市内乡县黉学存丽都小区"</f>
        <v>河南省南阳市内乡县黉学存丽都小区</v>
      </c>
      <c r="H5764" s="1" t="str">
        <f>"护士执业资格证书"</f>
        <v>护士执业资格证书</v>
      </c>
      <c r="I5764" s="1" t="str">
        <f>"201809-2021河南应用技术职业学院护理学院就读全日制
202206至今内乡县第二人民医院工作"</f>
        <v>201809-2021河南应用技术职业学院护理学院就读全日制
202206至今内乡县第二人民医院工作</v>
      </c>
    </row>
    <row r="5765" spans="1:9">
      <c r="A5765" s="1" t="str">
        <f>"522428200103130069"</f>
        <v>522428200103130069</v>
      </c>
      <c r="B5765" s="1" t="str">
        <f t="shared" si="2887"/>
        <v>群众</v>
      </c>
      <c r="C5765" s="1" t="str">
        <f t="shared" si="2888"/>
        <v>专科</v>
      </c>
      <c r="D5765" s="1" t="str">
        <f>"2023年6月23日"</f>
        <v>2023年6月23日</v>
      </c>
      <c r="E5765" s="1" t="str">
        <f>"贵州工商职业学院"</f>
        <v>贵州工商职业学院</v>
      </c>
      <c r="F5765" s="1" t="str">
        <f t="shared" si="2889"/>
        <v>护理学</v>
      </c>
      <c r="G5765" s="1" t="str">
        <f>"内乡县城关镇左岸皇朝"</f>
        <v>内乡县城关镇左岸皇朝</v>
      </c>
      <c r="H5765" s="1" t="str">
        <f>"护理学  护士"</f>
        <v>护理学  护士</v>
      </c>
      <c r="I5765" s="1" t="str">
        <f>"2020年09月-2023年06月工商职业学院就读临床护理专业，是全日制，"</f>
        <v>2020年09月-2023年06月工商职业学院就读临床护理专业，是全日制，</v>
      </c>
    </row>
    <row r="5766" spans="1:9">
      <c r="A5766" s="1" t="str">
        <f>"411381200110160303"</f>
        <v>411381200110160303</v>
      </c>
      <c r="B5766" s="1" t="str">
        <f>"中共党员"</f>
        <v>中共党员</v>
      </c>
      <c r="C5766" s="1" t="str">
        <f>"本科"</f>
        <v>本科</v>
      </c>
      <c r="D5766" s="1" t="str">
        <f>"20240701"</f>
        <v>20240701</v>
      </c>
      <c r="E5766" s="1" t="str">
        <f>"新乡医学院三全学院"</f>
        <v>新乡医学院三全学院</v>
      </c>
      <c r="F5766" s="1" t="str">
        <f>"医学影像技术"</f>
        <v>医学影像技术</v>
      </c>
      <c r="G5766" s="1" t="str">
        <f>"河南省邓州市花洲街道办事处穰城路29号"</f>
        <v>河南省邓州市花洲街道办事处穰城路29号</v>
      </c>
      <c r="H5766" s="1" t="str">
        <f t="shared" ref="H5766:H5770" si="2890">"无"</f>
        <v>无</v>
      </c>
      <c r="I5766" s="1" t="str">
        <f>"2019.09-2022.07郑州澍青医学高等专科学校学生
2022.09—2024.07新乡医学院三全学院学生"</f>
        <v>2019.09-2022.07郑州澍青医学高等专科学校学生
2022.09—2024.07新乡医学院三全学院学生</v>
      </c>
    </row>
    <row r="5767" spans="1:9">
      <c r="A5767" s="1" t="str">
        <f>"37032219960304191X"</f>
        <v>37032219960304191X</v>
      </c>
      <c r="B5767" s="1" t="str">
        <f t="shared" ref="B5767:B5778" si="2891">"群众"</f>
        <v>群众</v>
      </c>
      <c r="C5767" s="1" t="str">
        <f t="shared" ref="C5767:C5770" si="2892">"专科"</f>
        <v>专科</v>
      </c>
      <c r="D5767" s="1" t="str">
        <f>"2016-07-01"</f>
        <v>2016-07-01</v>
      </c>
      <c r="E5767" s="1" t="str">
        <f>"山东中医药高等专科学校"</f>
        <v>山东中医药高等专科学校</v>
      </c>
      <c r="F5767" s="1" t="str">
        <f>"中医学"</f>
        <v>中医学</v>
      </c>
      <c r="G5767" s="1" t="str">
        <f>"山东省淄博市高青县千乘新园"</f>
        <v>山东省淄博市高青县千乘新园</v>
      </c>
      <c r="H5767" s="1" t="str">
        <f>"执业助理医师"</f>
        <v>执业助理医师</v>
      </c>
      <c r="I5767" s="1" t="str">
        <f>"2011年9月1日至2015年6月15日山东中医药高等专科学校学习中医专业
2015年6月15至2016年7月1日淄博市中医医院实习
2016年7月1日至2021年4月10日高青县花沟中心卫生院中医科工作
2019年3月10日至2021年7月10滨州医学院函授中医专业
2021年4月10日至今在高青县青城卫生院中医科工作"</f>
        <v>2011年9月1日至2015年6月15日山东中医药高等专科学校学习中医专业
2015年6月15至2016年7月1日淄博市中医医院实习
2016年7月1日至2021年4月10日高青县花沟中心卫生院中医科工作
2019年3月10日至2021年7月10滨州医学院函授中医专业
2021年4月10日至今在高青县青城卫生院中医科工作</v>
      </c>
    </row>
    <row r="5768" spans="1:9">
      <c r="A5768" s="1" t="str">
        <f>"411324200212261917"</f>
        <v>411324200212261917</v>
      </c>
      <c r="B5768" s="1" t="str">
        <f>"共青团员"</f>
        <v>共青团员</v>
      </c>
      <c r="C5768" s="1" t="str">
        <f t="shared" si="2892"/>
        <v>专科</v>
      </c>
      <c r="D5768" s="1" t="str">
        <f>"20230701"</f>
        <v>20230701</v>
      </c>
      <c r="E5768" s="1" t="str">
        <f>"平顶山学院"</f>
        <v>平顶山学院</v>
      </c>
      <c r="F5768" s="1" t="str">
        <f t="shared" ref="F5768:F5774" si="2893">"临床医学"</f>
        <v>临床医学</v>
      </c>
      <c r="G5768" s="1" t="str">
        <f>"南阳市镇平县"</f>
        <v>南阳市镇平县</v>
      </c>
      <c r="H5768" s="1" t="str">
        <f t="shared" si="2890"/>
        <v>无</v>
      </c>
      <c r="I5768" s="1" t="str">
        <f>"202009-202307 平顶山学院就读 为全日制专科，202307-202401在家待业  202402-202506在镇平四季医院就职。"</f>
        <v>202009-202307 平顶山学院就读 为全日制专科，202307-202401在家待业  202402-202506在镇平四季医院就职。</v>
      </c>
    </row>
    <row r="5769" spans="1:9">
      <c r="A5769" s="1" t="str">
        <f>"411324200310260088"</f>
        <v>411324200310260088</v>
      </c>
      <c r="B5769" s="1" t="str">
        <f t="shared" si="2891"/>
        <v>群众</v>
      </c>
      <c r="C5769" s="1" t="str">
        <f t="shared" si="2892"/>
        <v>专科</v>
      </c>
      <c r="D5769" s="1" t="str">
        <f>"20250612"</f>
        <v>20250612</v>
      </c>
      <c r="E5769" s="1" t="str">
        <f>"黄河科技学院"</f>
        <v>黄河科技学院</v>
      </c>
      <c r="F5769" s="1" t="str">
        <f>"护理"</f>
        <v>护理</v>
      </c>
      <c r="G5769" s="1" t="str">
        <f>"河南省南阳市镇平县察院小学后门老水泥厂内公园幼儿园后东五排中间"</f>
        <v>河南省南阳市镇平县察院小学后门老水泥厂内公园幼儿园后东五排中间</v>
      </c>
      <c r="H5769" s="1" t="str">
        <f>"护士资格证，老年人能力评估师"</f>
        <v>护士资格证，老年人能力评估师</v>
      </c>
      <c r="I5769" s="1" t="str">
        <f>"202209-202506在黄河科技学院医学院护理专业就读，是全日制学历。"</f>
        <v>202209-202506在黄河科技学院医学院护理专业就读，是全日制学历。</v>
      </c>
    </row>
    <row r="5770" spans="1:9">
      <c r="A5770" s="1" t="str">
        <f>"140423200403240038"</f>
        <v>140423200403240038</v>
      </c>
      <c r="B5770" s="1" t="str">
        <f t="shared" si="2891"/>
        <v>群众</v>
      </c>
      <c r="C5770" s="1" t="str">
        <f t="shared" si="2892"/>
        <v>专科</v>
      </c>
      <c r="D5770" s="1" t="str">
        <f>"20250701"</f>
        <v>20250701</v>
      </c>
      <c r="E5770" s="1" t="str">
        <f>"忻州职业技术学院"</f>
        <v>忻州职业技术学院</v>
      </c>
      <c r="F5770" s="1" t="str">
        <f t="shared" si="2893"/>
        <v>临床医学</v>
      </c>
      <c r="G5770" s="1" t="str">
        <f>"山西省长治市襄垣县古韩镇西关村沟底下10号"</f>
        <v>山西省长治市襄垣县古韩镇西关村沟底下10号</v>
      </c>
      <c r="H5770" s="1" t="str">
        <f t="shared" si="2890"/>
        <v>无</v>
      </c>
      <c r="I5770" s="1" t="str">
        <f>"20221018-20250701 在忻州职业技术学院 医学系临床医学专业 就读。是全日制学历。"</f>
        <v>20221018-20250701 在忻州职业技术学院 医学系临床医学专业 就读。是全日制学历。</v>
      </c>
    </row>
    <row r="5771" spans="1:9">
      <c r="A5771" s="1" t="str">
        <f>"411327199705161547"</f>
        <v>411327199705161547</v>
      </c>
      <c r="B5771" s="1" t="str">
        <f t="shared" si="2891"/>
        <v>群众</v>
      </c>
      <c r="C5771" s="1" t="str">
        <f>"本科"</f>
        <v>本科</v>
      </c>
      <c r="D5771" s="1" t="str">
        <f>"20200701"</f>
        <v>20200701</v>
      </c>
      <c r="E5771" s="1" t="str">
        <f>"郑州工业应用技术学院"</f>
        <v>郑州工业应用技术学院</v>
      </c>
      <c r="F5771" s="1" t="str">
        <f>"护理学"</f>
        <v>护理学</v>
      </c>
      <c r="G5771" s="1" t="str">
        <f>"内乡县泊华官邸"</f>
        <v>内乡县泊华官邸</v>
      </c>
      <c r="H5771" s="1" t="str">
        <f>"护士资格证，护士执业证"</f>
        <v>护士资格证，护士执业证</v>
      </c>
      <c r="I5771" s="1" t="str">
        <f>"201509-201807  在河南省医学高等专科学校护理学专业就读   全日制
201809-202007   在郑州工业应用技术学院护理学专业就读  全日制
202007-202012   待业
202012至今    在内乡县人民医院工作
"</f>
        <v>201509-201807  在河南省医学高等专科学校护理学专业就读   全日制
201809-202007   在郑州工业应用技术学院护理学专业就读  全日制
202007-202012   待业
202012至今    在内乡县人民医院工作
</v>
      </c>
    </row>
    <row r="5772" spans="1:9">
      <c r="A5772" s="1" t="str">
        <f>"41132719901010460X"</f>
        <v>41132719901010460X</v>
      </c>
      <c r="B5772" s="1" t="str">
        <f t="shared" si="2891"/>
        <v>群众</v>
      </c>
      <c r="C5772" s="1" t="str">
        <f>"本科"</f>
        <v>本科</v>
      </c>
      <c r="D5772" s="1" t="str">
        <f>"201507"</f>
        <v>201507</v>
      </c>
      <c r="E5772" s="1" t="str">
        <f>"河南中医学院"</f>
        <v>河南中医学院</v>
      </c>
      <c r="F5772" s="1" t="str">
        <f>"针灸推拿学"</f>
        <v>针灸推拿学</v>
      </c>
      <c r="G5772" s="1" t="str">
        <f>"河南省内乡县"</f>
        <v>河南省内乡县</v>
      </c>
      <c r="H5772" s="1" t="str">
        <f>"医师资格证 中级"</f>
        <v>医师资格证 中级</v>
      </c>
      <c r="I5772" s="1" t="str">
        <f>"201009—201507河南中医学院针灸推拿学专业就读
201507—201609待业内乡县
2016010—201908邓州市妇幼保健院工作
201909—202207南阳市中医院规培
202208—202507邓州市妇幼保健院工作
"</f>
        <v>201009—201507河南中医学院针灸推拿学专业就读
201507—201609待业内乡县
2016010—201908邓州市妇幼保健院工作
201909—202207南阳市中医院规培
202208—202507邓州市妇幼保健院工作
</v>
      </c>
    </row>
    <row r="5773" spans="1:9">
      <c r="A5773" s="1" t="str">
        <f>"411327200010160615"</f>
        <v>411327200010160615</v>
      </c>
      <c r="B5773" s="1" t="str">
        <f t="shared" si="2891"/>
        <v>群众</v>
      </c>
      <c r="C5773" s="1" t="str">
        <f t="shared" ref="C5773:C5776" si="2894">"专科"</f>
        <v>专科</v>
      </c>
      <c r="D5773" s="1" t="str">
        <f>"20210701"</f>
        <v>20210701</v>
      </c>
      <c r="E5773" s="1" t="str">
        <f>"漯河医学高等专科学校"</f>
        <v>漯河医学高等专科学校</v>
      </c>
      <c r="F5773" s="1" t="str">
        <f t="shared" si="2893"/>
        <v>临床医学</v>
      </c>
      <c r="G5773" s="1" t="str">
        <f>"河南省南阳市内乡县城关镇明珠花园"</f>
        <v>河南省南阳市内乡县城关镇明珠花园</v>
      </c>
      <c r="H5773" s="1" t="str">
        <f t="shared" ref="H5773:H5781" si="2895">"无"</f>
        <v>无</v>
      </c>
      <c r="I5773" s="1" t="str">
        <f>"201809-202107 漯河医学高等专科学校 全日制专科
202209-202409 内乡县人民医院助理医师规范化培训 "</f>
        <v>201809-202107 漯河医学高等专科学校 全日制专科
202209-202409 内乡县人民医院助理医师规范化培训 </v>
      </c>
    </row>
    <row r="5774" spans="1:9">
      <c r="A5774" s="1" t="str">
        <f>"411325200112232031"</f>
        <v>411325200112232031</v>
      </c>
      <c r="B5774" s="1" t="str">
        <f t="shared" si="2891"/>
        <v>群众</v>
      </c>
      <c r="C5774" s="1" t="str">
        <f t="shared" si="2894"/>
        <v>专科</v>
      </c>
      <c r="D5774" s="1" t="str">
        <f>"20220701"</f>
        <v>20220701</v>
      </c>
      <c r="E5774" s="1" t="str">
        <f>"郑州澍青医学高等专科学校"</f>
        <v>郑州澍青医学高等专科学校</v>
      </c>
      <c r="F5774" s="1" t="str">
        <f t="shared" si="2893"/>
        <v>临床医学</v>
      </c>
      <c r="G5774" s="1" t="str">
        <f>"内乡县卫校附属医院"</f>
        <v>内乡县卫校附属医院</v>
      </c>
      <c r="H5774" s="1" t="str">
        <f t="shared" si="2895"/>
        <v>无</v>
      </c>
      <c r="I5774" s="1" t="str">
        <f>"201909-202207郑州澍青医学高等专科学校临床医学
202207-202209乍曲卫生院
202209-202212华福科技
202301-202303待业师岗镇
202304-至今内乡卫校附属医院"</f>
        <v>201909-202207郑州澍青医学高等专科学校临床医学
202207-202209乍曲卫生院
202209-202212华福科技
202301-202303待业师岗镇
202304-至今内乡卫校附属医院</v>
      </c>
    </row>
    <row r="5775" spans="1:9">
      <c r="A5775" s="1" t="str">
        <f>"411327199508242022"</f>
        <v>411327199508242022</v>
      </c>
      <c r="B5775" s="1" t="str">
        <f t="shared" si="2891"/>
        <v>群众</v>
      </c>
      <c r="C5775" s="1" t="str">
        <f t="shared" si="2894"/>
        <v>专科</v>
      </c>
      <c r="D5775" s="1" t="str">
        <f>"20150701"</f>
        <v>20150701</v>
      </c>
      <c r="E5775" s="1" t="str">
        <f>"南阳医学高等专科学校"</f>
        <v>南阳医学高等专科学校</v>
      </c>
      <c r="F5775" s="1" t="str">
        <f>"中医学"</f>
        <v>中医学</v>
      </c>
      <c r="G5775" s="1" t="str">
        <f>"河南省内乡县师岗镇张集村262号"</f>
        <v>河南省内乡县师岗镇张集村262号</v>
      </c>
      <c r="H5775" s="1" t="str">
        <f>"中医执业证"</f>
        <v>中医执业证</v>
      </c>
      <c r="I5775" s="1" t="str">
        <f>"2010年9月至2015年7月就读于南阳医学高等专科学校中医学专业，2012年9月至2013年8月于南阳市第一人民医院中医内科实习，2014年9月至2015年8月于南阳市中医院中医内科实习."</f>
        <v>2010年9月至2015年7月就读于南阳医学高等专科学校中医学专业，2012年9月至2013年8月于南阳市第一人民医院中医内科实习，2014年9月至2015年8月于南阳市中医院中医内科实习.</v>
      </c>
    </row>
    <row r="5776" spans="1:9">
      <c r="A5776" s="1" t="str">
        <f>"410423200102271012"</f>
        <v>410423200102271012</v>
      </c>
      <c r="B5776" s="1" t="str">
        <f t="shared" si="2891"/>
        <v>群众</v>
      </c>
      <c r="C5776" s="1" t="str">
        <f t="shared" si="2894"/>
        <v>专科</v>
      </c>
      <c r="D5776" s="1" t="str">
        <f>"20220701"</f>
        <v>20220701</v>
      </c>
      <c r="E5776" s="1" t="str">
        <f>"南阳医学高等专科学校"</f>
        <v>南阳医学高等专科学校</v>
      </c>
      <c r="F5776" s="1" t="str">
        <f>"中医学"</f>
        <v>中医学</v>
      </c>
      <c r="G5776" s="1" t="str">
        <f>"河南省鲁山县张官营镇白杜孙村。"</f>
        <v>河南省鲁山县张官营镇白杜孙村。</v>
      </c>
      <c r="H5776" s="1" t="str">
        <f>"中医助理医师资格证"</f>
        <v>中医助理医师资格证</v>
      </c>
      <c r="I5776" s="1" t="str">
        <f>"2016年09月01日至2019年06月09日叶县第一高级中学。2019年09月01日至2022年07月01日南阳医学高等专科学校中医学专业就读。2023年08月01日2025年7月11日南阳医学高等专科学校附属中医院中医全科助理医师规范化培训"</f>
        <v>2016年09月01日至2019年06月09日叶县第一高级中学。2019年09月01日至2022年07月01日南阳医学高等专科学校中医学专业就读。2023年08月01日2025年7月11日南阳医学高等专科学校附属中医院中医全科助理医师规范化培训</v>
      </c>
    </row>
    <row r="5777" spans="1:9">
      <c r="A5777" s="1" t="str">
        <f>"411327200105302081"</f>
        <v>411327200105302081</v>
      </c>
      <c r="B5777" s="1" t="str">
        <f t="shared" si="2891"/>
        <v>群众</v>
      </c>
      <c r="C5777" s="1" t="str">
        <f t="shared" ref="C5777:C5781" si="2896">"本科"</f>
        <v>本科</v>
      </c>
      <c r="D5777" s="1" t="str">
        <f>"20240701"</f>
        <v>20240701</v>
      </c>
      <c r="E5777" s="1" t="str">
        <f>"西安医学院"</f>
        <v>西安医学院</v>
      </c>
      <c r="F5777" s="1" t="str">
        <f>"护理学"</f>
        <v>护理学</v>
      </c>
      <c r="G5777" s="1" t="str">
        <f>"河南省南阳市内乡县师岗镇"</f>
        <v>河南省南阳市内乡县师岗镇</v>
      </c>
      <c r="H5777" s="1" t="str">
        <f>"护士资格证；护士执业证"</f>
        <v>护士资格证；护士执业证</v>
      </c>
      <c r="I5777" s="1" t="str">
        <f>"201909-202407西安医学院护理学就读全日制学历"</f>
        <v>201909-202407西安医学院护理学就读全日制学历</v>
      </c>
    </row>
    <row r="5778" spans="1:9">
      <c r="A5778" s="1" t="str">
        <f>"411327200105011567"</f>
        <v>411327200105011567</v>
      </c>
      <c r="B5778" s="1" t="str">
        <f t="shared" si="2891"/>
        <v>群众</v>
      </c>
      <c r="C5778" s="1" t="str">
        <f t="shared" ref="C5778:C5786" si="2897">"专科"</f>
        <v>专科</v>
      </c>
      <c r="D5778" s="1" t="str">
        <f>"2023-07-01"</f>
        <v>2023-07-01</v>
      </c>
      <c r="E5778" s="1" t="str">
        <f>"商丘医学高等专科学校"</f>
        <v>商丘医学高等专科学校</v>
      </c>
      <c r="F5778" s="1" t="str">
        <f>"临床医学"</f>
        <v>临床医学</v>
      </c>
      <c r="G5778" s="1" t="str">
        <f>"河南省内乡县湍东镇庞营村西四2号"</f>
        <v>河南省内乡县湍东镇庞营村西四2号</v>
      </c>
      <c r="H5778" s="1" t="str">
        <f t="shared" si="2895"/>
        <v>无</v>
      </c>
      <c r="I5778" s="1" t="str">
        <f>"202009-202307  商丘医学高等专科学校就读  全日制学历"</f>
        <v>202009-202307  商丘医学高等专科学校就读  全日制学历</v>
      </c>
    </row>
    <row r="5779" spans="1:9">
      <c r="A5779" s="1" t="str">
        <f>"411325200112300444"</f>
        <v>411325200112300444</v>
      </c>
      <c r="B5779" s="1" t="str">
        <f t="shared" ref="B5779:B5782" si="2898">"共青团员"</f>
        <v>共青团员</v>
      </c>
      <c r="C5779" s="1" t="str">
        <f t="shared" si="2896"/>
        <v>本科</v>
      </c>
      <c r="D5779" s="1" t="str">
        <f>"2025-07-01"</f>
        <v>2025-07-01</v>
      </c>
      <c r="E5779" s="1" t="str">
        <f>"黄河科技学院"</f>
        <v>黄河科技学院</v>
      </c>
      <c r="F5779" s="1" t="str">
        <f t="shared" ref="F5779:F5781" si="2899">"医学检验技术"</f>
        <v>医学检验技术</v>
      </c>
      <c r="G5779" s="1" t="str">
        <f>"河南省南阳市唐河县文峰街道新春社区"</f>
        <v>河南省南阳市唐河县文峰街道新春社区</v>
      </c>
      <c r="H5779" s="1" t="str">
        <f t="shared" si="2895"/>
        <v>无</v>
      </c>
      <c r="I5779" s="1" t="str">
        <f>"2020.09-2023.03南阳医学高等专科学校（全日制）
2023.09-2025.07黄河科技学院（全日制）"</f>
        <v>2020.09-2023.03南阳医学高等专科学校（全日制）
2023.09-2025.07黄河科技学院（全日制）</v>
      </c>
    </row>
    <row r="5780" spans="1:9">
      <c r="A5780" s="1" t="str">
        <f>"411325200103080048"</f>
        <v>411325200103080048</v>
      </c>
      <c r="B5780" s="1" t="str">
        <f t="shared" si="2898"/>
        <v>共青团员</v>
      </c>
      <c r="C5780" s="1" t="str">
        <f t="shared" si="2896"/>
        <v>本科</v>
      </c>
      <c r="D5780" s="1" t="str">
        <f>"20250615"</f>
        <v>20250615</v>
      </c>
      <c r="E5780" s="1" t="str">
        <f>"许昌学院"</f>
        <v>许昌学院</v>
      </c>
      <c r="F5780" s="1" t="str">
        <f t="shared" si="2899"/>
        <v>医学检验技术</v>
      </c>
      <c r="G5780" s="1" t="str">
        <f>"河南省南阳市唐河县滨河新村"</f>
        <v>河南省南阳市唐河县滨河新村</v>
      </c>
      <c r="H5780" s="1" t="str">
        <f t="shared" si="2895"/>
        <v>无</v>
      </c>
      <c r="I5780" s="1" t="str">
        <f>"2020.09.01-2023.07.01南阳医学高等专科学校医技系医学检验技术专业全日制
2023.07.01-2023.09.01在家待业
2023.09.01-2025.06.15许昌学院医学院医学检验技术专业全日制
2025.06.15-至今在家待业"</f>
        <v>2020.09.01-2023.07.01南阳医学高等专科学校医技系医学检验技术专业全日制
2023.07.01-2023.09.01在家待业
2023.09.01-2025.06.15许昌学院医学院医学检验技术专业全日制
2025.06.15-至今在家待业</v>
      </c>
    </row>
    <row r="5781" spans="1:9">
      <c r="A5781" s="1" t="str">
        <f>"422823199905053668"</f>
        <v>422823199905053668</v>
      </c>
      <c r="B5781" s="1" t="str">
        <f t="shared" si="2898"/>
        <v>共青团员</v>
      </c>
      <c r="C5781" s="1" t="str">
        <f t="shared" si="2896"/>
        <v>本科</v>
      </c>
      <c r="D5781" s="1" t="str">
        <f>"20240630"</f>
        <v>20240630</v>
      </c>
      <c r="E5781" s="1" t="str">
        <f>"湖北民族大学科技学院"</f>
        <v>湖北民族大学科技学院</v>
      </c>
      <c r="F5781" s="1" t="str">
        <f t="shared" si="2899"/>
        <v>医学检验技术</v>
      </c>
      <c r="G5781" s="1" t="str">
        <f>"湖北省巴东县水布垭镇杨柳池街"</f>
        <v>湖北省巴东县水布垭镇杨柳池街</v>
      </c>
      <c r="H5781" s="1" t="str">
        <f t="shared" si="2895"/>
        <v>无</v>
      </c>
      <c r="I5781" s="1" t="str">
        <f>"202009—202406 湖北民族大学科技学院 就读 医学院 医学检验技术专业 全日制本科 学士"</f>
        <v>202009—202406 湖北民族大学科技学院 就读 医学院 医学检验技术专业 全日制本科 学士</v>
      </c>
    </row>
    <row r="5782" spans="1:9">
      <c r="A5782" s="1" t="str">
        <f>"411327200304282925"</f>
        <v>411327200304282925</v>
      </c>
      <c r="B5782" s="1" t="str">
        <f t="shared" si="2898"/>
        <v>共青团员</v>
      </c>
      <c r="C5782" s="1" t="str">
        <f t="shared" si="2897"/>
        <v>专科</v>
      </c>
      <c r="D5782" s="1" t="str">
        <f>"2025-06-30"</f>
        <v>2025-06-30</v>
      </c>
      <c r="E5782" s="1" t="str">
        <f>"郑州健康学院"</f>
        <v>郑州健康学院</v>
      </c>
      <c r="F5782" s="1" t="str">
        <f t="shared" ref="F5782:F5786" si="2900">"护理"</f>
        <v>护理</v>
      </c>
      <c r="G5782" s="1" t="str">
        <f>"河南省南阳市内乡县瓦亭镇袁营村袁家组14号"</f>
        <v>河南省南阳市内乡县瓦亭镇袁营村袁家组14号</v>
      </c>
      <c r="H5782" s="1" t="str">
        <f>"护士资格证"</f>
        <v>护士资格证</v>
      </c>
      <c r="I5782" s="1" t="str">
        <f>"202209-202506 郑州健康学院 护理专业 全日制学历 "</f>
        <v>202209-202506 郑州健康学院 护理专业 全日制学历 </v>
      </c>
    </row>
    <row r="5783" spans="1:9">
      <c r="A5783" s="1" t="str">
        <f>"411323200305235025"</f>
        <v>411323200305235025</v>
      </c>
      <c r="B5783" s="1" t="str">
        <f t="shared" ref="B5783:B5794" si="2901">"群众"</f>
        <v>群众</v>
      </c>
      <c r="C5783" s="1" t="str">
        <f t="shared" si="2897"/>
        <v>专科</v>
      </c>
      <c r="D5783" s="1" t="str">
        <f>"20250607"</f>
        <v>20250607</v>
      </c>
      <c r="E5783" s="1" t="str">
        <f>"商丘医学高等专科学校"</f>
        <v>商丘医学高等专科学校</v>
      </c>
      <c r="F5783" s="1" t="str">
        <f>"口腔医学"</f>
        <v>口腔医学</v>
      </c>
      <c r="G5783" s="1" t="str">
        <f>"河南省南阳市淅川县"</f>
        <v>河南省南阳市淅川县</v>
      </c>
      <c r="H5783" s="1" t="str">
        <f t="shared" ref="H5783:H5787" si="2902">"无"</f>
        <v>无</v>
      </c>
      <c r="I5783" s="1" t="str">
        <f>"202209–202506 商丘医学高等专科学校口腔医学院口腔医学专业就读是全日制学历"</f>
        <v>202209–202506 商丘医学高等专科学校口腔医学院口腔医学专业就读是全日制学历</v>
      </c>
    </row>
    <row r="5784" spans="1:9">
      <c r="A5784" s="1" t="str">
        <f>"41130220030912008X"</f>
        <v>41130220030912008X</v>
      </c>
      <c r="B5784" s="1" t="str">
        <f t="shared" si="2901"/>
        <v>群众</v>
      </c>
      <c r="C5784" s="1" t="str">
        <f t="shared" si="2897"/>
        <v>专科</v>
      </c>
      <c r="D5784" s="1" t="str">
        <f>"202407"</f>
        <v>202407</v>
      </c>
      <c r="E5784" s="1" t="str">
        <f>"许昌学院"</f>
        <v>许昌学院</v>
      </c>
      <c r="F5784" s="1" t="str">
        <f>"药学"</f>
        <v>药学</v>
      </c>
      <c r="G5784" s="1" t="str">
        <f>"河南省南阳市宛城区张衡路公安局家属院7号楼一单元2楼西"</f>
        <v>河南省南阳市宛城区张衡路公安局家属院7号楼一单元2楼西</v>
      </c>
      <c r="H5784" s="1" t="str">
        <f t="shared" si="2902"/>
        <v>无</v>
      </c>
      <c r="I5784" s="1" t="str">
        <f>"202109-202407 许昌学院 医学院 药学专业就读 全日制专科
202407-至今 未就业"</f>
        <v>202109-202407 许昌学院 医学院 药学专业就读 全日制专科
202407-至今 未就业</v>
      </c>
    </row>
    <row r="5785" spans="1:9">
      <c r="A5785" s="1" t="str">
        <f>"411327199811113928"</f>
        <v>411327199811113928</v>
      </c>
      <c r="B5785" s="1" t="str">
        <f t="shared" si="2901"/>
        <v>群众</v>
      </c>
      <c r="C5785" s="1" t="str">
        <f t="shared" si="2897"/>
        <v>专科</v>
      </c>
      <c r="D5785" s="1" t="str">
        <f>"20200701"</f>
        <v>20200701</v>
      </c>
      <c r="E5785" s="1" t="str">
        <f>"三门峡职业技术学院"</f>
        <v>三门峡职业技术学院</v>
      </c>
      <c r="F5785" s="1" t="str">
        <f t="shared" si="2900"/>
        <v>护理</v>
      </c>
      <c r="G5785" s="1" t="str">
        <f>"河南省南阳市内乡县乍曲乡红庙村岗头35号"</f>
        <v>河南省南阳市内乡县乍曲乡红庙村岗头35号</v>
      </c>
      <c r="H5785" s="1" t="str">
        <f t="shared" ref="H5785:H5790" si="2903">"护士资格证"</f>
        <v>护士资格证</v>
      </c>
      <c r="I5785" s="1" t="str">
        <f>"201709-202007三门峡职业技术学院护理学专业就读 全日制
202008-至今 内乡县乍曲卫生院 护士"</f>
        <v>201709-202007三门峡职业技术学院护理学专业就读 全日制
202008-至今 内乡县乍曲卫生院 护士</v>
      </c>
    </row>
    <row r="5786" spans="1:9">
      <c r="A5786" s="1" t="str">
        <f>"411327200409160326"</f>
        <v>411327200409160326</v>
      </c>
      <c r="B5786" s="1" t="str">
        <f t="shared" si="2901"/>
        <v>群众</v>
      </c>
      <c r="C5786" s="1" t="str">
        <f t="shared" si="2897"/>
        <v>专科</v>
      </c>
      <c r="D5786" s="1" t="str">
        <f>"20250715"</f>
        <v>20250715</v>
      </c>
      <c r="E5786" s="1" t="str">
        <f>"榆林能源科技职业学院"</f>
        <v>榆林能源科技职业学院</v>
      </c>
      <c r="F5786" s="1" t="str">
        <f t="shared" si="2900"/>
        <v>护理</v>
      </c>
      <c r="G5786" s="1" t="str">
        <f>"河南省内乡县大桥乡谢营村小徐坡徐坡"</f>
        <v>河南省内乡县大桥乡谢营村小徐坡徐坡</v>
      </c>
      <c r="H5786" s="1" t="str">
        <f>"护士职业资格证"</f>
        <v>护士职业资格证</v>
      </c>
      <c r="I5786" s="1" t="str">
        <f>"202209-202507榆林能源科技职业学院医学系护理专业就读"</f>
        <v>202209-202507榆林能源科技职业学院医学系护理专业就读</v>
      </c>
    </row>
    <row r="5787" spans="1:9">
      <c r="A5787" s="1" t="str">
        <f>"41132720020814061X"</f>
        <v>41132720020814061X</v>
      </c>
      <c r="B5787" s="1" t="str">
        <f t="shared" si="2901"/>
        <v>群众</v>
      </c>
      <c r="C5787" s="1" t="str">
        <f t="shared" ref="C5787:C5791" si="2904">"本科"</f>
        <v>本科</v>
      </c>
      <c r="D5787" s="1" t="str">
        <f>"20250613"</f>
        <v>20250613</v>
      </c>
      <c r="E5787" s="1" t="str">
        <f>"黄河科技学院"</f>
        <v>黄河科技学院</v>
      </c>
      <c r="F5787" s="1" t="str">
        <f>"医学检验技术"</f>
        <v>医学检验技术</v>
      </c>
      <c r="G5787" s="1" t="str">
        <f>"河南省南阳市内乡县马山口镇街南头"</f>
        <v>河南省南阳市内乡县马山口镇街南头</v>
      </c>
      <c r="H5787" s="1" t="str">
        <f t="shared" si="2902"/>
        <v>无</v>
      </c>
      <c r="I5787" s="1" t="str">
        <f>"202109-202506 黄河科技学院 医学检验技术 全日制"</f>
        <v>202109-202506 黄河科技学院 医学检验技术 全日制</v>
      </c>
    </row>
    <row r="5788" spans="1:9">
      <c r="A5788" s="1" t="str">
        <f>"411381200101118242"</f>
        <v>411381200101118242</v>
      </c>
      <c r="B5788" s="1" t="str">
        <f t="shared" si="2901"/>
        <v>群众</v>
      </c>
      <c r="C5788" s="1" t="str">
        <f t="shared" ref="C5788:C5793" si="2905">"专科"</f>
        <v>专科</v>
      </c>
      <c r="D5788" s="1" t="str">
        <f>"20220701"</f>
        <v>20220701</v>
      </c>
      <c r="E5788" s="1" t="str">
        <f>"濮阳医学高等专科学校"</f>
        <v>濮阳医学高等专科学校</v>
      </c>
      <c r="F5788" s="1" t="str">
        <f>"护理学"</f>
        <v>护理学</v>
      </c>
      <c r="G5788" s="1" t="str">
        <f>"河南省南阳市邓州市古城街道卫生路北园龙腾苑小区"</f>
        <v>河南省南阳市邓州市古城街道卫生路北园龙腾苑小区</v>
      </c>
      <c r="H5788" s="1" t="str">
        <f t="shared" si="2903"/>
        <v>护士资格证</v>
      </c>
      <c r="I5788" s="1" t="str">
        <f>"2019年9月1日至2022年7月1日就读于濮阳医学高等专科学校护理专业。
2022年7月14日至今就职于邓州市人民医院护理岗位。"</f>
        <v>2019年9月1日至2022年7月1日就读于濮阳医学高等专科学校护理专业。
2022年7月14日至今就职于邓州市人民医院护理岗位。</v>
      </c>
    </row>
    <row r="5789" spans="1:9">
      <c r="A5789" s="1" t="str">
        <f>"411323199901286341"</f>
        <v>411323199901286341</v>
      </c>
      <c r="B5789" s="1" t="str">
        <f t="shared" si="2901"/>
        <v>群众</v>
      </c>
      <c r="C5789" s="1" t="str">
        <f t="shared" si="2905"/>
        <v>专科</v>
      </c>
      <c r="D5789" s="1" t="str">
        <f>"2021年7月1日"</f>
        <v>2021年7月1日</v>
      </c>
      <c r="E5789" s="1" t="str">
        <f>"南阳医学高等专科学校"</f>
        <v>南阳医学高等专科学校</v>
      </c>
      <c r="F5789" s="1" t="str">
        <f>"中医学"</f>
        <v>中医学</v>
      </c>
      <c r="G5789" s="1" t="str">
        <f>"河南省南阳市淅川县厚坡镇前街村"</f>
        <v>河南省南阳市淅川县厚坡镇前街村</v>
      </c>
      <c r="H5789" s="1" t="str">
        <f>"执业助理医师资格证"</f>
        <v>执业助理医师资格证</v>
      </c>
      <c r="I5789" s="1" t="str">
        <f>"201809-202107南阳医学高等专科学校全日制就读"</f>
        <v>201809-202107南阳医学高等专科学校全日制就读</v>
      </c>
    </row>
    <row r="5790" spans="1:9">
      <c r="A5790" s="1" t="str">
        <f>"412825199712135342"</f>
        <v>412825199712135342</v>
      </c>
      <c r="B5790" s="1" t="str">
        <f t="shared" si="2901"/>
        <v>群众</v>
      </c>
      <c r="C5790" s="1" t="str">
        <f t="shared" si="2904"/>
        <v>本科</v>
      </c>
      <c r="D5790" s="1" t="str">
        <f>"20220607"</f>
        <v>20220607</v>
      </c>
      <c r="E5790" s="1" t="str">
        <f>"河南大学民生学院"</f>
        <v>河南大学民生学院</v>
      </c>
      <c r="F5790" s="1" t="str">
        <f>"护理学"</f>
        <v>护理学</v>
      </c>
      <c r="G5790" s="1" t="str">
        <f>"河南省驻马店市上蔡县景贤花园"</f>
        <v>河南省驻马店市上蔡县景贤花园</v>
      </c>
      <c r="H5790" s="1" t="str">
        <f t="shared" si="2903"/>
        <v>护士资格证</v>
      </c>
      <c r="I5790" s="1" t="str">
        <f>"201709-202006在郑州大学西亚斯国际教育学院医学院护理学专业就读（专科）全日制
202009-202206在河南大学民生学院医学院护理学专业就读（本科）全日制
202206至今待业"</f>
        <v>201709-202006在郑州大学西亚斯国际教育学院医学院护理学专业就读（专科）全日制
202009-202206在河南大学民生学院医学院护理学专业就读（本科）全日制
202206至今待业</v>
      </c>
    </row>
    <row r="5791" spans="1:9">
      <c r="A5791" s="1" t="str">
        <f>"410422200106074837"</f>
        <v>410422200106074837</v>
      </c>
      <c r="B5791" s="1" t="str">
        <f t="shared" si="2901"/>
        <v>群众</v>
      </c>
      <c r="C5791" s="1" t="str">
        <f t="shared" si="2904"/>
        <v>本科</v>
      </c>
      <c r="D5791" s="1" t="str">
        <f>"20240607"</f>
        <v>20240607</v>
      </c>
      <c r="E5791" s="1" t="str">
        <f>"河南中医药大学"</f>
        <v>河南中医药大学</v>
      </c>
      <c r="F5791" s="1" t="str">
        <f>"中西医临床"</f>
        <v>中西医临床</v>
      </c>
      <c r="G5791" s="1" t="str">
        <f>"河南省平顶山市叶县"</f>
        <v>河南省平顶山市叶县</v>
      </c>
      <c r="H5791" s="1" t="str">
        <f>"否"</f>
        <v>否</v>
      </c>
      <c r="I5791" s="1" t="str">
        <f>"201909-202406河南中医药大学第一临床医学院中西医临床医学专业就读是全日制学历"</f>
        <v>201909-202406河南中医药大学第一临床医学院中西医临床医学专业就读是全日制学历</v>
      </c>
    </row>
    <row r="5792" spans="1:9">
      <c r="A5792" s="1" t="str">
        <f>"411381199607082288"</f>
        <v>411381199607082288</v>
      </c>
      <c r="B5792" s="1" t="str">
        <f t="shared" si="2901"/>
        <v>群众</v>
      </c>
      <c r="C5792" s="1" t="str">
        <f t="shared" si="2905"/>
        <v>专科</v>
      </c>
      <c r="D5792" s="1" t="str">
        <f>"20170701"</f>
        <v>20170701</v>
      </c>
      <c r="E5792" s="1" t="str">
        <f>"河南护理职业技术学院"</f>
        <v>河南护理职业技术学院</v>
      </c>
      <c r="F5792" s="1" t="str">
        <f>"护理"</f>
        <v>护理</v>
      </c>
      <c r="G5792" s="1" t="str">
        <f>"河南省邓州市湍河街道书香华府"</f>
        <v>河南省邓州市湍河街道书香华府</v>
      </c>
      <c r="H5792" s="1" t="str">
        <f>"初级护师"</f>
        <v>初级护师</v>
      </c>
      <c r="I5792" s="1" t="str">
        <f>"2014-2017 河南护理职业技术学院   护理系 全日制
201707-202303 邓州华康中西医结合医院
202305-至今  邓州肿瘤医院"</f>
        <v>2014-2017 河南护理职业技术学院   护理系 全日制
201707-202303 邓州华康中西医结合医院
202305-至今  邓州肿瘤医院</v>
      </c>
    </row>
    <row r="5793" spans="1:9">
      <c r="A5793" s="1" t="str">
        <f>"411327199005151583"</f>
        <v>411327199005151583</v>
      </c>
      <c r="B5793" s="1" t="str">
        <f t="shared" si="2901"/>
        <v>群众</v>
      </c>
      <c r="C5793" s="1" t="str">
        <f t="shared" si="2905"/>
        <v>专科</v>
      </c>
      <c r="D5793" s="1" t="str">
        <f>"20140701"</f>
        <v>20140701</v>
      </c>
      <c r="E5793" s="1" t="str">
        <f>"漯河医学高等专科学校"</f>
        <v>漯河医学高等专科学校</v>
      </c>
      <c r="F5793" s="1" t="str">
        <f>"临床医学"</f>
        <v>临床医学</v>
      </c>
      <c r="G5793" s="1" t="str">
        <f>"内乡县湍东镇北符营竹园"</f>
        <v>内乡县湍东镇北符营竹园</v>
      </c>
      <c r="H5793" s="1" t="str">
        <f>"临床医学检验技术师"</f>
        <v>临床医学检验技术师</v>
      </c>
      <c r="I5793" s="1" t="str">
        <f>"201109-201407 漯河医学高等专科学校 临床医学专业就读，是全日制学历；
201503-201801 新乡医学院 临床医学，不是全日制学历；
201407-201711 内乡菊潭医院 检验科 化验员；
201712-至今 广州华银医学检验中心 PCR室 授权签字人和质量监督
员。"</f>
        <v>201109-201407 漯河医学高等专科学校 临床医学专业就读，是全日制学历；
201503-201801 新乡医学院 临床医学，不是全日制学历；
201407-201711 内乡菊潭医院 检验科 化验员；
201712-至今 广州华银医学检验中心 PCR室 授权签字人和质量监督
员。</v>
      </c>
    </row>
    <row r="5794" spans="1:9">
      <c r="A5794" s="1" t="str">
        <f>"411303200007232138"</f>
        <v>411303200007232138</v>
      </c>
      <c r="B5794" s="1" t="str">
        <f t="shared" si="2901"/>
        <v>群众</v>
      </c>
      <c r="C5794" s="1" t="str">
        <f t="shared" ref="C5794:C5798" si="2906">"本科"</f>
        <v>本科</v>
      </c>
      <c r="D5794" s="1" t="str">
        <f>"20230701"</f>
        <v>20230701</v>
      </c>
      <c r="E5794" s="1" t="str">
        <f>"重庆医科大学"</f>
        <v>重庆医科大学</v>
      </c>
      <c r="F5794" s="1" t="str">
        <f>"康复治疗学"</f>
        <v>康复治疗学</v>
      </c>
      <c r="G5794" s="1" t="str">
        <f>"河南省南阳市卧龙区北京路9号"</f>
        <v>河南省南阳市卧龙区北京路9号</v>
      </c>
      <c r="H5794" s="1" t="str">
        <f>"无"</f>
        <v>无</v>
      </c>
      <c r="I5794" s="1" t="str">
        <f>"201909-202307在重庆医科大学就读全日制康复治疗学专业
202307-202407待业
202408-202503平顶山武警支队卫生队
202504-至今"</f>
        <v>201909-202307在重庆医科大学就读全日制康复治疗学专业
202307-202407待业
202408-202503平顶山武警支队卫生队
202504-至今</v>
      </c>
    </row>
    <row r="5795" spans="1:9">
      <c r="A5795" s="1" t="str">
        <f>"412926199909013949"</f>
        <v>412926199909013949</v>
      </c>
      <c r="B5795" s="1" t="str">
        <f>"共青团员"</f>
        <v>共青团员</v>
      </c>
      <c r="C5795" s="1" t="str">
        <f t="shared" si="2906"/>
        <v>本科</v>
      </c>
      <c r="D5795" s="1" t="str">
        <f>"20230607"</f>
        <v>20230607</v>
      </c>
      <c r="E5795" s="1" t="str">
        <f>"西安交通大学"</f>
        <v>西安交通大学</v>
      </c>
      <c r="F5795" s="1" t="str">
        <f>"临床医学"</f>
        <v>临床医学</v>
      </c>
      <c r="G5795" s="1" t="str">
        <f>"河南省南阳市内乡县"</f>
        <v>河南省南阳市内乡县</v>
      </c>
      <c r="H5795" s="1" t="str">
        <f>"无"</f>
        <v>无</v>
      </c>
      <c r="I5795" s="1" t="str">
        <f>"201808-202307西安交通大学 就读，临床医学专业，全日制。"</f>
        <v>201808-202307西安交通大学 就读，临床医学专业，全日制。</v>
      </c>
    </row>
    <row r="5796" spans="1:9">
      <c r="A5796" s="1" t="str">
        <f>"411327200209124910"</f>
        <v>411327200209124910</v>
      </c>
      <c r="B5796" s="1" t="str">
        <f t="shared" ref="B5796:B5800" si="2907">"群众"</f>
        <v>群众</v>
      </c>
      <c r="C5796" s="1" t="str">
        <f t="shared" si="2906"/>
        <v>本科</v>
      </c>
      <c r="D5796" s="1" t="str">
        <f>"20250612"</f>
        <v>20250612</v>
      </c>
      <c r="E5796" s="1" t="str">
        <f>"黄河科技学院"</f>
        <v>黄河科技学院</v>
      </c>
      <c r="F5796" s="1" t="str">
        <f t="shared" ref="F5796:F5799" si="2908">"护理学"</f>
        <v>护理学</v>
      </c>
      <c r="G5796" s="1" t="str">
        <f>"河南省南阳市内乡县灌涨镇杨寨村"</f>
        <v>河南省南阳市内乡县灌涨镇杨寨村</v>
      </c>
      <c r="H5796" s="1" t="str">
        <f>"护士执业资格证"</f>
        <v>护士执业资格证</v>
      </c>
      <c r="I5796" s="1" t="str">
        <f>"202009—202307 在商丘医学高等专科学校护理学院就读，全日制学历
202309—202506 在黄河科技学院医学部护理系就读，全日制学历"</f>
        <v>202009—202307 在商丘医学高等专科学校护理学院就读，全日制学历
202309—202506 在黄河科技学院医学部护理系就读，全日制学历</v>
      </c>
    </row>
    <row r="5797" spans="1:9">
      <c r="A5797" s="1" t="str">
        <f>"41133019980825156X"</f>
        <v>41133019980825156X</v>
      </c>
      <c r="B5797" s="1" t="str">
        <f t="shared" si="2907"/>
        <v>群众</v>
      </c>
      <c r="C5797" s="1" t="str">
        <f t="shared" si="2906"/>
        <v>本科</v>
      </c>
      <c r="D5797" s="1" t="str">
        <f>"20200701"</f>
        <v>20200701</v>
      </c>
      <c r="E5797" s="1" t="str">
        <f>"郑州工业应用技术学院"</f>
        <v>郑州工业应用技术学院</v>
      </c>
      <c r="F5797" s="1" t="str">
        <f t="shared" si="2908"/>
        <v>护理学</v>
      </c>
      <c r="G5797" s="1" t="str">
        <f>"河南省内乡县建业森林半岛3期"</f>
        <v>河南省内乡县建业森林半岛3期</v>
      </c>
      <c r="H5797" s="1" t="str">
        <f>"护师"</f>
        <v>护师</v>
      </c>
      <c r="I5797" s="1" t="str">
        <f>"201609-202007 在郑州工业应用技术学院就读"</f>
        <v>201609-202007 在郑州工业应用技术学院就读</v>
      </c>
    </row>
    <row r="5798" spans="1:9">
      <c r="A5798" s="1" t="str">
        <f>"411327199411132521"</f>
        <v>411327199411132521</v>
      </c>
      <c r="B5798" s="1" t="str">
        <f t="shared" si="2907"/>
        <v>群众</v>
      </c>
      <c r="C5798" s="1" t="str">
        <f t="shared" si="2906"/>
        <v>本科</v>
      </c>
      <c r="D5798" s="1" t="str">
        <f>"20170701"</f>
        <v>20170701</v>
      </c>
      <c r="E5798" s="1" t="str">
        <f>"新乡医学院"</f>
        <v>新乡医学院</v>
      </c>
      <c r="F5798" s="1" t="str">
        <f t="shared" si="2908"/>
        <v>护理学</v>
      </c>
      <c r="G5798" s="1" t="str">
        <f>"河南省南阳市内乡县三里桥村"</f>
        <v>河南省南阳市内乡县三里桥村</v>
      </c>
      <c r="H5798" s="1" t="str">
        <f>"主管护师"</f>
        <v>主管护师</v>
      </c>
      <c r="I5798" s="1" t="str">
        <f>"201309-201707 新乡医学院护理学专业就读"</f>
        <v>201309-201707 新乡医学院护理学专业就读</v>
      </c>
    </row>
    <row r="5799" spans="1:9">
      <c r="A5799" s="1" t="str">
        <f>"41132719941202002X"</f>
        <v>41132719941202002X</v>
      </c>
      <c r="B5799" s="1" t="str">
        <f t="shared" si="2907"/>
        <v>群众</v>
      </c>
      <c r="C5799" s="1" t="str">
        <f t="shared" ref="C5799:C5804" si="2909">"专科"</f>
        <v>专科</v>
      </c>
      <c r="D5799" s="1" t="str">
        <f>"20150701"</f>
        <v>20150701</v>
      </c>
      <c r="E5799" s="1" t="str">
        <f>"河南医学高等专科学校"</f>
        <v>河南医学高等专科学校</v>
      </c>
      <c r="F5799" s="1" t="str">
        <f t="shared" si="2908"/>
        <v>护理学</v>
      </c>
      <c r="G5799" s="1" t="str">
        <f>"河南省南阳市内乡县城关镇东风村东风东路8号"</f>
        <v>河南省南阳市内乡县城关镇东风村东风东路8号</v>
      </c>
      <c r="H5799" s="1" t="str">
        <f>"20230223"</f>
        <v>20230223</v>
      </c>
      <c r="I5799" s="1" t="str">
        <f>"2013年9月至2015年7月在南阳高等专科学院就读；
2015年10月至今在妇幼保健院上班。是全日制学历"</f>
        <v>2013年9月至2015年7月在南阳高等专科学院就读；
2015年10月至今在妇幼保健院上班。是全日制学历</v>
      </c>
    </row>
    <row r="5800" spans="1:9">
      <c r="A5800" s="1" t="str">
        <f>"412722199306151553"</f>
        <v>412722199306151553</v>
      </c>
      <c r="B5800" s="1" t="str">
        <f t="shared" si="2907"/>
        <v>群众</v>
      </c>
      <c r="C5800" s="1" t="str">
        <f t="shared" ref="C5800:C5805" si="2910">"本科"</f>
        <v>本科</v>
      </c>
      <c r="D5800" s="1" t="str">
        <f>"2016/08"</f>
        <v>2016/08</v>
      </c>
      <c r="E5800" s="1" t="str">
        <f>"韩国大邱加图立大学"</f>
        <v>韩国大邱加图立大学</v>
      </c>
      <c r="F5800" s="1" t="str">
        <f>"放射线学"</f>
        <v>放射线学</v>
      </c>
      <c r="G5800" s="1" t="str">
        <f>"河南省漯河市郾城区四高家属院"</f>
        <v>河南省漯河市郾城区四高家属院</v>
      </c>
      <c r="H5800" s="1" t="str">
        <f>"放射医学技术（师）"</f>
        <v>放射医学技术（师）</v>
      </c>
      <c r="I5800" s="1" t="str">
        <f>"201109-201407   信阳职业技术学院   医学影像技术（中外合作办学）
201409-201608   韩国大邱加图立大学   放射线学"</f>
        <v>201109-201407   信阳职业技术学院   医学影像技术（中外合作办学）
201409-201608   韩国大邱加图立大学   放射线学</v>
      </c>
    </row>
    <row r="5801" spans="1:9">
      <c r="A5801" s="1" t="str">
        <f>"411329200402171930"</f>
        <v>411329200402171930</v>
      </c>
      <c r="B5801" s="1" t="str">
        <f>"共青团员"</f>
        <v>共青团员</v>
      </c>
      <c r="C5801" s="1" t="str">
        <f t="shared" si="2909"/>
        <v>专科</v>
      </c>
      <c r="D5801" s="1" t="str">
        <f>"20250630"</f>
        <v>20250630</v>
      </c>
      <c r="E5801" s="1" t="str">
        <f>"郑州健康学院"</f>
        <v>郑州健康学院</v>
      </c>
      <c r="F5801" s="1" t="str">
        <f>"临床医学"</f>
        <v>临床医学</v>
      </c>
      <c r="G5801" s="1" t="str">
        <f>"河南省南阳市社旗县李店镇王庄村"</f>
        <v>河南省南阳市社旗县李店镇王庄村</v>
      </c>
      <c r="H5801" s="1" t="str">
        <f>"无"</f>
        <v>无</v>
      </c>
      <c r="I5801" s="1" t="str">
        <f>"202209-202506郑州健康学院临床医学系临床专业就读，全日制学历"</f>
        <v>202209-202506郑州健康学院临床医学系临床专业就读，全日制学历</v>
      </c>
    </row>
    <row r="5802" spans="1:9">
      <c r="A5802" s="1" t="str">
        <f>"411327199805060022"</f>
        <v>411327199805060022</v>
      </c>
      <c r="B5802" s="1" t="str">
        <f>"共青团员"</f>
        <v>共青团员</v>
      </c>
      <c r="C5802" s="1" t="str">
        <f t="shared" si="2910"/>
        <v>本科</v>
      </c>
      <c r="D5802" s="1" t="str">
        <f>"20210607"</f>
        <v>20210607</v>
      </c>
      <c r="E5802" s="1" t="str">
        <f>"平顶山学院"</f>
        <v>平顶山学院</v>
      </c>
      <c r="F5802" s="1" t="str">
        <f t="shared" ref="F5802:F5807" si="2911">"护理学"</f>
        <v>护理学</v>
      </c>
      <c r="G5802" s="1" t="str">
        <f>"河南省南阳市内乡县"</f>
        <v>河南省南阳市内乡县</v>
      </c>
      <c r="H5802" s="1" t="str">
        <f>"护士执业资格证"</f>
        <v>护士执业资格证</v>
      </c>
      <c r="I5802" s="1" t="str">
        <f>"201609-201906在平顶山学院护理学院专科护理系就读，是全日制学历，201909-202106在平顶山护理学院本科护理系就读，是全日制学历，202109在内乡县卫校就业，202211在内乡县县医院就业"</f>
        <v>201609-201906在平顶山学院护理学院专科护理系就读，是全日制学历，201909-202106在平顶山护理学院本科护理系就读，是全日制学历，202109在内乡县卫校就业，202211在内乡县县医院就业</v>
      </c>
    </row>
    <row r="5803" spans="1:9">
      <c r="A5803" s="1" t="str">
        <f>"411327200207100667"</f>
        <v>411327200207100667</v>
      </c>
      <c r="B5803" s="1" t="str">
        <f t="shared" ref="B5803:B5807" si="2912">"群众"</f>
        <v>群众</v>
      </c>
      <c r="C5803" s="1" t="str">
        <f t="shared" si="2909"/>
        <v>专科</v>
      </c>
      <c r="D5803" s="1" t="str">
        <f>"20240612"</f>
        <v>20240612</v>
      </c>
      <c r="E5803" s="1" t="str">
        <f>"南阳医学高等专科学校"</f>
        <v>南阳医学高等专科学校</v>
      </c>
      <c r="F5803" s="1" t="str">
        <f t="shared" si="2911"/>
        <v>护理学</v>
      </c>
      <c r="G5803" s="1" t="str">
        <f>"河南省南阳市内乡县马山口镇"</f>
        <v>河南省南阳市内乡县马山口镇</v>
      </c>
      <c r="H5803" s="1" t="str">
        <f>"护士资格证"</f>
        <v>护士资格证</v>
      </c>
      <c r="I5803" s="1" t="str">
        <f>"202109-202406于南阳医学高等专科学校就读，是全日制专科学历"</f>
        <v>202109-202406于南阳医学高等专科学校就读，是全日制专科学历</v>
      </c>
    </row>
    <row r="5804" spans="1:9">
      <c r="A5804" s="1" t="str">
        <f>"41130220020108032X"</f>
        <v>41130220020108032X</v>
      </c>
      <c r="B5804" s="1" t="str">
        <f t="shared" si="2912"/>
        <v>群众</v>
      </c>
      <c r="C5804" s="1" t="str">
        <f t="shared" si="2909"/>
        <v>专科</v>
      </c>
      <c r="D5804" s="1" t="str">
        <f>"20230701"</f>
        <v>20230701</v>
      </c>
      <c r="E5804" s="1" t="str">
        <f>"河南护理职业学院"</f>
        <v>河南护理职业学院</v>
      </c>
      <c r="F5804" s="1" t="str">
        <f t="shared" ref="F5804:F5808" si="2913">"护理"</f>
        <v>护理</v>
      </c>
      <c r="G5804" s="1" t="str">
        <f>"河南省南阳市宛城区"</f>
        <v>河南省南阳市宛城区</v>
      </c>
      <c r="H5804" s="1" t="str">
        <f>"《中华人民共和国护士执业资格证书》初级"</f>
        <v>《中华人民共和国护士执业资格证书》初级</v>
      </c>
      <c r="I5804" s="1" t="str">
        <f>"2020.09-2023.07 河南护理职业学院护理专业学生 2023.07至今待业"</f>
        <v>2020.09-2023.07 河南护理职业学院护理专业学生 2023.07至今待业</v>
      </c>
    </row>
    <row r="5805" spans="1:9">
      <c r="A5805" s="1" t="str">
        <f>"41132719951019391X"</f>
        <v>41132719951019391X</v>
      </c>
      <c r="B5805" s="1" t="str">
        <f>"中共党员"</f>
        <v>中共党员</v>
      </c>
      <c r="C5805" s="1" t="str">
        <f t="shared" si="2910"/>
        <v>本科</v>
      </c>
      <c r="D5805" s="1" t="str">
        <f>"20180630"</f>
        <v>20180630</v>
      </c>
      <c r="E5805" s="1" t="str">
        <f>"新疆医科大学厚博学院"</f>
        <v>新疆医科大学厚博学院</v>
      </c>
      <c r="F5805" s="1" t="str">
        <f>"药学"</f>
        <v>药学</v>
      </c>
      <c r="G5805" s="1" t="str">
        <f>"内乡县城关镇酸南小区"</f>
        <v>内乡县城关镇酸南小区</v>
      </c>
      <c r="H5805" s="1" t="str">
        <f>"初级药师"</f>
        <v>初级药师</v>
      </c>
      <c r="I5805" s="1" t="str">
        <f>"201409-201806  新疆医科大学厚博学院药学专业就读，全日制；
201807-202306  内乡县岞曲镇卫生院工作
202307-202406  内乡县卫生健康委员会工作
202407至今   内乡县岞曲镇卫生院工作"</f>
        <v>201409-201806  新疆医科大学厚博学院药学专业就读，全日制；
201807-202306  内乡县岞曲镇卫生院工作
202307-202406  内乡县卫生健康委员会工作
202407至今   内乡县岞曲镇卫生院工作</v>
      </c>
    </row>
    <row r="5806" spans="1:9">
      <c r="A5806" s="1" t="str">
        <f>"412822199604202684"</f>
        <v>412822199604202684</v>
      </c>
      <c r="B5806" s="1" t="str">
        <f t="shared" si="2912"/>
        <v>群众</v>
      </c>
      <c r="C5806" s="1" t="str">
        <f t="shared" ref="C5806:C5809" si="2914">"专科"</f>
        <v>专科</v>
      </c>
      <c r="D5806" s="1" t="str">
        <f>"20180701"</f>
        <v>20180701</v>
      </c>
      <c r="E5806" s="1" t="str">
        <f>"周口科技职业学院"</f>
        <v>周口科技职业学院</v>
      </c>
      <c r="F5806" s="1" t="str">
        <f t="shared" si="2913"/>
        <v>护理</v>
      </c>
      <c r="G5806" s="1" t="str">
        <f>"河南省泌阳县"</f>
        <v>河南省泌阳县</v>
      </c>
      <c r="H5806" s="1" t="str">
        <f>"护师"</f>
        <v>护师</v>
      </c>
      <c r="I5806" s="1" t="str">
        <f>"201509-201807在周口科技职业学院护理专业就读，全日制
201808-202507在杭州英智康复医院工作，2019-2024担任科室护理组长，2024-2025担任科室护士长"</f>
        <v>201509-201807在周口科技职业学院护理专业就读，全日制
201808-202507在杭州英智康复医院工作，2019-2024担任科室护理组长，2024-2025担任科室护士长</v>
      </c>
    </row>
    <row r="5807" spans="1:9">
      <c r="A5807" s="1" t="str">
        <f>"411330200407070325"</f>
        <v>411330200407070325</v>
      </c>
      <c r="B5807" s="1" t="str">
        <f t="shared" si="2912"/>
        <v>群众</v>
      </c>
      <c r="C5807" s="1" t="str">
        <f>"本科"</f>
        <v>本科</v>
      </c>
      <c r="D5807" s="1" t="str">
        <f>"2025.6.1"</f>
        <v>2025.6.1</v>
      </c>
      <c r="E5807" s="1" t="str">
        <f>"郑州工业应用技术学院"</f>
        <v>郑州工业应用技术学院</v>
      </c>
      <c r="F5807" s="1" t="str">
        <f t="shared" si="2911"/>
        <v>护理学</v>
      </c>
      <c r="G5807" s="1" t="str">
        <f>"河南省南阳市桐柏县凤凰新区"</f>
        <v>河南省南阳市桐柏县凤凰新区</v>
      </c>
      <c r="H5807" s="1" t="str">
        <f>"护士资格证 英语四级 普通话二甲"</f>
        <v>护士资格证 英语四级 普通话二甲</v>
      </c>
      <c r="I5807" s="1" t="str">
        <f>"2020年至23年 郑州卫生健康职业学院  全日制   助产学 
2023年至25年 郑州工业应用技术学院  全日制  护理学"</f>
        <v>2020年至23年 郑州卫生健康职业学院  全日制   助产学 
2023年至25年 郑州工业应用技术学院  全日制  护理学</v>
      </c>
    </row>
    <row r="5808" spans="1:9">
      <c r="A5808" s="1" t="str">
        <f>"411327200210300029"</f>
        <v>411327200210300029</v>
      </c>
      <c r="B5808" s="1" t="str">
        <f>"共青团员"</f>
        <v>共青团员</v>
      </c>
      <c r="C5808" s="1" t="str">
        <f t="shared" si="2914"/>
        <v>专科</v>
      </c>
      <c r="D5808" s="1" t="str">
        <f>"2023-07-01"</f>
        <v>2023-07-01</v>
      </c>
      <c r="E5808" s="1" t="str">
        <f>"洛阳职业技术学院"</f>
        <v>洛阳职业技术学院</v>
      </c>
      <c r="F5808" s="1" t="str">
        <f t="shared" si="2913"/>
        <v>护理</v>
      </c>
      <c r="G5808" s="1" t="str">
        <f>"河南省南阳市内乡县城关镇大成路"</f>
        <v>河南省南阳市内乡县城关镇大成路</v>
      </c>
      <c r="H5808" s="1" t="str">
        <f>"护士执业证书"</f>
        <v>护士执业证书</v>
      </c>
      <c r="I5808" s="1" t="str">
        <f>"2020.10-2023.07在洛阳职业技术学院护理专业就读。
"</f>
        <v>2020.10-2023.07在洛阳职业技术学院护理专业就读。
</v>
      </c>
    </row>
    <row r="5809" spans="1:9">
      <c r="A5809" s="1" t="str">
        <f>"411327199911081169"</f>
        <v>411327199911081169</v>
      </c>
      <c r="B5809" s="1" t="str">
        <f>"中共党员"</f>
        <v>中共党员</v>
      </c>
      <c r="C5809" s="1" t="str">
        <f t="shared" si="2914"/>
        <v>专科</v>
      </c>
      <c r="D5809" s="1" t="str">
        <f>"20220701"</f>
        <v>20220701</v>
      </c>
      <c r="E5809" s="1" t="str">
        <f>"南阳医学高等专科学校"</f>
        <v>南阳医学高等专科学校</v>
      </c>
      <c r="F5809" s="1" t="str">
        <f>"临床医学"</f>
        <v>临床医学</v>
      </c>
      <c r="G5809" s="1" t="str">
        <f>"河南省南阳市内乡县赤眉镇东北川村"</f>
        <v>河南省南阳市内乡县赤眉镇东北川村</v>
      </c>
      <c r="H5809" s="1" t="str">
        <f>"助理医师资格证"</f>
        <v>助理医师资格证</v>
      </c>
      <c r="I5809" s="1" t="str">
        <f>"201909-202207南阳医学高等专科学校就读
201509-201907内乡县第三高级中学就读
201209-201507邵家岭中心小学就读"</f>
        <v>201909-202207南阳医学高等专科学校就读
201509-201907内乡县第三高级中学就读
201209-201507邵家岭中心小学就读</v>
      </c>
    </row>
    <row r="5810" spans="1:9">
      <c r="A5810" s="1" t="str">
        <f>"411327200208010022"</f>
        <v>411327200208010022</v>
      </c>
      <c r="B5810" s="1" t="str">
        <f>"共青团员"</f>
        <v>共青团员</v>
      </c>
      <c r="C5810" s="1" t="str">
        <f>"本科"</f>
        <v>本科</v>
      </c>
      <c r="D5810" s="1" t="str">
        <f>"20240701"</f>
        <v>20240701</v>
      </c>
      <c r="E5810" s="1" t="str">
        <f>"郑州大学"</f>
        <v>郑州大学</v>
      </c>
      <c r="F5810" s="1" t="str">
        <f t="shared" ref="F5810:F5815" si="2915">"护理学"</f>
        <v>护理学</v>
      </c>
      <c r="G5810" s="1" t="str">
        <f>"河南省内乡县大成明珠"</f>
        <v>河南省内乡县大成明珠</v>
      </c>
      <c r="H5810" s="1" t="str">
        <f>"护士资格证"</f>
        <v>护士资格证</v>
      </c>
      <c r="I5810" s="1" t="str">
        <f>"202009-202407 郑州大学国际学院护理专业就读为全日制本科"</f>
        <v>202009-202407 郑州大学国际学院护理专业就读为全日制本科</v>
      </c>
    </row>
    <row r="5811" spans="1:9">
      <c r="A5811" s="1" t="str">
        <f>"411330199707261523"</f>
        <v>411330199707261523</v>
      </c>
      <c r="B5811" s="1" t="str">
        <f t="shared" ref="B5811:B5814" si="2916">"群众"</f>
        <v>群众</v>
      </c>
      <c r="C5811" s="1" t="str">
        <f t="shared" ref="C5811:C5820" si="2917">"专科"</f>
        <v>专科</v>
      </c>
      <c r="D5811" s="1" t="str">
        <f>"20180701"</f>
        <v>20180701</v>
      </c>
      <c r="E5811" s="1" t="str">
        <f>"南阳医学高等专科学校"</f>
        <v>南阳医学高等专科学校</v>
      </c>
      <c r="F5811" s="1" t="str">
        <f>"护理"</f>
        <v>护理</v>
      </c>
      <c r="G5811" s="1" t="str">
        <f>"南阳市西峡县"</f>
        <v>南阳市西峡县</v>
      </c>
      <c r="H5811" s="1" t="str">
        <f>"护师资格证"</f>
        <v>护师资格证</v>
      </c>
      <c r="I5811" s="1" t="str">
        <f>"201508-201807在南阳医学高等专科学校护理系就读护理专业，是全日制学历，201901-202409在西峡县人民医院工作，202409-至今在南阳职业学院附属医院工作。"</f>
        <v>201508-201807在南阳医学高等专科学校护理系就读护理专业，是全日制学历，201901-202409在西峡县人民医院工作，202409-至今在南阳职业学院附属医院工作。</v>
      </c>
    </row>
    <row r="5812" spans="1:9">
      <c r="A5812" s="1" t="str">
        <f>"411327200301281126"</f>
        <v>411327200301281126</v>
      </c>
      <c r="B5812" s="1" t="str">
        <f t="shared" si="2916"/>
        <v>群众</v>
      </c>
      <c r="C5812" s="1" t="str">
        <f t="shared" si="2917"/>
        <v>专科</v>
      </c>
      <c r="D5812" s="1" t="str">
        <f>"20250701"</f>
        <v>20250701</v>
      </c>
      <c r="E5812" s="1" t="str">
        <f>"西安海棠职业学院"</f>
        <v>西安海棠职业学院</v>
      </c>
      <c r="F5812" s="1" t="str">
        <f>"护理"</f>
        <v>护理</v>
      </c>
      <c r="G5812" s="1" t="str">
        <f>"河南省南阳市内乡县赤眉镇鱼贯口村易庄"</f>
        <v>河南省南阳市内乡县赤眉镇鱼贯口村易庄</v>
      </c>
      <c r="H5812" s="1" t="str">
        <f>"护士资格证"</f>
        <v>护士资格证</v>
      </c>
      <c r="I5812" s="1" t="str">
        <f>"202209-202507在西安海棠职业学院就读护理专业是全日制学历。202407-202503在西安医学院第三附属医院实习。"</f>
        <v>202209-202507在西安海棠职业学院就读护理专业是全日制学历。202407-202503在西安医学院第三附属医院实习。</v>
      </c>
    </row>
    <row r="5813" spans="1:9">
      <c r="A5813" s="1" t="str">
        <f>"411303200408110430"</f>
        <v>411303200408110430</v>
      </c>
      <c r="B5813" s="1" t="str">
        <f t="shared" si="2916"/>
        <v>群众</v>
      </c>
      <c r="C5813" s="1" t="str">
        <f>"本科"</f>
        <v>本科</v>
      </c>
      <c r="D5813" s="1" t="str">
        <f>"2026年6月9日"</f>
        <v>2026年6月9日</v>
      </c>
      <c r="E5813" s="1" t="str">
        <f>"新乡医学院三全学院"</f>
        <v>新乡医学院三全学院</v>
      </c>
      <c r="F5813" s="1" t="str">
        <f>"医学检验技术"</f>
        <v>医学检验技术</v>
      </c>
      <c r="G5813" s="1" t="str">
        <f>"河南省南阳市卧龙区安皋镇第一中心小学"</f>
        <v>河南省南阳市卧龙区安皋镇第一中心小学</v>
      </c>
      <c r="H5813" s="1" t="str">
        <f>"无"</f>
        <v>无</v>
      </c>
      <c r="I5813" s="1" t="str">
        <f>"2022年到2026年在新乡医学院三全学院就读"</f>
        <v>2022年到2026年在新乡医学院三全学院就读</v>
      </c>
    </row>
    <row r="5814" spans="1:9">
      <c r="A5814" s="1" t="str">
        <f>"411327200003020622"</f>
        <v>411327200003020622</v>
      </c>
      <c r="B5814" s="1" t="str">
        <f t="shared" si="2916"/>
        <v>群众</v>
      </c>
      <c r="C5814" s="1" t="str">
        <f t="shared" si="2917"/>
        <v>专科</v>
      </c>
      <c r="D5814" s="1" t="str">
        <f>"20210606"</f>
        <v>20210606</v>
      </c>
      <c r="E5814" s="1" t="str">
        <f>"濮阳医学高等专科学校"</f>
        <v>濮阳医学高等专科学校</v>
      </c>
      <c r="F5814" s="1" t="str">
        <f t="shared" si="2915"/>
        <v>护理学</v>
      </c>
      <c r="G5814" s="1" t="str">
        <f>"河南省南阳市内乡县"</f>
        <v>河南省南阳市内乡县</v>
      </c>
      <c r="H5814" s="1" t="str">
        <f>"护士执业证"</f>
        <v>护士执业证</v>
      </c>
      <c r="I5814" s="1" t="str">
        <f>"201809-202106就读于濮阳医学高等专科学校护理专业全日制大专"</f>
        <v>201809-202106就读于濮阳医学高等专科学校护理专业全日制大专</v>
      </c>
    </row>
    <row r="5815" spans="1:9">
      <c r="A5815" s="1" t="str">
        <f>"411324200208020045"</f>
        <v>411324200208020045</v>
      </c>
      <c r="B5815" s="1" t="str">
        <f>"共青团员"</f>
        <v>共青团员</v>
      </c>
      <c r="C5815" s="1" t="str">
        <f t="shared" si="2917"/>
        <v>专科</v>
      </c>
      <c r="D5815" s="1" t="str">
        <f>"20230703"</f>
        <v>20230703</v>
      </c>
      <c r="E5815" s="1" t="str">
        <f>"信阳职业技术学院"</f>
        <v>信阳职业技术学院</v>
      </c>
      <c r="F5815" s="1" t="str">
        <f t="shared" si="2915"/>
        <v>护理学</v>
      </c>
      <c r="G5815" s="1" t="str">
        <f>"南阳市镇平县"</f>
        <v>南阳市镇平县</v>
      </c>
      <c r="H5815" s="1" t="str">
        <f>"护士执业资格证"</f>
        <v>护士执业资格证</v>
      </c>
      <c r="I5815" s="1" t="str">
        <f>"2020.09-2023.07就读于信阳职业技术学院，护理学院，全日制大专"</f>
        <v>2020.09-2023.07就读于信阳职业技术学院，护理学院，全日制大专</v>
      </c>
    </row>
    <row r="5816" spans="1:9">
      <c r="A5816" s="1" t="str">
        <f>"411327199803140010"</f>
        <v>411327199803140010</v>
      </c>
      <c r="B5816" s="1" t="str">
        <f t="shared" ref="B5816:B5820" si="2918">"群众"</f>
        <v>群众</v>
      </c>
      <c r="C5816" s="1" t="str">
        <f t="shared" si="2917"/>
        <v>专科</v>
      </c>
      <c r="D5816" s="1" t="str">
        <f>"20200701"</f>
        <v>20200701</v>
      </c>
      <c r="E5816" s="1" t="str">
        <f>"漯河医学高等专科学校"</f>
        <v>漯河医学高等专科学校</v>
      </c>
      <c r="F5816" s="1" t="str">
        <f t="shared" ref="F5816:F5821" si="2919">"临床医学"</f>
        <v>临床医学</v>
      </c>
      <c r="G5816" s="1" t="str">
        <f>"河南省南阳市内乡县城关镇"</f>
        <v>河南省南阳市内乡县城关镇</v>
      </c>
      <c r="H5816" s="1" t="str">
        <f>"助理医师资格证"</f>
        <v>助理医师资格证</v>
      </c>
      <c r="I5816" s="1" t="str">
        <f>"201709-202007 漯河医学高等专科学校 临床医学专业就读；2020年07月-至今于内乡县第二人民医院工作"</f>
        <v>201709-202007 漯河医学高等专科学校 临床医学专业就读；2020年07月-至今于内乡县第二人民医院工作</v>
      </c>
    </row>
    <row r="5817" spans="1:9">
      <c r="A5817" s="1" t="str">
        <f>"411326200504156409"</f>
        <v>411326200504156409</v>
      </c>
      <c r="B5817" s="1" t="str">
        <f t="shared" si="2918"/>
        <v>群众</v>
      </c>
      <c r="C5817" s="1" t="str">
        <f t="shared" si="2917"/>
        <v>专科</v>
      </c>
      <c r="D5817" s="1" t="str">
        <f>"20250630"</f>
        <v>20250630</v>
      </c>
      <c r="E5817" s="1" t="str">
        <f>"南阳科技职业学院"</f>
        <v>南阳科技职业学院</v>
      </c>
      <c r="F5817" s="1" t="str">
        <f>"护理"</f>
        <v>护理</v>
      </c>
      <c r="G5817" s="1" t="str">
        <f>"河南省南阳市淅川县一初中附近"</f>
        <v>河南省南阳市淅川县一初中附近</v>
      </c>
      <c r="H5817" s="1" t="str">
        <f>"护士资格证"</f>
        <v>护士资格证</v>
      </c>
      <c r="I5817" s="1" t="str">
        <f>"202209-202506南阳科技职业学院就读护理专业，全日制学历，现在南阳市淅川县待业。"</f>
        <v>202209-202506南阳科技职业学院就读护理专业，全日制学历，现在南阳市淅川县待业。</v>
      </c>
    </row>
    <row r="5818" spans="1:9">
      <c r="A5818" s="1" t="str">
        <f>"411327200310130063"</f>
        <v>411327200310130063</v>
      </c>
      <c r="B5818" s="1" t="str">
        <f t="shared" si="2918"/>
        <v>群众</v>
      </c>
      <c r="C5818" s="1" t="str">
        <f t="shared" si="2917"/>
        <v>专科</v>
      </c>
      <c r="D5818" s="1" t="str">
        <f>"20250607"</f>
        <v>20250607</v>
      </c>
      <c r="E5818" s="1" t="str">
        <f>"南阳医学高等专科学校"</f>
        <v>南阳医学高等专科学校</v>
      </c>
      <c r="F5818" s="1" t="str">
        <f>"中医学"</f>
        <v>中医学</v>
      </c>
      <c r="G5818" s="1" t="str">
        <f>"河南省南阳市内乡县城关镇和谐雅居"</f>
        <v>河南省南阳市内乡县城关镇和谐雅居</v>
      </c>
      <c r="H5818" s="1" t="str">
        <f t="shared" ref="H5818:H5821" si="2920">"无"</f>
        <v>无</v>
      </c>
      <c r="I5818" s="1" t="str">
        <f>"202209-202506于南阳医学高等专科学校就读中医学专业全日制学历"</f>
        <v>202209-202506于南阳医学高等专科学校就读中医学专业全日制学历</v>
      </c>
    </row>
    <row r="5819" spans="1:9">
      <c r="A5819" s="1" t="str">
        <f>"411327200204125017"</f>
        <v>411327200204125017</v>
      </c>
      <c r="B5819" s="1" t="str">
        <f t="shared" si="2918"/>
        <v>群众</v>
      </c>
      <c r="C5819" s="1" t="str">
        <f t="shared" si="2917"/>
        <v>专科</v>
      </c>
      <c r="D5819" s="1" t="str">
        <f>"20230701"</f>
        <v>20230701</v>
      </c>
      <c r="E5819" s="1" t="str">
        <f>"洛阳职业技术学院"</f>
        <v>洛阳职业技术学院</v>
      </c>
      <c r="F5819" s="1" t="str">
        <f t="shared" si="2919"/>
        <v>临床医学</v>
      </c>
      <c r="G5819" s="1" t="str">
        <f>"河南省南阳市社旗县陌陂乡朱庄村"</f>
        <v>河南省南阳市社旗县陌陂乡朱庄村</v>
      </c>
      <c r="H5819" s="1" t="str">
        <f>"执业助理医师资格证"</f>
        <v>执业助理医师资格证</v>
      </c>
      <c r="I5819" s="1" t="str">
        <f>"202010-202307 于洛阳职业技术学院医学院就读（全日制）
202309-202508 于内乡县人民医院进行助理全科医生规范化培训"</f>
        <v>202010-202307 于洛阳职业技术学院医学院就读（全日制）
202309-202508 于内乡县人民医院进行助理全科医生规范化培训</v>
      </c>
    </row>
    <row r="5820" spans="1:9">
      <c r="A5820" s="1" t="str">
        <f>"411328199511270012"</f>
        <v>411328199511270012</v>
      </c>
      <c r="B5820" s="1" t="str">
        <f t="shared" si="2918"/>
        <v>群众</v>
      </c>
      <c r="C5820" s="1" t="str">
        <f t="shared" si="2917"/>
        <v>专科</v>
      </c>
      <c r="D5820" s="1" t="str">
        <f>"20170630"</f>
        <v>20170630</v>
      </c>
      <c r="E5820" s="1" t="str">
        <f>"商丘医学高等专科学校"</f>
        <v>商丘医学高等专科学校</v>
      </c>
      <c r="F5820" s="1" t="str">
        <f t="shared" si="2919"/>
        <v>临床医学</v>
      </c>
      <c r="G5820" s="1" t="str">
        <f>"河南省南阳市卧龙区两相府"</f>
        <v>河南省南阳市卧龙区两相府</v>
      </c>
      <c r="H5820" s="1" t="str">
        <f t="shared" si="2920"/>
        <v>无</v>
      </c>
      <c r="I5820" s="1" t="str">
        <f>"201409-201707商丘医学高等专科学校就读。全日制学历"</f>
        <v>201409-201707商丘医学高等专科学校就读。全日制学历</v>
      </c>
    </row>
    <row r="5821" spans="1:9">
      <c r="A5821" s="1" t="str">
        <f>"411327199504152919"</f>
        <v>411327199504152919</v>
      </c>
      <c r="B5821" s="1" t="str">
        <f>"中共党员"</f>
        <v>中共党员</v>
      </c>
      <c r="C5821" s="1" t="str">
        <f t="shared" ref="C5821:C5825" si="2921">"本科"</f>
        <v>本科</v>
      </c>
      <c r="D5821" s="1" t="str">
        <f>"20250613"</f>
        <v>20250613</v>
      </c>
      <c r="E5821" s="1" t="str">
        <f>"新乡医学院三全学院"</f>
        <v>新乡医学院三全学院</v>
      </c>
      <c r="F5821" s="1" t="str">
        <f t="shared" si="2919"/>
        <v>临床医学</v>
      </c>
      <c r="G5821" s="1" t="str">
        <f>"南阳市内乡县"</f>
        <v>南阳市内乡县</v>
      </c>
      <c r="H5821" s="1" t="str">
        <f t="shared" si="2920"/>
        <v>无</v>
      </c>
      <c r="I5821" s="1" t="str">
        <f>"202209-202506 新乡医学院三全学院 就读  全日制"</f>
        <v>202209-202506 新乡医学院三全学院 就读  全日制</v>
      </c>
    </row>
    <row r="5822" spans="1:9">
      <c r="A5822" s="1" t="str">
        <f>"411327199407270024"</f>
        <v>411327199407270024</v>
      </c>
      <c r="B5822" s="1" t="str">
        <f t="shared" ref="B5822:B5824" si="2922">"群众"</f>
        <v>群众</v>
      </c>
      <c r="C5822" s="1" t="str">
        <f t="shared" si="2921"/>
        <v>本科</v>
      </c>
      <c r="D5822" s="1" t="str">
        <f>"2025年7月1日"</f>
        <v>2025年7月1日</v>
      </c>
      <c r="E5822" s="1" t="str">
        <f>"黄河科技学院"</f>
        <v>黄河科技学院</v>
      </c>
      <c r="F5822" s="1" t="str">
        <f>"护理学"</f>
        <v>护理学</v>
      </c>
      <c r="G5822" s="1" t="str">
        <f>"内乡县城关镇东大街花园路489号"</f>
        <v>内乡县城关镇东大街花园路489号</v>
      </c>
      <c r="H5822" s="1" t="str">
        <f t="shared" ref="H5822:H5826" si="2923">"护士资格证"</f>
        <v>护士资格证</v>
      </c>
      <c r="I5822" s="1" t="str">
        <f>"2010年至2015年于南阳市医学高等专科学院学习
2015年至2016年于南阳市卫校附属医院工作
2016年至2022年1月于内乡县计划生育指导站工作
2022年至今于内乡县城关镇卫生院工作
2023年开始于黄河科技学院专升本非全日制学习，2025年7月1日本科毕业."</f>
        <v>2010年至2015年于南阳市医学高等专科学院学习
2015年至2016年于南阳市卫校附属医院工作
2016年至2022年1月于内乡县计划生育指导站工作
2022年至今于内乡县城关镇卫生院工作
2023年开始于黄河科技学院专升本非全日制学习，2025年7月1日本科毕业.</v>
      </c>
    </row>
    <row r="5823" spans="1:9">
      <c r="A5823" s="1" t="str">
        <f>"411327200109013957"</f>
        <v>411327200109013957</v>
      </c>
      <c r="B5823" s="1" t="str">
        <f t="shared" si="2922"/>
        <v>群众</v>
      </c>
      <c r="C5823" s="1" t="str">
        <f t="shared" si="2921"/>
        <v>本科</v>
      </c>
      <c r="D5823" s="1" t="str">
        <f>"20240628"</f>
        <v>20240628</v>
      </c>
      <c r="E5823" s="1" t="str">
        <f>"山西医科大学"</f>
        <v>山西医科大学</v>
      </c>
      <c r="F5823" s="1" t="str">
        <f>"医学检验技术"</f>
        <v>医学检验技术</v>
      </c>
      <c r="G5823" s="1" t="str">
        <f>"河南省南阳市内乡县乍岖镇魏营村"</f>
        <v>河南省南阳市内乡县乍岖镇魏营村</v>
      </c>
      <c r="H5823" s="1" t="str">
        <f>"无"</f>
        <v>无</v>
      </c>
      <c r="I5823" s="1" t="str">
        <f>"20201010-20240628山西医科大学汾阳学院医学检验系医学检验技术专业就读，全日制学历；20240701-20250724在内乡县待业。"</f>
        <v>20201010-20240628山西医科大学汾阳学院医学检验系医学检验技术专业就读，全日制学历；20240701-20250724在内乡县待业。</v>
      </c>
    </row>
    <row r="5824" spans="1:9">
      <c r="A5824" s="1" t="str">
        <f>"411381198010292632"</f>
        <v>411381198010292632</v>
      </c>
      <c r="B5824" s="1" t="str">
        <f t="shared" si="2922"/>
        <v>群众</v>
      </c>
      <c r="C5824" s="1" t="str">
        <f t="shared" si="2921"/>
        <v>本科</v>
      </c>
      <c r="D5824" s="1" t="str">
        <f>"200707"</f>
        <v>200707</v>
      </c>
      <c r="E5824" s="1" t="str">
        <f>"河南中医学院"</f>
        <v>河南中医学院</v>
      </c>
      <c r="F5824" s="1" t="str">
        <f>"中医学（中西医结合方向）"</f>
        <v>中医学（中西医结合方向）</v>
      </c>
      <c r="G5824" s="1" t="str">
        <f>"南阳市卧龙区"</f>
        <v>南阳市卧龙区</v>
      </c>
      <c r="H5824" s="1" t="str">
        <f>"中华人民共和国医师资格证书"</f>
        <v>中华人民共和国医师资格证书</v>
      </c>
      <c r="I5824" s="1" t="str">
        <f>"200209-200707 河南中医学院 第一临床医学院 中医学（中西医结合方向）全日制 就读。
200707-201912 南阳市第九人民医院
201912-至今 南阳市第二人民医院"</f>
        <v>200209-200707 河南中医学院 第一临床医学院 中医学（中西医结合方向）全日制 就读。
200707-201912 南阳市第九人民医院
201912-至今 南阳市第二人民医院</v>
      </c>
    </row>
    <row r="5825" spans="1:9">
      <c r="A5825" s="1" t="str">
        <f>"41133020021211552X"</f>
        <v>41133020021211552X</v>
      </c>
      <c r="B5825" s="1" t="str">
        <f t="shared" ref="B5825:B5827" si="2924">"共青团员"</f>
        <v>共青团员</v>
      </c>
      <c r="C5825" s="1" t="str">
        <f t="shared" si="2921"/>
        <v>本科</v>
      </c>
      <c r="D5825" s="1" t="str">
        <f>"20250630"</f>
        <v>20250630</v>
      </c>
      <c r="E5825" s="1" t="str">
        <f>"湖北科技学院"</f>
        <v>湖北科技学院</v>
      </c>
      <c r="F5825" s="1" t="str">
        <f>"护理学"</f>
        <v>护理学</v>
      </c>
      <c r="G5825" s="1" t="str">
        <f>"河南省南阳市"</f>
        <v>河南省南阳市</v>
      </c>
      <c r="H5825" s="1" t="str">
        <f t="shared" si="2923"/>
        <v>护士资格证</v>
      </c>
      <c r="I5825" s="1" t="str">
        <f>"202109-202506湖北科技学院公共卫生与健康学院护理学专业全日制本科就读。"</f>
        <v>202109-202506湖北科技学院公共卫生与健康学院护理学专业全日制本科就读。</v>
      </c>
    </row>
    <row r="5826" spans="1:9">
      <c r="A5826" s="1" t="str">
        <f>"420381200108025824"</f>
        <v>420381200108025824</v>
      </c>
      <c r="B5826" s="1" t="str">
        <f t="shared" si="2924"/>
        <v>共青团员</v>
      </c>
      <c r="C5826" s="1" t="str">
        <f t="shared" ref="C5826:C5831" si="2925">"专科"</f>
        <v>专科</v>
      </c>
      <c r="D5826" s="1" t="str">
        <f>"20240630"</f>
        <v>20240630</v>
      </c>
      <c r="E5826" s="1" t="str">
        <f>"湖北科技学院"</f>
        <v>湖北科技学院</v>
      </c>
      <c r="F5826" s="1" t="str">
        <f>"护理"</f>
        <v>护理</v>
      </c>
      <c r="G5826" s="1" t="str">
        <f>"河南省南阳市淅川县厚坡镇"</f>
        <v>河南省南阳市淅川县厚坡镇</v>
      </c>
      <c r="H5826" s="1" t="str">
        <f t="shared" si="2923"/>
        <v>护士资格证</v>
      </c>
      <c r="I5826" s="1" t="str">
        <f>"202109-202406在湖北科技学院就读，护理专业，全日制专科学历"</f>
        <v>202109-202406在湖北科技学院就读，护理专业，全日制专科学历</v>
      </c>
    </row>
    <row r="5827" spans="1:9">
      <c r="A5827" s="1" t="str">
        <f>"411327199705013720"</f>
        <v>411327199705013720</v>
      </c>
      <c r="B5827" s="1" t="str">
        <f t="shared" si="2924"/>
        <v>共青团员</v>
      </c>
      <c r="C5827" s="1" t="str">
        <f t="shared" ref="C5827:C5830" si="2926">"本科"</f>
        <v>本科</v>
      </c>
      <c r="D5827" s="1" t="str">
        <f>"2020年7月1日"</f>
        <v>2020年7月1日</v>
      </c>
      <c r="E5827" s="1" t="str">
        <f>"黄河科技学院"</f>
        <v>黄河科技学院</v>
      </c>
      <c r="F5827" s="1" t="str">
        <f>"医学检验技术"</f>
        <v>医学检验技术</v>
      </c>
      <c r="G5827" s="1" t="str">
        <f>"河南省南阳市内乡县桃溪镇桃庄河村"</f>
        <v>河南省南阳市内乡县桃溪镇桃庄河村</v>
      </c>
      <c r="H5827" s="1" t="str">
        <f>"医学检验技术初级师"</f>
        <v>医学检验技术初级师</v>
      </c>
      <c r="I5827" s="1" t="str">
        <f>"201509-201806洛阳职业技术学院药检系医学检验技术
201809-202006黄河科技学院医学系医学检验技术"</f>
        <v>201509-201806洛阳职业技术学院药检系医学检验技术
201809-202006黄河科技学院医学系医学检验技术</v>
      </c>
    </row>
    <row r="5828" spans="1:9">
      <c r="A5828" s="1" t="str">
        <f>"41132520040618002X"</f>
        <v>41132520040618002X</v>
      </c>
      <c r="B5828" s="1" t="str">
        <f t="shared" ref="B5828:B5831" si="2927">"群众"</f>
        <v>群众</v>
      </c>
      <c r="C5828" s="1" t="str">
        <f t="shared" si="2925"/>
        <v>专科</v>
      </c>
      <c r="D5828" s="1" t="str">
        <f>"20250625"</f>
        <v>20250625</v>
      </c>
      <c r="E5828" s="1" t="str">
        <f>"三门峡职业技术学院"</f>
        <v>三门峡职业技术学院</v>
      </c>
      <c r="F5828" s="1" t="str">
        <f>"中药学"</f>
        <v>中药学</v>
      </c>
      <c r="G5828" s="1" t="str">
        <f>"内乡县城关镇书院村"</f>
        <v>内乡县城关镇书院村</v>
      </c>
      <c r="H5828" s="1" t="str">
        <f>"无"</f>
        <v>无</v>
      </c>
      <c r="I5828" s="1" t="str">
        <f>"2022-2025在三门峡职业技术学院就读学习中药学全日制"</f>
        <v>2022-2025在三门峡职业技术学院就读学习中药学全日制</v>
      </c>
    </row>
    <row r="5829" spans="1:9">
      <c r="A5829" s="1" t="str">
        <f>"411323198302076372"</f>
        <v>411323198302076372</v>
      </c>
      <c r="B5829" s="1" t="str">
        <f t="shared" si="2927"/>
        <v>群众</v>
      </c>
      <c r="C5829" s="1" t="str">
        <f t="shared" si="2926"/>
        <v>本科</v>
      </c>
      <c r="D5829" s="1" t="str">
        <f>"200707"</f>
        <v>200707</v>
      </c>
      <c r="E5829" s="1" t="str">
        <f>"河南中医学院"</f>
        <v>河南中医学院</v>
      </c>
      <c r="F5829" s="1" t="str">
        <f>"中医学（中西医结合方向）"</f>
        <v>中医学（中西医结合方向）</v>
      </c>
      <c r="G5829" s="1" t="str">
        <f>"河南省南阳市淅川县厚坡镇"</f>
        <v>河南省南阳市淅川县厚坡镇</v>
      </c>
      <c r="H5829" s="1" t="str">
        <f>"河南省专业技术人员职称证书（副高级）"</f>
        <v>河南省专业技术人员职称证书（副高级）</v>
      </c>
      <c r="I5829" s="1" t="str">
        <f>"200209-200707 就读于河南中医学院 第一临床医学院 中医学 全日制 
200707-201212 内乡县中医院
201212-至今  淅川县第二人民医院
"</f>
        <v>200209-200707 就读于河南中医学院 第一临床医学院 中医学 全日制 
200707-201212 内乡县中医院
201212-至今  淅川县第二人民医院
</v>
      </c>
    </row>
    <row r="5830" spans="1:9">
      <c r="A5830" s="1" t="str">
        <f>"411327199208134521"</f>
        <v>411327199208134521</v>
      </c>
      <c r="B5830" s="1" t="str">
        <f t="shared" si="2927"/>
        <v>群众</v>
      </c>
      <c r="C5830" s="1" t="str">
        <f t="shared" si="2926"/>
        <v>本科</v>
      </c>
      <c r="D5830" s="1" t="str">
        <f>"20150701"</f>
        <v>20150701</v>
      </c>
      <c r="E5830" s="1" t="str">
        <f>"河南中医学院"</f>
        <v>河南中医学院</v>
      </c>
      <c r="F5830" s="1" t="str">
        <f>"护理学"</f>
        <v>护理学</v>
      </c>
      <c r="G5830" s="1" t="str">
        <f>"河南省南阳市内乡县"</f>
        <v>河南省南阳市内乡县</v>
      </c>
      <c r="H5830" s="1" t="str">
        <f>"卫生专业技术资格 护师"</f>
        <v>卫生专业技术资格 护师</v>
      </c>
      <c r="I5830" s="1" t="str">
        <f>"201109-201507河南中医学院护理专业就读，全日制本科。
201507-202110年工作于内乡县风湿骨病医院，202111至今工作于内乡县人民医院"</f>
        <v>201109-201507河南中医学院护理专业就读，全日制本科。
201507-202110年工作于内乡县风湿骨病医院，202111至今工作于内乡县人民医院</v>
      </c>
    </row>
    <row r="5831" spans="1:9">
      <c r="A5831" s="1" t="str">
        <f>"410324200203057542"</f>
        <v>410324200203057542</v>
      </c>
      <c r="B5831" s="1" t="str">
        <f t="shared" si="2927"/>
        <v>群众</v>
      </c>
      <c r="C5831" s="1" t="str">
        <f t="shared" si="2925"/>
        <v>专科</v>
      </c>
      <c r="D5831" s="1" t="str">
        <f>"20230701"</f>
        <v>20230701</v>
      </c>
      <c r="E5831" s="1" t="str">
        <f>"南阳医学高等专科学校"</f>
        <v>南阳医学高等专科学校</v>
      </c>
      <c r="F5831" s="1" t="str">
        <f>"中医学"</f>
        <v>中医学</v>
      </c>
      <c r="G5831" s="1" t="str">
        <f>"河南省洛阳市栾川县叫河镇牛栾村王沟组"</f>
        <v>河南省洛阳市栾川县叫河镇牛栾村王沟组</v>
      </c>
      <c r="H5831" s="1" t="str">
        <f>"中医助理医师资格证"</f>
        <v>中医助理医师资格证</v>
      </c>
      <c r="I5831" s="1" t="str">
        <f>"202009-202307在南阳医学高等专科学校就读，是全日制学历
202305-至今内乡县中医院工作"</f>
        <v>202009-202307在南阳医学高等专科学校就读，是全日制学历
202305-至今内乡县中医院工作</v>
      </c>
    </row>
    <row r="5832" spans="1:9">
      <c r="A5832" s="1" t="str">
        <f>"411327199010210015"</f>
        <v>411327199010210015</v>
      </c>
      <c r="B5832" s="1" t="str">
        <f>"无党派民主人士"</f>
        <v>无党派民主人士</v>
      </c>
      <c r="C5832" s="1" t="str">
        <f t="shared" ref="C5832:C5838" si="2928">"本科"</f>
        <v>本科</v>
      </c>
      <c r="D5832" s="1" t="str">
        <f>"2017-02-01"</f>
        <v>2017-02-01</v>
      </c>
      <c r="E5832" s="1" t="str">
        <f>"韩国大邱加图立学院"</f>
        <v>韩国大邱加图立学院</v>
      </c>
      <c r="F5832" s="1" t="str">
        <f>"放射线学"</f>
        <v>放射线学</v>
      </c>
      <c r="G5832" s="1" t="str">
        <f>"南阳市内乡县城关镇大成路138号"</f>
        <v>南阳市内乡县城关镇大成路138号</v>
      </c>
      <c r="H5832" s="1" t="str">
        <f>"医学影像技术师资格证"</f>
        <v>医学影像技术师资格证</v>
      </c>
      <c r="I5832" s="1" t="str">
        <f>"2015.08—2017.02 韩国大邱加图立大学
2017.02—2019.02 内乡县第一人民医院
2019.02—至今  内乡县夏馆镇卫生院"</f>
        <v>2015.08—2017.02 韩国大邱加图立大学
2017.02—2019.02 内乡县第一人民医院
2019.02—至今  内乡县夏馆镇卫生院</v>
      </c>
    </row>
    <row r="5833" spans="1:9">
      <c r="A5833" s="1" t="str">
        <f>"411323200112126324"</f>
        <v>411323200112126324</v>
      </c>
      <c r="B5833" s="1" t="str">
        <f>"共青团员"</f>
        <v>共青团员</v>
      </c>
      <c r="C5833" s="1" t="str">
        <f t="shared" si="2928"/>
        <v>本科</v>
      </c>
      <c r="D5833" s="1" t="str">
        <f>"20250607"</f>
        <v>20250607</v>
      </c>
      <c r="E5833" s="1" t="str">
        <f>"河南开封科技传媒学院"</f>
        <v>河南开封科技传媒学院</v>
      </c>
      <c r="F5833" s="1" t="str">
        <f>"护理"</f>
        <v>护理</v>
      </c>
      <c r="G5833" s="1" t="str">
        <f>"河南省南阳市淅川县九重镇交通路"</f>
        <v>河南省南阳市淅川县九重镇交通路</v>
      </c>
      <c r="H5833" s="1" t="str">
        <f>"护士资格证"</f>
        <v>护士资格证</v>
      </c>
      <c r="I5833" s="1" t="str">
        <f>"
202009-202306河南医学高等专科学校 护理专业就读 全日制
202309一202506河南开封科技传媒学院 护理专业就读 全日制"</f>
        <v>
202009-202306河南医学高等专科学校 护理专业就读 全日制
202309一202506河南开封科技传媒学院 护理专业就读 全日制</v>
      </c>
    </row>
    <row r="5834" spans="1:9">
      <c r="A5834" s="1" t="str">
        <f>"411327200108164921"</f>
        <v>411327200108164921</v>
      </c>
      <c r="B5834" s="1" t="str">
        <f t="shared" ref="B5834:B5840" si="2929">"群众"</f>
        <v>群众</v>
      </c>
      <c r="C5834" s="1" t="str">
        <f t="shared" ref="C5834:C5836" si="2930">"专科"</f>
        <v>专科</v>
      </c>
      <c r="D5834" s="1" t="str">
        <f>"20220701"</f>
        <v>20220701</v>
      </c>
      <c r="E5834" s="1" t="str">
        <f>"南阳理工学院"</f>
        <v>南阳理工学院</v>
      </c>
      <c r="F5834" s="1" t="str">
        <f>"护理"</f>
        <v>护理</v>
      </c>
      <c r="G5834" s="1" t="str">
        <f>"河南省南阳市内乡县郦都大道"</f>
        <v>河南省南阳市内乡县郦都大道</v>
      </c>
      <c r="H5834" s="1" t="str">
        <f>"护士资格证\护士执业证"</f>
        <v>护士资格证\护士执业证</v>
      </c>
      <c r="I5834" s="1" t="str">
        <f>"201909-202207南阳理工学院张仲景国医国药学院就读护理专业,是全日制学历."</f>
        <v>201909-202207南阳理工学院张仲景国医国药学院就读护理专业,是全日制学历.</v>
      </c>
    </row>
    <row r="5835" spans="1:9">
      <c r="A5835" s="1" t="str">
        <f>"411327199612150646"</f>
        <v>411327199612150646</v>
      </c>
      <c r="B5835" s="1" t="str">
        <f t="shared" si="2929"/>
        <v>群众</v>
      </c>
      <c r="C5835" s="1" t="str">
        <f t="shared" si="2930"/>
        <v>专科</v>
      </c>
      <c r="D5835" s="1" t="str">
        <f>"20180701"</f>
        <v>20180701</v>
      </c>
      <c r="E5835" s="1" t="str">
        <f>"南阳医专高等专科学校"</f>
        <v>南阳医专高等专科学校</v>
      </c>
      <c r="F5835" s="1" t="str">
        <f>"护理学"</f>
        <v>护理学</v>
      </c>
      <c r="G5835" s="1" t="str">
        <f>"河南省内乡县城关镇"</f>
        <v>河南省内乡县城关镇</v>
      </c>
      <c r="H5835" s="1" t="str">
        <f>"护师"</f>
        <v>护师</v>
      </c>
      <c r="I5835" s="1" t="str">
        <f>"201509-201807就读于南阳医专高等专科学校护理学护理专业
201807-202105在深圳多视点眼科门诊工作
202105在马山口镇卫生院工作至今"</f>
        <v>201509-201807就读于南阳医专高等专科学校护理学护理专业
201807-202105在深圳多视点眼科门诊工作
202105在马山口镇卫生院工作至今</v>
      </c>
    </row>
    <row r="5836" spans="1:9">
      <c r="A5836" s="1" t="str">
        <f>"411324200409115235"</f>
        <v>411324200409115235</v>
      </c>
      <c r="B5836" s="1" t="str">
        <f t="shared" si="2929"/>
        <v>群众</v>
      </c>
      <c r="C5836" s="1" t="str">
        <f t="shared" si="2930"/>
        <v>专科</v>
      </c>
      <c r="D5836" s="1" t="str">
        <f>"20250701"</f>
        <v>20250701</v>
      </c>
      <c r="E5836" s="1" t="str">
        <f>"河南推拿职业学院"</f>
        <v>河南推拿职业学院</v>
      </c>
      <c r="F5836" s="1" t="str">
        <f>"中医骨伤"</f>
        <v>中医骨伤</v>
      </c>
      <c r="G5836" s="1" t="str">
        <f>"南阳市镇平县西关天和人家小区六排西户第一家"</f>
        <v>南阳市镇平县西关天和人家小区六排西户第一家</v>
      </c>
      <c r="H5836" s="1" t="str">
        <f>"脊椎推拿师证"</f>
        <v>脊椎推拿师证</v>
      </c>
      <c r="I5836" s="1" t="str">
        <f>"202209-202506  河南推拿职业学院中医系中医骨伤选择全日制学历"</f>
        <v>202209-202506  河南推拿职业学院中医系中医骨伤选择全日制学历</v>
      </c>
    </row>
    <row r="5837" spans="1:9">
      <c r="A5837" s="1" t="str">
        <f>"41133020020319203X"</f>
        <v>41133020020319203X</v>
      </c>
      <c r="B5837" s="1" t="str">
        <f t="shared" si="2929"/>
        <v>群众</v>
      </c>
      <c r="C5837" s="1" t="str">
        <f t="shared" si="2928"/>
        <v>本科</v>
      </c>
      <c r="D5837" s="1" t="str">
        <f>"20250614"</f>
        <v>20250614</v>
      </c>
      <c r="E5837" s="1" t="str">
        <f>"新乡医学院三全学院"</f>
        <v>新乡医学院三全学院</v>
      </c>
      <c r="F5837" s="1" t="str">
        <f t="shared" ref="F5837:F5842" si="2931">"医学检验技术"</f>
        <v>医学检验技术</v>
      </c>
      <c r="G5837" s="1" t="str">
        <f>"河南省西峡县葛营村永记卫生室"</f>
        <v>河南省西峡县葛营村永记卫生室</v>
      </c>
      <c r="H5837" s="1" t="str">
        <f t="shared" ref="H5837:H5842" si="2932">"无"</f>
        <v>无</v>
      </c>
      <c r="I5837" s="1" t="str">
        <f>"202009-202304在河南省安阳市河南护理职业学院就读后202309-202506在新乡医学院三全学院就读本科"</f>
        <v>202009-202304在河南省安阳市河南护理职业学院就读后202309-202506在新乡医学院三全学院就读本科</v>
      </c>
    </row>
    <row r="5838" spans="1:9">
      <c r="A5838" s="1" t="str">
        <f>"411327199809114219"</f>
        <v>411327199809114219</v>
      </c>
      <c r="B5838" s="1" t="str">
        <f t="shared" si="2929"/>
        <v>群众</v>
      </c>
      <c r="C5838" s="1" t="str">
        <f t="shared" si="2928"/>
        <v>本科</v>
      </c>
      <c r="D5838" s="1" t="str">
        <f>"20220622"</f>
        <v>20220622</v>
      </c>
      <c r="E5838" s="1" t="str">
        <f>"新乡医学院"</f>
        <v>新乡医学院</v>
      </c>
      <c r="F5838" s="1" t="str">
        <f>"临床药学"</f>
        <v>临床药学</v>
      </c>
      <c r="G5838" s="1" t="str">
        <f>"河南省南阳市内乡县余关乡李沟村余家"</f>
        <v>河南省南阳市内乡县余关乡李沟村余家</v>
      </c>
      <c r="H5838" s="1" t="str">
        <f>"药师"</f>
        <v>药师</v>
      </c>
      <c r="I5838" s="1" t="str">
        <f>"201709-202206 新乡医学院药学院临床药学专业就读，全日制学历
202206-202209 于河南省南阳市内乡县待业
202210-至今 于邓州市人民医院就业"</f>
        <v>201709-202206 新乡医学院药学院临床药学专业就读，全日制学历
202206-202209 于河南省南阳市内乡县待业
202210-至今 于邓州市人民医院就业</v>
      </c>
    </row>
    <row r="5839" spans="1:9">
      <c r="A5839" s="1" t="str">
        <f>"411327199901204524"</f>
        <v>411327199901204524</v>
      </c>
      <c r="B5839" s="1" t="str">
        <f t="shared" si="2929"/>
        <v>群众</v>
      </c>
      <c r="C5839" s="1" t="str">
        <f t="shared" ref="C5839:C5845" si="2933">"专科"</f>
        <v>专科</v>
      </c>
      <c r="D5839" s="1" t="str">
        <f>"20210701"</f>
        <v>20210701</v>
      </c>
      <c r="E5839" s="1" t="str">
        <f>"三门峡职业技术学院"</f>
        <v>三门峡职业技术学院</v>
      </c>
      <c r="F5839" s="1" t="str">
        <f t="shared" ref="F5839:F5843" si="2934">"护理"</f>
        <v>护理</v>
      </c>
      <c r="G5839" s="1" t="str">
        <f>"内乡县赵店乡聂岗村"</f>
        <v>内乡县赵店乡聂岗村</v>
      </c>
      <c r="H5839" s="1" t="str">
        <f>"护士"</f>
        <v>护士</v>
      </c>
      <c r="I5839" s="1" t="str">
        <f>"201809-202107在三门峡职业技术学院就读护理专业，为全日制学历."</f>
        <v>201809-202107在三门峡职业技术学院就读护理专业，为全日制学历.</v>
      </c>
    </row>
    <row r="5840" spans="1:9">
      <c r="A5840" s="1" t="str">
        <f>"411323200102036341"</f>
        <v>411323200102036341</v>
      </c>
      <c r="B5840" s="1" t="str">
        <f t="shared" si="2929"/>
        <v>群众</v>
      </c>
      <c r="C5840" s="1" t="str">
        <f t="shared" si="2933"/>
        <v>专科</v>
      </c>
      <c r="D5840" s="1" t="str">
        <f t="shared" ref="D5840:D5844" si="2935">"20220701"</f>
        <v>20220701</v>
      </c>
      <c r="E5840" s="1" t="str">
        <f>"南阳医学高等专科学校"</f>
        <v>南阳医学高等专科学校</v>
      </c>
      <c r="F5840" s="1" t="str">
        <f t="shared" si="2934"/>
        <v>护理</v>
      </c>
      <c r="G5840" s="1" t="str">
        <f>"河南省南阳市淅川县厚坡镇"</f>
        <v>河南省南阳市淅川县厚坡镇</v>
      </c>
      <c r="H5840" s="1" t="str">
        <f t="shared" si="2932"/>
        <v>无</v>
      </c>
      <c r="I5840" s="1" t="str">
        <f>"201909-202106在南阳医学高等专科学校学习护理
"</f>
        <v>201909-202106在南阳医学高等专科学校学习护理
</v>
      </c>
    </row>
    <row r="5841" spans="1:9">
      <c r="A5841" s="1" t="str">
        <f>"411325200203180089"</f>
        <v>411325200203180089</v>
      </c>
      <c r="B5841" s="1" t="str">
        <f t="shared" ref="B5841:B5844" si="2936">"共青团员"</f>
        <v>共青团员</v>
      </c>
      <c r="C5841" s="1" t="str">
        <f t="shared" ref="C5841:C5849" si="2937">"本科"</f>
        <v>本科</v>
      </c>
      <c r="D5841" s="1" t="str">
        <f>"20250613"</f>
        <v>20250613</v>
      </c>
      <c r="E5841" s="1" t="str">
        <f>"新乡医学院三全学院"</f>
        <v>新乡医学院三全学院</v>
      </c>
      <c r="F5841" s="1" t="str">
        <f t="shared" si="2931"/>
        <v>医学检验技术</v>
      </c>
      <c r="G5841" s="1" t="str">
        <f>"河南省南阳市内乡县城关镇东风村"</f>
        <v>河南省南阳市内乡县城关镇东风村</v>
      </c>
      <c r="H5841" s="1" t="str">
        <f t="shared" si="2932"/>
        <v>无</v>
      </c>
      <c r="I5841" s="1" t="str">
        <f>"202009-202306河南理工大学医学检验技术专业就读全日制学历，
202309-202506新乡医学院三全学院医学检验技术专业就读全日制学历。"</f>
        <v>202009-202306河南理工大学医学检验技术专业就读全日制学历，
202309-202506新乡医学院三全学院医学检验技术专业就读全日制学历。</v>
      </c>
    </row>
    <row r="5842" spans="1:9">
      <c r="A5842" s="1" t="str">
        <f>"410622200301173022"</f>
        <v>410622200301173022</v>
      </c>
      <c r="B5842" s="1" t="str">
        <f t="shared" si="2936"/>
        <v>共青团员</v>
      </c>
      <c r="C5842" s="1" t="str">
        <f t="shared" si="2937"/>
        <v>本科</v>
      </c>
      <c r="D5842" s="1" t="str">
        <f>"20250615"</f>
        <v>20250615</v>
      </c>
      <c r="E5842" s="1" t="str">
        <f>"许昌学院"</f>
        <v>许昌学院</v>
      </c>
      <c r="F5842" s="1" t="str">
        <f t="shared" si="2931"/>
        <v>医学检验技术</v>
      </c>
      <c r="G5842" s="1" t="str">
        <f>"河南省鹤壁市淇县庙口乡葛箭村"</f>
        <v>河南省鹤壁市淇县庙口乡葛箭村</v>
      </c>
      <c r="H5842" s="1" t="str">
        <f t="shared" si="2932"/>
        <v>无</v>
      </c>
      <c r="I5842" s="1" t="str">
        <f>"202109-202506 于许昌学院医学院医学检验技术全日制本科就读"</f>
        <v>202109-202506 于许昌学院医学院医学检验技术全日制本科就读</v>
      </c>
    </row>
    <row r="5843" spans="1:9">
      <c r="A5843" s="1" t="str">
        <f>"411327200103052023"</f>
        <v>411327200103052023</v>
      </c>
      <c r="B5843" s="1" t="str">
        <f t="shared" ref="B5843:B5847" si="2938">"群众"</f>
        <v>群众</v>
      </c>
      <c r="C5843" s="1" t="str">
        <f t="shared" si="2933"/>
        <v>专科</v>
      </c>
      <c r="D5843" s="1" t="str">
        <f t="shared" si="2935"/>
        <v>20220701</v>
      </c>
      <c r="E5843" s="1" t="str">
        <f>"许昌学院"</f>
        <v>许昌学院</v>
      </c>
      <c r="F5843" s="1" t="str">
        <f t="shared" si="2934"/>
        <v>护理</v>
      </c>
      <c r="G5843" s="1" t="str">
        <f>"河南省南阳市内乡县"</f>
        <v>河南省南阳市内乡县</v>
      </c>
      <c r="H5843" s="1" t="str">
        <f>"护士资格证，护士执业证书"</f>
        <v>护士资格证，护士执业证书</v>
      </c>
      <c r="I5843" s="1" t="str">
        <f>"201909-202207在许昌学院学校护理专业就读，全日制学历"</f>
        <v>201909-202207在许昌学院学校护理专业就读，全日制学历</v>
      </c>
    </row>
    <row r="5844" spans="1:9">
      <c r="A5844" s="1" t="str">
        <f>"411321200112216132"</f>
        <v>411321200112216132</v>
      </c>
      <c r="B5844" s="1" t="str">
        <f t="shared" si="2936"/>
        <v>共青团员</v>
      </c>
      <c r="C5844" s="1" t="str">
        <f t="shared" si="2933"/>
        <v>专科</v>
      </c>
      <c r="D5844" s="1" t="str">
        <f t="shared" si="2935"/>
        <v>20220701</v>
      </c>
      <c r="E5844" s="1" t="str">
        <f>"漯河医学高等专科学校"</f>
        <v>漯河医学高等专科学校</v>
      </c>
      <c r="F5844" s="1" t="str">
        <f>"临床医学"</f>
        <v>临床医学</v>
      </c>
      <c r="G5844" s="1" t="str">
        <f>"河南省南阳市南召县崔庄乡"</f>
        <v>河南省南阳市南召县崔庄乡</v>
      </c>
      <c r="H5844" s="1" t="str">
        <f t="shared" ref="H5844:H5849" si="2939">"无"</f>
        <v>无</v>
      </c>
      <c r="I5844" s="1" t="str">
        <f>"201909-202207在漯河医学高等专科学校医疗系临床医学专业就读，是全日制"</f>
        <v>201909-202207在漯河医学高等专科学校医疗系临床医学专业就读，是全日制</v>
      </c>
    </row>
    <row r="5845" spans="1:9">
      <c r="A5845" s="1" t="str">
        <f>"411327200310151542"</f>
        <v>411327200310151542</v>
      </c>
      <c r="B5845" s="1" t="str">
        <f t="shared" si="2938"/>
        <v>群众</v>
      </c>
      <c r="C5845" s="1" t="str">
        <f t="shared" si="2933"/>
        <v>专科</v>
      </c>
      <c r="D5845" s="1" t="str">
        <f>"20240612"</f>
        <v>20240612</v>
      </c>
      <c r="E5845" s="1" t="str">
        <f>"南阳医学高等专科学校"</f>
        <v>南阳医学高等专科学校</v>
      </c>
      <c r="F5845" s="1" t="str">
        <f>"药品经营与管理"</f>
        <v>药品经营与管理</v>
      </c>
      <c r="G5845" s="1" t="str">
        <f>"河南省南阳市内乡县"</f>
        <v>河南省南阳市内乡县</v>
      </c>
      <c r="H5845" s="1" t="str">
        <f>"医药商品购销员      三级/高级工"</f>
        <v>医药商品购销员      三级/高级工</v>
      </c>
      <c r="I5845" s="1" t="str">
        <f>"20190901---20240612在南阳医学高等专科学校 药学系 药品经营与管理专业就读普通全日制"</f>
        <v>20190901---20240612在南阳医学高等专科学校 药学系 药品经营与管理专业就读普通全日制</v>
      </c>
    </row>
    <row r="5846" spans="1:9">
      <c r="A5846" s="1" t="str">
        <f>"41132720000916298X"</f>
        <v>41132720000916298X</v>
      </c>
      <c r="B5846" s="1" t="str">
        <f t="shared" si="2938"/>
        <v>群众</v>
      </c>
      <c r="C5846" s="1" t="str">
        <f t="shared" si="2937"/>
        <v>本科</v>
      </c>
      <c r="D5846" s="1" t="str">
        <f>"20250701"</f>
        <v>20250701</v>
      </c>
      <c r="E5846" s="1" t="str">
        <f>"黄河科技学院"</f>
        <v>黄河科技学院</v>
      </c>
      <c r="F5846" s="1" t="str">
        <f>"护理学"</f>
        <v>护理学</v>
      </c>
      <c r="G5846" s="1" t="str">
        <f>"河南省南阳市内乡县梨园山庄公园西里"</f>
        <v>河南省南阳市内乡县梨园山庄公园西里</v>
      </c>
      <c r="H5846" s="1" t="str">
        <f>"护士执业资格证书"</f>
        <v>护士执业资格证书</v>
      </c>
      <c r="I5846" s="1" t="str">
        <f>"201809-202107在漯河医学高等专科学校护理系涉外护理专业就读 全日制学历 
202303-202507在黄河科技学院护理系护理专业业余学习 非全日制学历"</f>
        <v>201809-202107在漯河医学高等专科学校护理系涉外护理专业就读 全日制学历 
202303-202507在黄河科技学院护理系护理专业业余学习 非全日制学历</v>
      </c>
    </row>
    <row r="5847" spans="1:9">
      <c r="A5847" s="1" t="str">
        <f>"411327199510030029"</f>
        <v>411327199510030029</v>
      </c>
      <c r="B5847" s="1" t="str">
        <f t="shared" si="2938"/>
        <v>群众</v>
      </c>
      <c r="C5847" s="1" t="str">
        <f t="shared" si="2937"/>
        <v>本科</v>
      </c>
      <c r="D5847" s="1" t="str">
        <f>"20190630"</f>
        <v>20190630</v>
      </c>
      <c r="E5847" s="1" t="str">
        <f>"黄河科技学院"</f>
        <v>黄河科技学院</v>
      </c>
      <c r="F5847" s="1" t="str">
        <f t="shared" ref="F5847:F5849" si="2940">"医学检验技术"</f>
        <v>医学检验技术</v>
      </c>
      <c r="G5847" s="1" t="str">
        <f>"河南省南阳市内乡县城关镇红学村"</f>
        <v>河南省南阳市内乡县城关镇红学村</v>
      </c>
      <c r="H5847" s="1" t="str">
        <f>"检验师"</f>
        <v>检验师</v>
      </c>
      <c r="I5847" s="1" t="str">
        <f>"201509-201906 黄河科技学院医学检验技术专业 就读 是全日制
201907-202012 待业
202001-至今       灌涨镇卫生院检验科 就业"</f>
        <v>201509-201906 黄河科技学院医学检验技术专业 就读 是全日制
201907-202012 待业
202001-至今       灌涨镇卫生院检验科 就业</v>
      </c>
    </row>
    <row r="5848" spans="1:9">
      <c r="A5848" s="1" t="str">
        <f>"410328200010249025"</f>
        <v>410328200010249025</v>
      </c>
      <c r="B5848" s="1" t="str">
        <f>"中共党员"</f>
        <v>中共党员</v>
      </c>
      <c r="C5848" s="1" t="str">
        <f t="shared" si="2937"/>
        <v>本科</v>
      </c>
      <c r="D5848" s="1" t="str">
        <f>"20240622"</f>
        <v>20240622</v>
      </c>
      <c r="E5848" s="1" t="str">
        <f>"豫北医学院"</f>
        <v>豫北医学院</v>
      </c>
      <c r="F5848" s="1" t="str">
        <f t="shared" si="2940"/>
        <v>医学检验技术</v>
      </c>
      <c r="G5848" s="1" t="str">
        <f>"河南省洛阳市涧西区"</f>
        <v>河南省洛阳市涧西区</v>
      </c>
      <c r="H5848" s="1" t="str">
        <f t="shared" si="2939"/>
        <v>无</v>
      </c>
      <c r="I5848" s="1" t="str">
        <f>"201909-202206，商丘医学高等专科学校，医学检验技术专业（全日制）
202209至202406，豫北医学院，医学检验技术专业（全日制）
"</f>
        <v>201909-202206，商丘医学高等专科学校，医学检验技术专业（全日制）
202209至202406，豫北医学院，医学检验技术专业（全日制）
</v>
      </c>
    </row>
    <row r="5849" spans="1:9">
      <c r="A5849" s="1" t="str">
        <f>"41042220020215006X"</f>
        <v>41042220020215006X</v>
      </c>
      <c r="B5849" s="1" t="str">
        <f t="shared" ref="B5849:B5854" si="2941">"共青团员"</f>
        <v>共青团员</v>
      </c>
      <c r="C5849" s="1" t="str">
        <f t="shared" si="2937"/>
        <v>本科</v>
      </c>
      <c r="D5849" s="1" t="str">
        <f>"20250613"</f>
        <v>20250613</v>
      </c>
      <c r="E5849" s="1" t="str">
        <f>"新乡医学院三全学院"</f>
        <v>新乡医学院三全学院</v>
      </c>
      <c r="F5849" s="1" t="str">
        <f t="shared" si="2940"/>
        <v>医学检验技术</v>
      </c>
      <c r="G5849" s="1" t="str">
        <f>"河南省叶县九龙街道北关"</f>
        <v>河南省叶县九龙街道北关</v>
      </c>
      <c r="H5849" s="1" t="str">
        <f t="shared" si="2939"/>
        <v>无</v>
      </c>
      <c r="I5849" s="1" t="str">
        <f>"202009-202307漯河医学高等专科学校 就读
202309-202506新乡医学院三全学院 就读"</f>
        <v>202009-202307漯河医学高等专科学校 就读
202309-202506新乡医学院三全学院 就读</v>
      </c>
    </row>
    <row r="5850" spans="1:9">
      <c r="A5850" s="1" t="str">
        <f>"411323200406220017"</f>
        <v>411323200406220017</v>
      </c>
      <c r="B5850" s="1" t="str">
        <f t="shared" ref="B5850:B5855" si="2942">"群众"</f>
        <v>群众</v>
      </c>
      <c r="C5850" s="1" t="str">
        <f t="shared" ref="C5850:C5852" si="2943">"专科"</f>
        <v>专科</v>
      </c>
      <c r="D5850" s="1" t="str">
        <f>"2025年6月30日"</f>
        <v>2025年6月30日</v>
      </c>
      <c r="E5850" s="1" t="str">
        <f>"郑州黄河护理职业学院"</f>
        <v>郑州黄河护理职业学院</v>
      </c>
      <c r="F5850" s="1" t="str">
        <f>"护理学"</f>
        <v>护理学</v>
      </c>
      <c r="G5850" s="1" t="str">
        <f>"河南省南阳市淅川县城关镇西湾村五组15号"</f>
        <v>河南省南阳市淅川县城关镇西湾村五组15号</v>
      </c>
      <c r="H5850" s="1" t="str">
        <f>"初级护士资格证"</f>
        <v>初级护士资格证</v>
      </c>
      <c r="I5850" s="1" t="str">
        <f>"2022.09-2025.06郑州黄河护理职业学院护理系就读是全日制大专"</f>
        <v>2022.09-2025.06郑州黄河护理职业学院护理系就读是全日制大专</v>
      </c>
    </row>
    <row r="5851" spans="1:9">
      <c r="A5851" s="1" t="str">
        <f>"411081200411029118"</f>
        <v>411081200411029118</v>
      </c>
      <c r="B5851" s="1" t="str">
        <f t="shared" si="2941"/>
        <v>共青团员</v>
      </c>
      <c r="C5851" s="1" t="str">
        <f t="shared" si="2943"/>
        <v>专科</v>
      </c>
      <c r="D5851" s="1" t="str">
        <f>"20250620"</f>
        <v>20250620</v>
      </c>
      <c r="E5851" s="1" t="str">
        <f>"河南科技职业大学"</f>
        <v>河南科技职业大学</v>
      </c>
      <c r="F5851" s="1" t="str">
        <f>"护理"</f>
        <v>护理</v>
      </c>
      <c r="G5851" s="1" t="str">
        <f>"河南省禹州市和平路28号"</f>
        <v>河南省禹州市和平路28号</v>
      </c>
      <c r="H5851" s="1" t="str">
        <f>"护士资格证、护士执业证"</f>
        <v>护士资格证、护士执业证</v>
      </c>
      <c r="I5851" s="1" t="str">
        <f>"202209-202506在河南科技职业大学医学院护理专业就读，全日制专科学历。"</f>
        <v>202209-202506在河南科技职业大学医学院护理专业就读，全日制专科学历。</v>
      </c>
    </row>
    <row r="5852" spans="1:9">
      <c r="A5852" s="1" t="str">
        <f>"411327199908133941"</f>
        <v>411327199908133941</v>
      </c>
      <c r="B5852" s="1" t="str">
        <f t="shared" si="2942"/>
        <v>群众</v>
      </c>
      <c r="C5852" s="1" t="str">
        <f t="shared" si="2943"/>
        <v>专科</v>
      </c>
      <c r="D5852" s="1" t="str">
        <f>"2022年7月1日"</f>
        <v>2022年7月1日</v>
      </c>
      <c r="E5852" s="1" t="str">
        <f>"河南科技职业大学"</f>
        <v>河南科技职业大学</v>
      </c>
      <c r="F5852" s="1" t="str">
        <f>"护理学"</f>
        <v>护理学</v>
      </c>
      <c r="G5852" s="1" t="str">
        <f>"河南省周口市川汇区商水县融辉城"</f>
        <v>河南省周口市川汇区商水县融辉城</v>
      </c>
      <c r="H5852" s="1" t="str">
        <f>"护士资格证书 护士"</f>
        <v>护士资格证书 护士</v>
      </c>
      <c r="I5852" s="1" t="str">
        <f>"201909—202207   河南科技职业大学  就读  "</f>
        <v>201909—202207   河南科技职业大学  就读  </v>
      </c>
    </row>
    <row r="5853" spans="1:9">
      <c r="A5853" s="1" t="str">
        <f>"411327199903084220"</f>
        <v>411327199903084220</v>
      </c>
      <c r="B5853" s="1" t="str">
        <f t="shared" si="2941"/>
        <v>共青团员</v>
      </c>
      <c r="C5853" s="1" t="str">
        <f t="shared" ref="C5853:C5856" si="2944">"本科"</f>
        <v>本科</v>
      </c>
      <c r="D5853" s="1" t="str">
        <f>"20240607"</f>
        <v>20240607</v>
      </c>
      <c r="E5853" s="1" t="str">
        <f>"黄河科技学院"</f>
        <v>黄河科技学院</v>
      </c>
      <c r="F5853" s="1" t="str">
        <f>"医学影像技术"</f>
        <v>医学影像技术</v>
      </c>
      <c r="G5853" s="1" t="str">
        <f>"河南省南阳市内乡县"</f>
        <v>河南省南阳市内乡县</v>
      </c>
      <c r="H5853" s="1" t="str">
        <f>"初级技师"</f>
        <v>初级技师</v>
      </c>
      <c r="I5853" s="1" t="str">
        <f>"201709-202006 商丘医学高等专科学校医学院医学影像技术专业就读，是全日制学历；
202009-202206 黄河科技学院医学院医学影像技术专业就读，是全日制学历；
202207-至今 内乡县就业
"</f>
        <v>201709-202006 商丘医学高等专科学校医学院医学影像技术专业就读，是全日制学历；
202009-202206 黄河科技学院医学院医学影像技术专业就读，是全日制学历；
202207-至今 内乡县就业
</v>
      </c>
    </row>
    <row r="5854" spans="1:9">
      <c r="A5854" s="1" t="str">
        <f>"411327200101230316"</f>
        <v>411327200101230316</v>
      </c>
      <c r="B5854" s="1" t="str">
        <f t="shared" si="2941"/>
        <v>共青团员</v>
      </c>
      <c r="C5854" s="1" t="str">
        <f t="shared" si="2944"/>
        <v>本科</v>
      </c>
      <c r="D5854" s="1" t="str">
        <f>"202407"</f>
        <v>202407</v>
      </c>
      <c r="E5854" s="1" t="str">
        <f>"河南中医药大学"</f>
        <v>河南中医药大学</v>
      </c>
      <c r="F5854" s="1" t="str">
        <f>"中西医临床医学"</f>
        <v>中西医临床医学</v>
      </c>
      <c r="G5854" s="1" t="str">
        <f>"内乡县大桥乡谢营村"</f>
        <v>内乡县大桥乡谢营村</v>
      </c>
      <c r="H5854" s="1" t="str">
        <f>"无"</f>
        <v>无</v>
      </c>
      <c r="I5854" s="1" t="str">
        <f>"201909-202407在河南中医药大学第一临床医学院中西医临床医学就读，全日制学历"</f>
        <v>201909-202407在河南中医药大学第一临床医学院中西医临床医学就读，全日制学历</v>
      </c>
    </row>
    <row r="5855" spans="1:9">
      <c r="A5855" s="1" t="str">
        <f>"140425200405218064"</f>
        <v>140425200405218064</v>
      </c>
      <c r="B5855" s="1" t="str">
        <f t="shared" si="2942"/>
        <v>群众</v>
      </c>
      <c r="C5855" s="1" t="str">
        <f t="shared" ref="C5855:C5860" si="2945">"专科"</f>
        <v>专科</v>
      </c>
      <c r="D5855" s="1" t="str">
        <f>"20240701"</f>
        <v>20240701</v>
      </c>
      <c r="E5855" s="1" t="str">
        <f>"临汾职业技术学院"</f>
        <v>临汾职业技术学院</v>
      </c>
      <c r="F5855" s="1" t="str">
        <f>"护理"</f>
        <v>护理</v>
      </c>
      <c r="G5855" s="1" t="str">
        <f>"山西省长治市平顺县东寺头乡东寺头村277号"</f>
        <v>山西省长治市平顺县东寺头乡东寺头村277号</v>
      </c>
      <c r="H5855" s="1" t="str">
        <f>"护士执业证书"</f>
        <v>护士执业证书</v>
      </c>
      <c r="I5855" s="1" t="str">
        <f>"202209-202407  临汾职业技术学院 护理专业 是全日制学历
202407-至今 长治市党纪教育基地"</f>
        <v>202209-202407  临汾职业技术学院 护理专业 是全日制学历
202407-至今 长治市党纪教育基地</v>
      </c>
    </row>
    <row r="5856" spans="1:9">
      <c r="A5856" s="1" t="str">
        <f>"410781200201082073"</f>
        <v>410781200201082073</v>
      </c>
      <c r="B5856" s="1" t="str">
        <f>"共青团员"</f>
        <v>共青团员</v>
      </c>
      <c r="C5856" s="1" t="str">
        <f t="shared" si="2944"/>
        <v>本科</v>
      </c>
      <c r="D5856" s="1" t="str">
        <f>"20250612"</f>
        <v>20250612</v>
      </c>
      <c r="E5856" s="1" t="str">
        <f>"郑州工业应用技术学院"</f>
        <v>郑州工业应用技术学院</v>
      </c>
      <c r="F5856" s="1" t="str">
        <f>"药学"</f>
        <v>药学</v>
      </c>
      <c r="G5856" s="1" t="str">
        <f>"河南省新乡市凤泉区耿庄村386号"</f>
        <v>河南省新乡市凤泉区耿庄村386号</v>
      </c>
      <c r="H5856" s="1" t="str">
        <f>"药剂师（IIAA）"</f>
        <v>药剂师（IIAA）</v>
      </c>
      <c r="I5856" s="1" t="str">
        <f>"202109-202506 在郑州工业应用技术学院药学与化学工程学院药学专业就读全日制本科"</f>
        <v>202109-202506 在郑州工业应用技术学院药学与化学工程学院药学专业就读全日制本科</v>
      </c>
    </row>
    <row r="5857" spans="1:9">
      <c r="A5857" s="1" t="str">
        <f>"411327199209160326"</f>
        <v>411327199209160326</v>
      </c>
      <c r="B5857" s="1" t="str">
        <f t="shared" ref="B5857:B5863" si="2946">"群众"</f>
        <v>群众</v>
      </c>
      <c r="C5857" s="1" t="str">
        <f t="shared" si="2945"/>
        <v>专科</v>
      </c>
      <c r="D5857" s="1" t="str">
        <f>"2014-07-01"</f>
        <v>2014-07-01</v>
      </c>
      <c r="E5857" s="1" t="str">
        <f>"南阳医学高等专科学校"</f>
        <v>南阳医学高等专科学校</v>
      </c>
      <c r="F5857" s="1" t="str">
        <f>"助产"</f>
        <v>助产</v>
      </c>
      <c r="G5857" s="1" t="str">
        <f>"河南省内乡县大桥乡杨沟村马池448号"</f>
        <v>河南省内乡县大桥乡杨沟村马池448号</v>
      </c>
      <c r="H5857" s="1" t="str">
        <f>"护师"</f>
        <v>护师</v>
      </c>
      <c r="I5857" s="1" t="str">
        <f>"201109-201406南阳医学高等专高等学校
201407-201911南阳市第二人民医院
201911-202203湍东镇卫生院
202204至今内乡县人民医院"</f>
        <v>201109-201406南阳医学高等专高等学校
201407-201911南阳市第二人民医院
201911-202203湍东镇卫生院
202204至今内乡县人民医院</v>
      </c>
    </row>
    <row r="5858" spans="1:9">
      <c r="A5858" s="1" t="str">
        <f>"411381200208153961"</f>
        <v>411381200208153961</v>
      </c>
      <c r="B5858" s="1" t="str">
        <f t="shared" si="2946"/>
        <v>群众</v>
      </c>
      <c r="C5858" s="1" t="str">
        <f t="shared" si="2945"/>
        <v>专科</v>
      </c>
      <c r="D5858" s="1" t="str">
        <f>"20240701"</f>
        <v>20240701</v>
      </c>
      <c r="E5858" s="1" t="str">
        <f>"郑州澍青医学高等专科学校"</f>
        <v>郑州澍青医学高等专科学校</v>
      </c>
      <c r="F5858" s="1" t="str">
        <f>"助产"</f>
        <v>助产</v>
      </c>
      <c r="G5858" s="1" t="str">
        <f>"河南省邓州市罗庄镇冯坡村冯坡153号"</f>
        <v>河南省邓州市罗庄镇冯坡村冯坡153号</v>
      </c>
      <c r="H5858" s="1" t="str">
        <f>"卫生专业技术资格初级（士）"</f>
        <v>卫生专业技术资格初级（士）</v>
      </c>
      <c r="I5858" s="1" t="str">
        <f>"202109-202407在郑州澍青医学高等专科学校护理系助产专业就读，为全日制学历"</f>
        <v>202109-202407在郑州澍青医学高等专科学校护理系助产专业就读，为全日制学历</v>
      </c>
    </row>
    <row r="5859" spans="1:9">
      <c r="A5859" s="1" t="str">
        <f>"411321200309163708"</f>
        <v>411321200309163708</v>
      </c>
      <c r="B5859" s="1" t="str">
        <f>"共青团员"</f>
        <v>共青团员</v>
      </c>
      <c r="C5859" s="1" t="str">
        <f t="shared" si="2945"/>
        <v>专科</v>
      </c>
      <c r="D5859" s="1" t="str">
        <f>"20240620"</f>
        <v>20240620</v>
      </c>
      <c r="E5859" s="1" t="str">
        <f>"漯河医学高等专科学校"</f>
        <v>漯河医学高等专科学校</v>
      </c>
      <c r="F5859" s="1" t="str">
        <f>"临床医学"</f>
        <v>临床医学</v>
      </c>
      <c r="G5859" s="1" t="str">
        <f>"河南省南阳市南召县"</f>
        <v>河南省南阳市南召县</v>
      </c>
      <c r="H5859" s="1" t="str">
        <f>"无"</f>
        <v>无</v>
      </c>
      <c r="I5859" s="1" t="str">
        <f>"20210901-20240620漯河医学高等专科学校就读，为全日制学历
20180901-20210601南召县第一高级中学就读，为全日制"</f>
        <v>20210901-20240620漯河医学高等专科学校就读，为全日制学历
20180901-20210601南召县第一高级中学就读，为全日制</v>
      </c>
    </row>
    <row r="5860" spans="1:9">
      <c r="A5860" s="1" t="str">
        <f>"411302199901301319"</f>
        <v>411302199901301319</v>
      </c>
      <c r="B5860" s="1" t="str">
        <f t="shared" si="2946"/>
        <v>群众</v>
      </c>
      <c r="C5860" s="1" t="str">
        <f t="shared" si="2945"/>
        <v>专科</v>
      </c>
      <c r="D5860" s="1" t="str">
        <f>"20210701"</f>
        <v>20210701</v>
      </c>
      <c r="E5860" s="1" t="str">
        <f>"南阳医学高等专科学校"</f>
        <v>南阳医学高等专科学校</v>
      </c>
      <c r="F5860" s="1" t="str">
        <f>"中医学"</f>
        <v>中医学</v>
      </c>
      <c r="G5860" s="1" t="str">
        <f>"河南省南阳市示范区李八庙"</f>
        <v>河南省南阳市示范区李八庙</v>
      </c>
      <c r="H5860" s="1" t="str">
        <f>"中医执业助理医师"</f>
        <v>中医执业助理医师</v>
      </c>
      <c r="I5860" s="1" t="str">
        <f>"201809—202107南阳医学高等专科学校，中医系中医学就读，全日制；
202108—至今      待业"</f>
        <v>201809—202107南阳医学高等专科学校，中医系中医学就读，全日制；
202108—至今      待业</v>
      </c>
    </row>
    <row r="5861" spans="1:9">
      <c r="A5861" s="1" t="str">
        <f>"411330199507132014"</f>
        <v>411330199507132014</v>
      </c>
      <c r="B5861" s="1" t="str">
        <f t="shared" si="2946"/>
        <v>群众</v>
      </c>
      <c r="C5861" s="1" t="str">
        <f t="shared" ref="C5861:C5863" si="2947">"本科"</f>
        <v>本科</v>
      </c>
      <c r="D5861" s="1" t="str">
        <f>"20200701"</f>
        <v>20200701</v>
      </c>
      <c r="E5861" s="1" t="str">
        <f>"新乡医学院"</f>
        <v>新乡医学院</v>
      </c>
      <c r="F5861" s="1" t="str">
        <f>"临床医学"</f>
        <v>临床医学</v>
      </c>
      <c r="G5861" s="1" t="str">
        <f>"河南省南阳市西峡县五里桥镇"</f>
        <v>河南省南阳市西峡县五里桥镇</v>
      </c>
      <c r="H5861" s="1" t="str">
        <f>"医师资格证书，医师执业证书"</f>
        <v>医师资格证书，医师执业证书</v>
      </c>
      <c r="I5861" s="1" t="str">
        <f>"2015年9月1日-2020年7月1日，新乡医学院基础医学院临床医学专业就读
2020年7月1日-2021年9月1日，待业
2021年9月1日-2024年7月1日，郑州大学第二附属医院规培
2024年7月1日-至今  待业"</f>
        <v>2015年9月1日-2020年7月1日，新乡医学院基础医学院临床医学专业就读
2020年7月1日-2021年9月1日，待业
2021年9月1日-2024年7月1日，郑州大学第二附属医院规培
2024年7月1日-至今  待业</v>
      </c>
    </row>
    <row r="5862" spans="1:9">
      <c r="A5862" s="1" t="str">
        <f>"411327199604263720"</f>
        <v>411327199604263720</v>
      </c>
      <c r="B5862" s="1" t="str">
        <f t="shared" si="2946"/>
        <v>群众</v>
      </c>
      <c r="C5862" s="1" t="str">
        <f t="shared" si="2947"/>
        <v>本科</v>
      </c>
      <c r="D5862" s="1" t="str">
        <f>"2016.12"</f>
        <v>2016.12</v>
      </c>
      <c r="E5862" s="1" t="str">
        <f>"南阳理工学校"</f>
        <v>南阳理工学校</v>
      </c>
      <c r="F5862" s="1" t="str">
        <f t="shared" ref="F5862:F5865" si="2948">"护理学"</f>
        <v>护理学</v>
      </c>
      <c r="G5862" s="1" t="str">
        <f>"河南省南阳市内乡县"</f>
        <v>河南省南阳市内乡县</v>
      </c>
      <c r="H5862" s="1" t="str">
        <f>"护师"</f>
        <v>护师</v>
      </c>
      <c r="I5862" s="1" t="str">
        <f>"201109-201612在南阳医学高等专科学校就读；"</f>
        <v>201109-201612在南阳医学高等专科学校就读；</v>
      </c>
    </row>
    <row r="5863" spans="1:9">
      <c r="A5863" s="1" t="str">
        <f>"411327199511010329"</f>
        <v>411327199511010329</v>
      </c>
      <c r="B5863" s="1" t="str">
        <f t="shared" si="2946"/>
        <v>群众</v>
      </c>
      <c r="C5863" s="1" t="str">
        <f t="shared" si="2947"/>
        <v>本科</v>
      </c>
      <c r="D5863" s="1" t="str">
        <f>"20190701"</f>
        <v>20190701</v>
      </c>
      <c r="E5863" s="1" t="str">
        <f>"河南理工大学"</f>
        <v>河南理工大学</v>
      </c>
      <c r="F5863" s="1" t="str">
        <f>"药学"</f>
        <v>药学</v>
      </c>
      <c r="G5863" s="1" t="str">
        <f>"河南省南阳市内乡县建业三期"</f>
        <v>河南省南阳市内乡县建业三期</v>
      </c>
      <c r="H5863" s="1" t="str">
        <f>"初级药师"</f>
        <v>初级药师</v>
      </c>
      <c r="I5863" s="1" t="str">
        <f>"201509-201907 河南理工大学就读全日制
201907-202110 武汉药明康德研究员就业
202201-202507内乡县人民医院
"</f>
        <v>201509-201907 河南理工大学就读全日制
201907-202110 武汉药明康德研究员就业
202201-202507内乡县人民医院
</v>
      </c>
    </row>
    <row r="5864" spans="1:9">
      <c r="A5864" s="1" t="str">
        <f>"411381200401036345"</f>
        <v>411381200401036345</v>
      </c>
      <c r="B5864" s="1" t="str">
        <f t="shared" ref="B5864:B5870" si="2949">"共青团员"</f>
        <v>共青团员</v>
      </c>
      <c r="C5864" s="1" t="str">
        <f>"专科"</f>
        <v>专科</v>
      </c>
      <c r="D5864" s="1" t="str">
        <f>"20220701"</f>
        <v>20220701</v>
      </c>
      <c r="E5864" s="1" t="str">
        <f>"濮阳医学高等专科学校"</f>
        <v>濮阳医学高等专科学校</v>
      </c>
      <c r="F5864" s="1" t="str">
        <f t="shared" si="2948"/>
        <v>护理学</v>
      </c>
      <c r="G5864" s="1" t="str">
        <f>"河南省邓州市花洲街道新华路中国银行家属院"</f>
        <v>河南省邓州市花洲街道新华路中国银行家属院</v>
      </c>
      <c r="H5864" s="1" t="str">
        <f>"护士"</f>
        <v>护士</v>
      </c>
      <c r="I5864" s="1" t="str">
        <f>"2019年9月——2022年7月在濮阳医学高等专科学校就读护理学专业，全日制学历。
"</f>
        <v>2019年9月——2022年7月在濮阳医学高等专科学校就读护理学专业，全日制学历。
</v>
      </c>
    </row>
    <row r="5865" spans="1:9">
      <c r="A5865" s="1" t="str">
        <f>"411324200109284547"</f>
        <v>411324200109284547</v>
      </c>
      <c r="B5865" s="1" t="str">
        <f t="shared" si="2949"/>
        <v>共青团员</v>
      </c>
      <c r="C5865" s="1" t="str">
        <f t="shared" ref="C5865:C5867" si="2950">"本科"</f>
        <v>本科</v>
      </c>
      <c r="D5865" s="1" t="str">
        <f>"20250607"</f>
        <v>20250607</v>
      </c>
      <c r="E5865" s="1" t="str">
        <f>"河南开封科技传媒学院"</f>
        <v>河南开封科技传媒学院</v>
      </c>
      <c r="F5865" s="1" t="str">
        <f t="shared" si="2948"/>
        <v>护理学</v>
      </c>
      <c r="G5865" s="1" t="str">
        <f>"河南省南阳市镇平县大奋庄村黄庄"</f>
        <v>河南省南阳市镇平县大奋庄村黄庄</v>
      </c>
      <c r="H5865" s="1" t="str">
        <f>"护士资格证"</f>
        <v>护士资格证</v>
      </c>
      <c r="I5865" s="1" t="str">
        <f>"202009-202306 漯河医学高等专科学校 护理系护理专业就读 是全日制学历
202309-202506 河南开封科技传媒学院 医学院护理学专业就读 是全日制学历"</f>
        <v>202009-202306 漯河医学高等专科学校 护理系护理专业就读 是全日制学历
202309-202506 河南开封科技传媒学院 医学院护理学专业就读 是全日制学历</v>
      </c>
    </row>
    <row r="5866" spans="1:9">
      <c r="A5866" s="1" t="str">
        <f>"34122220020930182X"</f>
        <v>34122220020930182X</v>
      </c>
      <c r="B5866" s="1" t="str">
        <f t="shared" ref="B5866:B5872" si="2951">"群众"</f>
        <v>群众</v>
      </c>
      <c r="C5866" s="1" t="str">
        <f t="shared" si="2950"/>
        <v>本科</v>
      </c>
      <c r="D5866" s="1" t="str">
        <f>"20250701"</f>
        <v>20250701</v>
      </c>
      <c r="E5866" s="1" t="str">
        <f>"安徽医科大学临床医学院"</f>
        <v>安徽医科大学临床医学院</v>
      </c>
      <c r="F5866" s="1" t="str">
        <f>"医学检验技术"</f>
        <v>医学检验技术</v>
      </c>
      <c r="G5866" s="1" t="str">
        <f>"安徽省阜阳市太和县税镇镇孙楼村小徐寨105号1户"</f>
        <v>安徽省阜阳市太和县税镇镇孙楼村小徐寨105号1户</v>
      </c>
      <c r="H5866" s="1" t="str">
        <f t="shared" ref="H5866:H5870" si="2952">"无"</f>
        <v>无</v>
      </c>
      <c r="I5866" s="1" t="str">
        <f>"2018年9月-2021年6月，太和中学就读；
2021年9月-2025年7月，安徽医科大学临床医学院就读医学检验技术专业。"</f>
        <v>2018年9月-2021年6月，太和中学就读；
2021年9月-2025年7月，安徽医科大学临床医学院就读医学检验技术专业。</v>
      </c>
    </row>
    <row r="5867" spans="1:9">
      <c r="A5867" s="1" t="str">
        <f>"411524200408013625"</f>
        <v>411524200408013625</v>
      </c>
      <c r="B5867" s="1" t="str">
        <f t="shared" si="2951"/>
        <v>群众</v>
      </c>
      <c r="C5867" s="1" t="str">
        <f t="shared" si="2950"/>
        <v>本科</v>
      </c>
      <c r="D5867" s="1" t="str">
        <f>"20250618"</f>
        <v>20250618</v>
      </c>
      <c r="E5867" s="1" t="str">
        <f>"新乡医学院三全学院"</f>
        <v>新乡医学院三全学院</v>
      </c>
      <c r="F5867" s="1" t="str">
        <f>"医学检验技术"</f>
        <v>医学检验技术</v>
      </c>
      <c r="G5867" s="1" t="str">
        <f>"河南省信阳市商城县城关镇佳和商城4号楼801"</f>
        <v>河南省信阳市商城县城关镇佳和商城4号楼801</v>
      </c>
      <c r="H5867" s="1" t="str">
        <f t="shared" si="2952"/>
        <v>无</v>
      </c>
      <c r="I5867" s="1" t="str">
        <f>"202109-202506 新乡医学院三全学院 医学检验学院 医学检验技术就读 是全日制"</f>
        <v>202109-202506 新乡医学院三全学院 医学检验学院 医学检验技术就读 是全日制</v>
      </c>
    </row>
    <row r="5868" spans="1:9">
      <c r="A5868" s="1" t="str">
        <f>"411325200412108622"</f>
        <v>411325200412108622</v>
      </c>
      <c r="B5868" s="1" t="str">
        <f t="shared" si="2949"/>
        <v>共青团员</v>
      </c>
      <c r="C5868" s="1" t="str">
        <f t="shared" ref="C5868:C5872" si="2953">"专科"</f>
        <v>专科</v>
      </c>
      <c r="D5868" s="1" t="str">
        <f>"20250701"</f>
        <v>20250701</v>
      </c>
      <c r="E5868" s="1" t="str">
        <f>"黄河护理职业技术学院"</f>
        <v>黄河护理职业技术学院</v>
      </c>
      <c r="F5868" s="1" t="str">
        <f>"护理"</f>
        <v>护理</v>
      </c>
      <c r="G5868" s="1" t="str">
        <f>"河南省唐河县教场庄"</f>
        <v>河南省唐河县教场庄</v>
      </c>
      <c r="H5868" s="1" t="str">
        <f>"护士资格证"</f>
        <v>护士资格证</v>
      </c>
      <c r="I5868" s="1" t="str">
        <f>"20220901—20250701，于黄河护理职业学院就读护理系，全日制大专"</f>
        <v>20220901—20250701，于黄河护理职业学院就读护理系，全日制大专</v>
      </c>
    </row>
    <row r="5869" spans="1:9">
      <c r="A5869" s="1" t="str">
        <f>"411326199908271520"</f>
        <v>411326199908271520</v>
      </c>
      <c r="B5869" s="1" t="str">
        <f t="shared" si="2949"/>
        <v>共青团员</v>
      </c>
      <c r="C5869" s="1" t="str">
        <f t="shared" ref="C5869:C5874" si="2954">"本科"</f>
        <v>本科</v>
      </c>
      <c r="D5869" s="1" t="str">
        <f>"20220701"</f>
        <v>20220701</v>
      </c>
      <c r="E5869" s="1" t="str">
        <f>"郑州工业应用技术学院"</f>
        <v>郑州工业应用技术学院</v>
      </c>
      <c r="F5869" s="1" t="str">
        <f>"护理学"</f>
        <v>护理学</v>
      </c>
      <c r="G5869" s="1" t="str">
        <f>"河南省南阳市南召县黄洋路靳家拐口"</f>
        <v>河南省南阳市南召县黄洋路靳家拐口</v>
      </c>
      <c r="H5869" s="1" t="str">
        <f t="shared" si="2952"/>
        <v>无</v>
      </c>
      <c r="I5869" s="1" t="str">
        <f>"201709-202007河南护理职业技术学院  护理专业在读 全日制
202009-202207郑州工业应用技术学院  护理专业在读 全日制
202207-202505待业
202506-至今南召县人社局就业"</f>
        <v>201709-202007河南护理职业技术学院  护理专业在读 全日制
202009-202207郑州工业应用技术学院  护理专业在读 全日制
202207-202505待业
202506-至今南召县人社局就业</v>
      </c>
    </row>
    <row r="5870" spans="1:9">
      <c r="A5870" s="1" t="str">
        <f>"411327200105161127"</f>
        <v>411327200105161127</v>
      </c>
      <c r="B5870" s="1" t="str">
        <f t="shared" si="2949"/>
        <v>共青团员</v>
      </c>
      <c r="C5870" s="1" t="str">
        <f t="shared" si="2953"/>
        <v>专科</v>
      </c>
      <c r="D5870" s="1" t="str">
        <f>"20230701"</f>
        <v>20230701</v>
      </c>
      <c r="E5870" s="1" t="str">
        <f>"漯河医学高等专科学校"</f>
        <v>漯河医学高等专科学校</v>
      </c>
      <c r="F5870" s="1" t="str">
        <f>"临床医学"</f>
        <v>临床医学</v>
      </c>
      <c r="G5870" s="1" t="str">
        <f>"河南省南阳市内乡县赤眉镇"</f>
        <v>河南省南阳市内乡县赤眉镇</v>
      </c>
      <c r="H5870" s="1" t="str">
        <f t="shared" si="2952"/>
        <v>无</v>
      </c>
      <c r="I5870" s="1" t="str">
        <f>"202009-202307 漯河医学高等专科学校 就读。
202308-至今 赤眉镇卫生院 工作"</f>
        <v>202009-202307 漯河医学高等专科学校 就读。
202308-至今 赤眉镇卫生院 工作</v>
      </c>
    </row>
    <row r="5871" spans="1:9">
      <c r="A5871" s="1" t="str">
        <f>"411327200008133925"</f>
        <v>411327200008133925</v>
      </c>
      <c r="B5871" s="1" t="str">
        <f t="shared" si="2951"/>
        <v>群众</v>
      </c>
      <c r="C5871" s="1" t="str">
        <f t="shared" si="2954"/>
        <v>本科</v>
      </c>
      <c r="D5871" s="1" t="str">
        <f>"20230701"</f>
        <v>20230701</v>
      </c>
      <c r="E5871" s="1" t="str">
        <f>"郑州工业应用技术学院"</f>
        <v>郑州工业应用技术学院</v>
      </c>
      <c r="F5871" s="1" t="str">
        <f>"康复治疗学"</f>
        <v>康复治疗学</v>
      </c>
      <c r="G5871" s="1" t="str">
        <f>"河南省南阳市内乡县乍区乡魏营村"</f>
        <v>河南省南阳市内乡县乍区乡魏营村</v>
      </c>
      <c r="H5871" s="1" t="str">
        <f>"康复治疗士"</f>
        <v>康复治疗士</v>
      </c>
      <c r="I5871" s="1" t="str">
        <f>"201809-202107郑州澍青医学高等专科学校康复治疗技术是全日制
202109-202307郑州工业应用技术学院康复治疗学是全日制
"</f>
        <v>201809-202107郑州澍青医学高等专科学校康复治疗技术是全日制
202109-202307郑州工业应用技术学院康复治疗学是全日制
</v>
      </c>
    </row>
    <row r="5872" spans="1:9">
      <c r="A5872" s="1" t="str">
        <f>"411327199504241129"</f>
        <v>411327199504241129</v>
      </c>
      <c r="B5872" s="1" t="str">
        <f t="shared" si="2951"/>
        <v>群众</v>
      </c>
      <c r="C5872" s="1" t="str">
        <f t="shared" si="2953"/>
        <v>专科</v>
      </c>
      <c r="D5872" s="1" t="str">
        <f>"20160701"</f>
        <v>20160701</v>
      </c>
      <c r="E5872" s="1" t="str">
        <f>"南阳医学高等专科学校"</f>
        <v>南阳医学高等专科学校</v>
      </c>
      <c r="F5872" s="1" t="str">
        <f>"护理"</f>
        <v>护理</v>
      </c>
      <c r="G5872" s="1" t="str">
        <f>"南阳市内乡县湍东镇酸枣园"</f>
        <v>南阳市内乡县湍东镇酸枣园</v>
      </c>
      <c r="H5872" s="1" t="str">
        <f>"护师资格证"</f>
        <v>护师资格证</v>
      </c>
      <c r="I5872" s="1" t="str">
        <f>"201309-201607 南阳医学高等专科学校 护理系护理专业 就读
201608-201611 内乡县赤眉镇卫生院工作
201612-至今 内乡县人民医院工作
"</f>
        <v>201309-201607 南阳医学高等专科学校 护理系护理专业 就读
201608-201611 内乡县赤眉镇卫生院工作
201612-至今 内乡县人民医院工作
</v>
      </c>
    </row>
    <row r="5873" spans="1:9">
      <c r="A5873" s="1" t="str">
        <f>"410611200202227567"</f>
        <v>410611200202227567</v>
      </c>
      <c r="B5873" s="1" t="str">
        <f t="shared" ref="B5873:B5876" si="2955">"共青团员"</f>
        <v>共青团员</v>
      </c>
      <c r="C5873" s="1" t="str">
        <f t="shared" si="2954"/>
        <v>本科</v>
      </c>
      <c r="D5873" s="1" t="str">
        <f>"20250630"</f>
        <v>20250630</v>
      </c>
      <c r="E5873" s="1" t="str">
        <f>"烟台南山学院"</f>
        <v>烟台南山学院</v>
      </c>
      <c r="F5873" s="1" t="str">
        <f>"护理学"</f>
        <v>护理学</v>
      </c>
      <c r="G5873" s="1" t="str">
        <f>"河南省鹤壁市淇滨区紫荆巷8号"</f>
        <v>河南省鹤壁市淇滨区紫荆巷8号</v>
      </c>
      <c r="H5873" s="1" t="str">
        <f>"护士执业资格证"</f>
        <v>护士执业资格证</v>
      </c>
      <c r="I5873" s="1" t="str">
        <f>"202009-202306 山东协和学院护理学院护理系护理专业就读  是全日制学历
202309-202506 烟台南山学院健康学院护理系护理学专业就读  是全日制学历"</f>
        <v>202009-202306 山东协和学院护理学院护理系护理专业就读  是全日制学历
202309-202506 烟台南山学院健康学院护理系护理学专业就读  是全日制学历</v>
      </c>
    </row>
    <row r="5874" spans="1:9">
      <c r="A5874" s="1" t="str">
        <f>"411327199604200025"</f>
        <v>411327199604200025</v>
      </c>
      <c r="B5874" s="1" t="str">
        <f t="shared" ref="B5874:B5885" si="2956">"群众"</f>
        <v>群众</v>
      </c>
      <c r="C5874" s="1" t="str">
        <f t="shared" si="2954"/>
        <v>本科</v>
      </c>
      <c r="D5874" s="1" t="str">
        <f>"20170701"</f>
        <v>20170701</v>
      </c>
      <c r="E5874" s="1" t="str">
        <f>"新乡医学院"</f>
        <v>新乡医学院</v>
      </c>
      <c r="F5874" s="1" t="str">
        <f>"医学检验技术"</f>
        <v>医学检验技术</v>
      </c>
      <c r="G5874" s="1" t="str">
        <f>"河南省内乡县新民路十一巷38号"</f>
        <v>河南省内乡县新民路十一巷38号</v>
      </c>
      <c r="H5874" s="1" t="str">
        <f>"临床医学检验技术（中级）"</f>
        <v>临床医学检验技术（中级）</v>
      </c>
      <c r="I5874" s="1" t="str">
        <f>"201309-201707  新乡医学院医学检验技术专业就读
201707-202005  郑州安图生物工程股份有限公司就职
202005-202012  宏信检测技术有限公司就职
202101至今        内乡县人民医院就职"</f>
        <v>201309-201707  新乡医学院医学检验技术专业就读
201707-202005  郑州安图生物工程股份有限公司就职
202005-202012  宏信检测技术有限公司就职
202101至今        内乡县人民医院就职</v>
      </c>
    </row>
    <row r="5875" spans="1:9">
      <c r="A5875" s="1" t="str">
        <f>"411326199903154448"</f>
        <v>411326199903154448</v>
      </c>
      <c r="B5875" s="1" t="str">
        <f t="shared" si="2955"/>
        <v>共青团员</v>
      </c>
      <c r="C5875" s="1" t="str">
        <f t="shared" ref="C5875:C5885" si="2957">"专科"</f>
        <v>专科</v>
      </c>
      <c r="D5875" s="1" t="str">
        <f>"20220701"</f>
        <v>20220701</v>
      </c>
      <c r="E5875" s="1" t="str">
        <f>"南阳医学高等专科学校"</f>
        <v>南阳医学高等专科学校</v>
      </c>
      <c r="F5875" s="1" t="str">
        <f>"护理学"</f>
        <v>护理学</v>
      </c>
      <c r="G5875" s="1" t="str">
        <f>"河南省南召县南河店镇"</f>
        <v>河南省南召县南河店镇</v>
      </c>
      <c r="H5875" s="1" t="str">
        <f>"护士资格证"</f>
        <v>护士资格证</v>
      </c>
      <c r="I5875" s="1" t="str">
        <f>"201909-202207 南阳医学高等专科学校 护理系专业护理学 是全日制学历
202208-202210在家待业
202211-202212 在深圳爱康卓悦快验保门诊部工作
202301-至今在家待业"</f>
        <v>201909-202207 南阳医学高等专科学校 护理系专业护理学 是全日制学历
202208-202210在家待业
202211-202212 在深圳爱康卓悦快验保门诊部工作
202301-至今在家待业</v>
      </c>
    </row>
    <row r="5876" spans="1:9">
      <c r="A5876" s="1" t="str">
        <f>"411327200006180322"</f>
        <v>411327200006180322</v>
      </c>
      <c r="B5876" s="1" t="str">
        <f t="shared" si="2955"/>
        <v>共青团员</v>
      </c>
      <c r="C5876" s="1" t="str">
        <f t="shared" ref="C5876:C5879" si="2958">"本科"</f>
        <v>本科</v>
      </c>
      <c r="D5876" s="1" t="str">
        <f>"20220701"</f>
        <v>20220701</v>
      </c>
      <c r="E5876" s="1" t="str">
        <f>"河南大学民生学院"</f>
        <v>河南大学民生学院</v>
      </c>
      <c r="F5876" s="1" t="str">
        <f>"药学"</f>
        <v>药学</v>
      </c>
      <c r="G5876" s="1" t="str">
        <f>"河南省南阳市内乡县大桥乡"</f>
        <v>河南省南阳市内乡县大桥乡</v>
      </c>
      <c r="H5876" s="1" t="str">
        <f t="shared" ref="H5876:H5881" si="2959">"无"</f>
        <v>无</v>
      </c>
      <c r="I5876" s="1" t="str">
        <f>"20180901-20220701在河南大学民生学院药学专业就读，为全日制学历"</f>
        <v>20180901-20220701在河南大学民生学院药学专业就读，为全日制学历</v>
      </c>
    </row>
    <row r="5877" spans="1:9">
      <c r="A5877" s="1" t="str">
        <f>"411303200202050292"</f>
        <v>411303200202050292</v>
      </c>
      <c r="B5877" s="1" t="str">
        <f t="shared" si="2956"/>
        <v>群众</v>
      </c>
      <c r="C5877" s="1" t="str">
        <f t="shared" si="2957"/>
        <v>专科</v>
      </c>
      <c r="D5877" s="1" t="str">
        <f>"202407"</f>
        <v>202407</v>
      </c>
      <c r="E5877" s="1" t="str">
        <f>"安阳职业技术学院"</f>
        <v>安阳职业技术学院</v>
      </c>
      <c r="F5877" s="1" t="str">
        <f>"中医学"</f>
        <v>中医学</v>
      </c>
      <c r="G5877" s="1" t="str">
        <f>"河南省南阳市卧龙区七里园乡"</f>
        <v>河南省南阳市卧龙区七里园乡</v>
      </c>
      <c r="H5877" s="1" t="str">
        <f t="shared" si="2959"/>
        <v>无</v>
      </c>
      <c r="I5877" s="1" t="str">
        <f>"202109-202407安阳职业技术学院就读中医学专业是全日制学历在校期间曾在南阳市中医院实习"</f>
        <v>202109-202407安阳职业技术学院就读中医学专业是全日制学历在校期间曾在南阳市中医院实习</v>
      </c>
    </row>
    <row r="5878" spans="1:9">
      <c r="A5878" s="1" t="str">
        <f>"610524198712054030"</f>
        <v>610524198712054030</v>
      </c>
      <c r="B5878" s="1" t="str">
        <f t="shared" si="2956"/>
        <v>群众</v>
      </c>
      <c r="C5878" s="1" t="str">
        <f t="shared" si="2958"/>
        <v>本科</v>
      </c>
      <c r="D5878" s="1" t="str">
        <f>"20120630"</f>
        <v>20120630</v>
      </c>
      <c r="E5878" s="1" t="str">
        <f>"广西中医药大学赛恩斯新医药学院"</f>
        <v>广西中医药大学赛恩斯新医药学院</v>
      </c>
      <c r="F5878" s="1" t="str">
        <f>"中医学（骨伤科学方向）"</f>
        <v>中医学（骨伤科学方向）</v>
      </c>
      <c r="G5878" s="1" t="str">
        <f>"陕西省渭南市合阳县新池镇"</f>
        <v>陕西省渭南市合阳县新池镇</v>
      </c>
      <c r="H5878" s="1" t="str">
        <f>"陕西省专业技术人员职称证书中医骨伤副主任医师"</f>
        <v>陕西省专业技术人员职称证书中医骨伤副主任医师</v>
      </c>
      <c r="I5878" s="1" t="str">
        <f>"200709-201206广西中医药大学赛恩斯新医药学院就读。
"</f>
        <v>200709-201206广西中医药大学赛恩斯新医药学院就读。
</v>
      </c>
    </row>
    <row r="5879" spans="1:9">
      <c r="A5879" s="1" t="str">
        <f>"411327199710284920"</f>
        <v>411327199710284920</v>
      </c>
      <c r="B5879" s="1" t="str">
        <f t="shared" si="2956"/>
        <v>群众</v>
      </c>
      <c r="C5879" s="1" t="str">
        <f t="shared" si="2958"/>
        <v>本科</v>
      </c>
      <c r="D5879" s="1" t="str">
        <f>"20210701"</f>
        <v>20210701</v>
      </c>
      <c r="E5879" s="1" t="str">
        <f>"新乡医学院三全学院"</f>
        <v>新乡医学院三全学院</v>
      </c>
      <c r="F5879" s="1" t="str">
        <f>"医学检验技术"</f>
        <v>医学检验技术</v>
      </c>
      <c r="G5879" s="1" t="str">
        <f>"河南省内乡县灌涨镇陈营村北湾43号"</f>
        <v>河南省内乡县灌涨镇陈营村北湾43号</v>
      </c>
      <c r="H5879" s="1" t="str">
        <f>"临床医学检验技术初级（师）"</f>
        <v>临床医学检验技术初级（师）</v>
      </c>
      <c r="I5879" s="1" t="str">
        <f>"201609-201907在南阳医学高等专科学校医学技术系医学检验技术专业就读，全日制学历。
201909-202107在新乡医学院三全学院医学技术系医学检验技术专业就读，全日制学历。
202108-202412在杭州美联医学股份有限公司工作，历任特检技术员兼文件管理员、QC质量管理员、QC质量管理主管。
202412-至今，在南阳市内乡县待业。"</f>
        <v>201609-201907在南阳医学高等专科学校医学技术系医学检验技术专业就读，全日制学历。
201909-202107在新乡医学院三全学院医学技术系医学检验技术专业就读，全日制学历。
202108-202412在杭州美联医学股份有限公司工作，历任特检技术员兼文件管理员、QC质量管理员、QC质量管理主管。
202412-至今，在南阳市内乡县待业。</v>
      </c>
    </row>
    <row r="5880" spans="1:9">
      <c r="A5880" s="1" t="str">
        <f>"411327200110010040"</f>
        <v>411327200110010040</v>
      </c>
      <c r="B5880" s="1" t="str">
        <f t="shared" si="2956"/>
        <v>群众</v>
      </c>
      <c r="C5880" s="1" t="str">
        <f t="shared" si="2957"/>
        <v>专科</v>
      </c>
      <c r="D5880" s="1" t="str">
        <f>"20220607"</f>
        <v>20220607</v>
      </c>
      <c r="E5880" s="1" t="str">
        <f>"河南医学高等专科学校"</f>
        <v>河南医学高等专科学校</v>
      </c>
      <c r="F5880" s="1" t="str">
        <f>"临床医学"</f>
        <v>临床医学</v>
      </c>
      <c r="G5880" s="1" t="str">
        <f>"河南省南阳市内乡县"</f>
        <v>河南省南阳市内乡县</v>
      </c>
      <c r="H5880" s="1" t="str">
        <f t="shared" si="2959"/>
        <v>无</v>
      </c>
      <c r="I5880" s="1" t="str">
        <f>"201909-2022-06 河南医学高等专科学校"</f>
        <v>201909-2022-06 河南医学高等专科学校</v>
      </c>
    </row>
    <row r="5881" spans="1:9">
      <c r="A5881" s="1" t="str">
        <f>"411327199908220025"</f>
        <v>411327199908220025</v>
      </c>
      <c r="B5881" s="1" t="str">
        <f t="shared" si="2956"/>
        <v>群众</v>
      </c>
      <c r="C5881" s="1" t="str">
        <f t="shared" si="2957"/>
        <v>专科</v>
      </c>
      <c r="D5881" s="1" t="str">
        <f>"20200630"</f>
        <v>20200630</v>
      </c>
      <c r="E5881" s="1" t="str">
        <f>"南阳医学高等专科学校"</f>
        <v>南阳医学高等专科学校</v>
      </c>
      <c r="F5881" s="1" t="str">
        <f>"药物生产技术"</f>
        <v>药物生产技术</v>
      </c>
      <c r="G5881" s="1" t="str">
        <f>"河南省南阳市内乡县湍东镇建业森林半岛"</f>
        <v>河南省南阳市内乡县湍东镇建业森林半岛</v>
      </c>
      <c r="H5881" s="1" t="str">
        <f t="shared" si="2959"/>
        <v>无</v>
      </c>
      <c r="I5881" s="1" t="str">
        <f>"201509-202009在南阳医学高等专科学校药学系药物制剂专业就读，全日制"</f>
        <v>201509-202009在南阳医学高等专科学校药学系药物制剂专业就读，全日制</v>
      </c>
    </row>
    <row r="5882" spans="1:9">
      <c r="A5882" s="1" t="str">
        <f>"411381199911080041"</f>
        <v>411381199911080041</v>
      </c>
      <c r="B5882" s="1" t="str">
        <f t="shared" si="2956"/>
        <v>群众</v>
      </c>
      <c r="C5882" s="1" t="str">
        <f t="shared" si="2957"/>
        <v>专科</v>
      </c>
      <c r="D5882" s="1" t="str">
        <f>"20200701"</f>
        <v>20200701</v>
      </c>
      <c r="E5882" s="1" t="str">
        <f>"信阳职业技术学院"</f>
        <v>信阳职业技术学院</v>
      </c>
      <c r="F5882" s="1" t="str">
        <f>"护理"</f>
        <v>护理</v>
      </c>
      <c r="G5882" s="1" t="str">
        <f>"河南省邓州市文化路北明园小区"</f>
        <v>河南省邓州市文化路北明园小区</v>
      </c>
      <c r="H5882" s="1" t="str">
        <f>"护士资格证"</f>
        <v>护士资格证</v>
      </c>
      <c r="I5882" s="1" t="str">
        <f>"201709-202007 信阳职业技术学院护理系就读
202009-至今 邓州市中心医院工作至今"</f>
        <v>201709-202007 信阳职业技术学院护理系就读
202009-至今 邓州市中心医院工作至今</v>
      </c>
    </row>
    <row r="5883" spans="1:9">
      <c r="A5883" s="1" t="str">
        <f>"411327199612281531"</f>
        <v>411327199612281531</v>
      </c>
      <c r="B5883" s="1" t="str">
        <f t="shared" si="2956"/>
        <v>群众</v>
      </c>
      <c r="C5883" s="1" t="str">
        <f t="shared" si="2957"/>
        <v>专科</v>
      </c>
      <c r="D5883" s="1" t="str">
        <f>"20190701"</f>
        <v>20190701</v>
      </c>
      <c r="E5883" s="1" t="str">
        <f>"黄河科技学院"</f>
        <v>黄河科技学院</v>
      </c>
      <c r="F5883" s="1" t="str">
        <f>"临床医学"</f>
        <v>临床医学</v>
      </c>
      <c r="G5883" s="1" t="str">
        <f>"河南省南阳市内乡县湍东镇"</f>
        <v>河南省南阳市内乡县湍东镇</v>
      </c>
      <c r="H5883" s="1" t="str">
        <f>"助理医师"</f>
        <v>助理医师</v>
      </c>
      <c r="I5883" s="1" t="str">
        <f>"201609——201907 黄河科技学院 临床医学 专科就读 是全日制
201907——内乡县县医院
202210——至今内乡县中医院"</f>
        <v>201609——201907 黄河科技学院 临床医学 专科就读 是全日制
201907——内乡县县医院
202210——至今内乡县中医院</v>
      </c>
    </row>
    <row r="5884" spans="1:9">
      <c r="A5884" s="1" t="str">
        <f>"411327200208162528"</f>
        <v>411327200208162528</v>
      </c>
      <c r="B5884" s="1" t="str">
        <f t="shared" si="2956"/>
        <v>群众</v>
      </c>
      <c r="C5884" s="1" t="str">
        <f t="shared" si="2957"/>
        <v>专科</v>
      </c>
      <c r="D5884" s="1" t="str">
        <f>"20240701"</f>
        <v>20240701</v>
      </c>
      <c r="E5884" s="1" t="str">
        <f>"濮阳医学高等专科学校"</f>
        <v>濮阳医学高等专科学校</v>
      </c>
      <c r="F5884" s="1" t="str">
        <f>"护理"</f>
        <v>护理</v>
      </c>
      <c r="G5884" s="1" t="str">
        <f>"河南省南阳市"</f>
        <v>河南省南阳市</v>
      </c>
      <c r="H5884" s="1" t="str">
        <f>"护士资格证"</f>
        <v>护士资格证</v>
      </c>
      <c r="I5884" s="1" t="str">
        <f>"2021年10月14日濮阳医学高等专科学校护理系护理专业就读，为全日制学历。"</f>
        <v>2021年10月14日濮阳医学高等专科学校护理系护理专业就读，为全日制学历。</v>
      </c>
    </row>
    <row r="5885" spans="1:9">
      <c r="A5885" s="1" t="str">
        <f>"411330200106205521"</f>
        <v>411330200106205521</v>
      </c>
      <c r="B5885" s="1" t="str">
        <f t="shared" si="2956"/>
        <v>群众</v>
      </c>
      <c r="C5885" s="1" t="str">
        <f t="shared" si="2957"/>
        <v>专科</v>
      </c>
      <c r="D5885" s="1" t="str">
        <f>"20250607"</f>
        <v>20250607</v>
      </c>
      <c r="E5885" s="1" t="str">
        <f>"信阳职业技术学院"</f>
        <v>信阳职业技术学院</v>
      </c>
      <c r="F5885" s="1" t="str">
        <f>"临床"</f>
        <v>临床</v>
      </c>
      <c r="G5885" s="1" t="str">
        <f>"河南省南阳市西峡县"</f>
        <v>河南省南阳市西峡县</v>
      </c>
      <c r="H5885" s="1" t="str">
        <f>"公共营养师 高级工"</f>
        <v>公共营养师 高级工</v>
      </c>
      <c r="I5885" s="1" t="str">
        <f>"202209—202506 信阳职业技术学院就读 
信阳职业技术学院 医学院 临床专业就读"</f>
        <v>202209—202506 信阳职业技术学院就读 
信阳职业技术学院 医学院 临床专业就读</v>
      </c>
    </row>
    <row r="5886" spans="1:9">
      <c r="A5886" s="1" t="str">
        <f>"411302199006181322"</f>
        <v>411302199006181322</v>
      </c>
      <c r="B5886" s="1" t="str">
        <f>"中共党员"</f>
        <v>中共党员</v>
      </c>
      <c r="C5886" s="1" t="str">
        <f t="shared" ref="C5886:C5890" si="2960">"本科"</f>
        <v>本科</v>
      </c>
      <c r="D5886" s="1" t="str">
        <f>"20140701"</f>
        <v>20140701</v>
      </c>
      <c r="E5886" s="1" t="str">
        <f>"河南科技大学"</f>
        <v>河南科技大学</v>
      </c>
      <c r="F5886" s="1" t="str">
        <f t="shared" ref="F5886:F5891" si="2961">"护理学"</f>
        <v>护理学</v>
      </c>
      <c r="G5886" s="1" t="str">
        <f>"河南省洛阳市老城区赵粉路76号"</f>
        <v>河南省洛阳市老城区赵粉路76号</v>
      </c>
      <c r="H5886" s="1" t="str">
        <f>"主管护师资格证"</f>
        <v>主管护师资格证</v>
      </c>
      <c r="I5886" s="1" t="str">
        <f>"200909—201407河南科技大学护理学专业就读  全日制
201407—202408河南科技大学第一附属医院工作
202409至今在洛阳市老城区家中待业、备考"</f>
        <v>200909—201407河南科技大学护理学专业就读  全日制
201407—202408河南科技大学第一附属医院工作
202409至今在洛阳市老城区家中待业、备考</v>
      </c>
    </row>
    <row r="5887" spans="1:9">
      <c r="A5887" s="1" t="str">
        <f>"411326199801130023"</f>
        <v>411326199801130023</v>
      </c>
      <c r="B5887" s="1" t="str">
        <f>"中共党员"</f>
        <v>中共党员</v>
      </c>
      <c r="C5887" s="1" t="str">
        <f t="shared" ref="C5887:C5891" si="2962">"专科"</f>
        <v>专科</v>
      </c>
      <c r="D5887" s="1" t="str">
        <f>"20180701"</f>
        <v>20180701</v>
      </c>
      <c r="E5887" s="1" t="str">
        <f>"黄河科技学院"</f>
        <v>黄河科技学院</v>
      </c>
      <c r="F5887" s="1" t="str">
        <f>"临床医学"</f>
        <v>临床医学</v>
      </c>
      <c r="G5887" s="1" t="str">
        <f>"河南省南阳市南召县城关镇西北村二组二号"</f>
        <v>河南省南阳市南召县城关镇西北村二组二号</v>
      </c>
      <c r="H5887" s="1" t="str">
        <f>"无"</f>
        <v>无</v>
      </c>
      <c r="I5887" s="1" t="str">
        <f>"2015.9月-2018.7就读于黄河科技学院临床医学专业"</f>
        <v>2015.9月-2018.7就读于黄河科技学院临床医学专业</v>
      </c>
    </row>
    <row r="5888" spans="1:9">
      <c r="A5888" s="1" t="str">
        <f>"412823199911143617"</f>
        <v>412823199911143617</v>
      </c>
      <c r="B5888" s="1" t="str">
        <f t="shared" ref="B5888:B5892" si="2963">"群众"</f>
        <v>群众</v>
      </c>
      <c r="C5888" s="1" t="str">
        <f t="shared" si="2960"/>
        <v>本科</v>
      </c>
      <c r="D5888" s="1" t="str">
        <f>"20230627"</f>
        <v>20230627</v>
      </c>
      <c r="E5888" s="1" t="str">
        <f>"锦州医科大学"</f>
        <v>锦州医科大学</v>
      </c>
      <c r="F5888" s="1" t="str">
        <f>"医学检验技术"</f>
        <v>医学检验技术</v>
      </c>
      <c r="G5888" s="1" t="str">
        <f>"河南省驻马店市驿城区文化路街道财经学校家属院"</f>
        <v>河南省驻马店市驿城区文化路街道财经学校家属院</v>
      </c>
      <c r="H5888" s="1" t="str">
        <f>"初级检验技师资格证书"</f>
        <v>初级检验技师资格证书</v>
      </c>
      <c r="I5888" s="1" t="str">
        <f>"201909-202306于锦州医科大学第一临床医学院医学检验技术专业学习"</f>
        <v>201909-202306于锦州医科大学第一临床医学院医学检验技术专业学习</v>
      </c>
    </row>
    <row r="5889" spans="1:9">
      <c r="A5889" s="1" t="str">
        <f>"411330200108104839"</f>
        <v>411330200108104839</v>
      </c>
      <c r="B5889" s="1" t="str">
        <f t="shared" ref="B5889:B5893" si="2964">"共青团员"</f>
        <v>共青团员</v>
      </c>
      <c r="C5889" s="1" t="str">
        <f t="shared" si="2962"/>
        <v>专科</v>
      </c>
      <c r="D5889" s="1" t="str">
        <f>"20220620"</f>
        <v>20220620</v>
      </c>
      <c r="E5889" s="1" t="str">
        <f>"南阳医学高等专科学校"</f>
        <v>南阳医学高等专科学校</v>
      </c>
      <c r="F5889" s="1" t="str">
        <f>"临床医学"</f>
        <v>临床医学</v>
      </c>
      <c r="G5889" s="1" t="str">
        <f>"河南省南阳市西峡县军马河镇"</f>
        <v>河南省南阳市西峡县军马河镇</v>
      </c>
      <c r="H5889" s="1" t="str">
        <f>"执业助理医师资格证"</f>
        <v>执业助理医师资格证</v>
      </c>
      <c r="I5889" s="1" t="str">
        <f>"201907-202206 南阳医学高等专科学校临床医学系临床医学专业就读
202206-202210 待业
202210-至今 南阳豫西健和医院医师"</f>
        <v>201907-202206 南阳医学高等专科学校临床医学系临床医学专业就读
202206-202210 待业
202210-至今 南阳豫西健和医院医师</v>
      </c>
    </row>
    <row r="5890" spans="1:9">
      <c r="A5890" s="1" t="str">
        <f>"411325199910022092"</f>
        <v>411325199910022092</v>
      </c>
      <c r="B5890" s="1" t="str">
        <f t="shared" si="2964"/>
        <v>共青团员</v>
      </c>
      <c r="C5890" s="1" t="str">
        <f t="shared" si="2960"/>
        <v>本科</v>
      </c>
      <c r="D5890" s="1" t="str">
        <f>"2022-07-01"</f>
        <v>2022-07-01</v>
      </c>
      <c r="E5890" s="1" t="str">
        <f>"新乡医学院三全学院"</f>
        <v>新乡医学院三全学院</v>
      </c>
      <c r="F5890" s="1" t="str">
        <f t="shared" si="2961"/>
        <v>护理学</v>
      </c>
      <c r="G5890" s="1" t="str">
        <f>"河南省南阳市内乡县湍东镇建业森林半岛3期"</f>
        <v>河南省南阳市内乡县湍东镇建业森林半岛3期</v>
      </c>
      <c r="H5890" s="1" t="str">
        <f>"护士执业证"</f>
        <v>护士执业证</v>
      </c>
      <c r="I5890" s="1" t="str">
        <f>"2018.9.1-2022.7.1 新乡医学院三全学院本科护理学
2022.8.1-2023.1.17 南阳南石医院
2023.1.18-2023.11.16 待业
2023.11.17-2024.4.25 河南业优教育科技有限公司
2024.4.26-2025.4.30 待业
2025.5.1至今 内乡县人民医院劳务派遣护理"</f>
        <v>2018.9.1-2022.7.1 新乡医学院三全学院本科护理学
2022.8.1-2023.1.17 南阳南石医院
2023.1.18-2023.11.16 待业
2023.11.17-2024.4.25 河南业优教育科技有限公司
2024.4.26-2025.4.30 待业
2025.5.1至今 内乡县人民医院劳务派遣护理</v>
      </c>
    </row>
    <row r="5891" spans="1:9">
      <c r="A5891" s="1" t="str">
        <f>"411327200305151521"</f>
        <v>411327200305151521</v>
      </c>
      <c r="B5891" s="1" t="str">
        <f t="shared" si="2963"/>
        <v>群众</v>
      </c>
      <c r="C5891" s="1" t="str">
        <f t="shared" si="2962"/>
        <v>专科</v>
      </c>
      <c r="D5891" s="1" t="str">
        <f>"20230701"</f>
        <v>20230701</v>
      </c>
      <c r="E5891" s="1" t="str">
        <f>"南阳市医学高等专科学校"</f>
        <v>南阳市医学高等专科学校</v>
      </c>
      <c r="F5891" s="1" t="str">
        <f t="shared" si="2961"/>
        <v>护理学</v>
      </c>
      <c r="G5891" s="1" t="str">
        <f>"河南省南阳市"</f>
        <v>河南省南阳市</v>
      </c>
      <c r="H5891" s="1" t="str">
        <f>"护士执业资格证书（初级）"</f>
        <v>护士执业资格证书（初级）</v>
      </c>
      <c r="I5891" s="1" t="str">
        <f>"202009-202307在南阳医学高等专科学校护理系护理专业就读"</f>
        <v>202009-202307在南阳医学高等专科学校护理系护理专业就读</v>
      </c>
    </row>
    <row r="5892" spans="1:9">
      <c r="A5892" s="1" t="str">
        <f>"411381200003126169"</f>
        <v>411381200003126169</v>
      </c>
      <c r="B5892" s="1" t="str">
        <f t="shared" si="2963"/>
        <v>群众</v>
      </c>
      <c r="C5892" s="1" t="str">
        <f t="shared" ref="C5892:C5895" si="2965">"本科"</f>
        <v>本科</v>
      </c>
      <c r="D5892" s="1" t="str">
        <f>"20250615"</f>
        <v>20250615</v>
      </c>
      <c r="E5892" s="1" t="str">
        <f>"许昌学院"</f>
        <v>许昌学院</v>
      </c>
      <c r="F5892" s="1" t="str">
        <f>"医学检验技术"</f>
        <v>医学检验技术</v>
      </c>
      <c r="G5892" s="1" t="str">
        <f>"河南省南阳市邓州市林扒镇"</f>
        <v>河南省南阳市邓州市林扒镇</v>
      </c>
      <c r="H5892" s="1" t="str">
        <f>"无"</f>
        <v>无</v>
      </c>
      <c r="I5892" s="1" t="str">
        <f>"202009-202306  南阳医学高等专科学校
202309-202506  许昌学院"</f>
        <v>202009-202306  南阳医学高等专科学校
202309-202506  许昌学院</v>
      </c>
    </row>
    <row r="5893" spans="1:9">
      <c r="A5893" s="1" t="str">
        <f>"411302200208190046"</f>
        <v>411302200208190046</v>
      </c>
      <c r="B5893" s="1" t="str">
        <f t="shared" si="2964"/>
        <v>共青团员</v>
      </c>
      <c r="C5893" s="1" t="str">
        <f t="shared" si="2965"/>
        <v>本科</v>
      </c>
      <c r="D5893" s="1" t="str">
        <f>"20250613"</f>
        <v>20250613</v>
      </c>
      <c r="E5893" s="1" t="str">
        <f>"新乡医学院三全学院"</f>
        <v>新乡医学院三全学院</v>
      </c>
      <c r="F5893" s="1" t="str">
        <f>"药学"</f>
        <v>药学</v>
      </c>
      <c r="G5893" s="1" t="str">
        <f>"河南省南阳市卧龙区张衡街道办事处茹楼社区123号"</f>
        <v>河南省南阳市卧龙区张衡街道办事处茹楼社区123号</v>
      </c>
      <c r="H5893" s="1" t="str">
        <f>"无"</f>
        <v>无</v>
      </c>
      <c r="I5893" s="1" t="str">
        <f>"202009-202306许昌学院药学全日制就读
202309-202506新乡医学院三全学院全日制药学就读"</f>
        <v>202009-202306许昌学院药学全日制就读
202309-202506新乡医学院三全学院全日制药学就读</v>
      </c>
    </row>
    <row r="5894" spans="1:9">
      <c r="A5894" s="1" t="str">
        <f>"411327199411191126"</f>
        <v>411327199411191126</v>
      </c>
      <c r="B5894" s="1" t="str">
        <f t="shared" ref="B5894:B5896" si="2966">"群众"</f>
        <v>群众</v>
      </c>
      <c r="C5894" s="1" t="str">
        <f t="shared" ref="C5894:C5897" si="2967">"专科"</f>
        <v>专科</v>
      </c>
      <c r="D5894" s="1" t="str">
        <f>"2015-07-01"</f>
        <v>2015-07-01</v>
      </c>
      <c r="E5894" s="1" t="str">
        <f>"南阳医学高等专科学校"</f>
        <v>南阳医学高等专科学校</v>
      </c>
      <c r="F5894" s="1" t="str">
        <f t="shared" ref="F5894:F5897" si="2968">"护理"</f>
        <v>护理</v>
      </c>
      <c r="G5894" s="1" t="str">
        <f>"河南省南阳市内乡县湍东镇"</f>
        <v>河南省南阳市内乡县湍东镇</v>
      </c>
      <c r="H5894" s="1" t="str">
        <f>"护士资格证"</f>
        <v>护士资格证</v>
      </c>
      <c r="I5894" s="1" t="str">
        <f>"2013.09 -2015.07在南阳医学高等专科学校学习。
2015.07-2023.12待业
2023.12至今在内乡县妇幼保健院工作。"</f>
        <v>2013.09 -2015.07在南阳医学高等专科学校学习。
2015.07-2023.12待业
2023.12至今在内乡县妇幼保健院工作。</v>
      </c>
    </row>
    <row r="5895" spans="1:9">
      <c r="A5895" s="1" t="str">
        <f>"411327200211221146"</f>
        <v>411327200211221146</v>
      </c>
      <c r="B5895" s="1" t="str">
        <f t="shared" si="2966"/>
        <v>群众</v>
      </c>
      <c r="C5895" s="1" t="str">
        <f t="shared" si="2965"/>
        <v>本科</v>
      </c>
      <c r="D5895" s="1" t="str">
        <f>"2025-06-25"</f>
        <v>2025-06-25</v>
      </c>
      <c r="E5895" s="1" t="str">
        <f>"郑州西亚斯学院"</f>
        <v>郑州西亚斯学院</v>
      </c>
      <c r="F5895" s="1" t="str">
        <f t="shared" si="2968"/>
        <v>护理</v>
      </c>
      <c r="G5895" s="1" t="str">
        <f>"河南省南阳市内乡县赤眉镇朱陈村朱庄组"</f>
        <v>河南省南阳市内乡县赤眉镇朱陈村朱庄组</v>
      </c>
      <c r="H5895" s="1" t="str">
        <f>"护士资格证"</f>
        <v>护士资格证</v>
      </c>
      <c r="I5895" s="1" t="str">
        <f>"20210901——20250625郑州西亚斯大学全日制本科就读护理专业
20190901——20210701内乡县一高就读高中
20160901——20190701赤眉镇二中就读初中
20100901——20160701朱陈中心小学就读小学"</f>
        <v>20210901——20250625郑州西亚斯大学全日制本科就读护理专业
20190901——20210701内乡县一高就读高中
20160901——20190701赤眉镇二中就读初中
20100901——20160701朱陈中心小学就读小学</v>
      </c>
    </row>
    <row r="5896" spans="1:9">
      <c r="A5896" s="1" t="str">
        <f>"411327200410040620"</f>
        <v>411327200410040620</v>
      </c>
      <c r="B5896" s="1" t="str">
        <f t="shared" si="2966"/>
        <v>群众</v>
      </c>
      <c r="C5896" s="1" t="str">
        <f t="shared" si="2967"/>
        <v>专科</v>
      </c>
      <c r="D5896" s="1" t="str">
        <f>"20250701"</f>
        <v>20250701</v>
      </c>
      <c r="E5896" s="1" t="str">
        <f>"南阳职业学院"</f>
        <v>南阳职业学院</v>
      </c>
      <c r="F5896" s="1" t="str">
        <f>"中药学"</f>
        <v>中药学</v>
      </c>
      <c r="G5896" s="1" t="str">
        <f>"河南省南阳市内乡县南湖湾"</f>
        <v>河南省南阳市内乡县南湖湾</v>
      </c>
      <c r="H5896" s="1" t="str">
        <f>"职业技能等级证书中药炮制工三级"</f>
        <v>职业技能等级证书中药炮制工三级</v>
      </c>
      <c r="I5896" s="1" t="str">
        <f>"202009-202507南阳职业学院仲景中医药与健康学院中药学就读是全日制学历"</f>
        <v>202009-202507南阳职业学院仲景中医药与健康学院中药学就读是全日制学历</v>
      </c>
    </row>
    <row r="5897" spans="1:9">
      <c r="A5897" s="1" t="str">
        <f>"411324200308063229"</f>
        <v>411324200308063229</v>
      </c>
      <c r="B5897" s="1" t="str">
        <f t="shared" ref="B5897:B5899" si="2969">"共青团员"</f>
        <v>共青团员</v>
      </c>
      <c r="C5897" s="1" t="str">
        <f t="shared" si="2967"/>
        <v>专科</v>
      </c>
      <c r="D5897" s="1" t="str">
        <f>"20240610"</f>
        <v>20240610</v>
      </c>
      <c r="E5897" s="1" t="str">
        <f>"漯河医学高等专科学校"</f>
        <v>漯河医学高等专科学校</v>
      </c>
      <c r="F5897" s="1" t="str">
        <f t="shared" si="2968"/>
        <v>护理</v>
      </c>
      <c r="G5897" s="1" t="str">
        <f>"河南省南阳市镇平县枣园镇枣园村"</f>
        <v>河南省南阳市镇平县枣园镇枣园村</v>
      </c>
      <c r="H5897" s="1" t="str">
        <f>"护士资格证初级"</f>
        <v>护士资格证初级</v>
      </c>
      <c r="I5897" s="1" t="str">
        <f>"202109-202406在漯河医学高等专科学校护理系护理专业就读，是全日制学历。
(202306-202402在张家港市第六人民医院实习八个月)"</f>
        <v>202109-202406在漯河医学高等专科学校护理系护理专业就读，是全日制学历。
(202306-202402在张家港市第六人民医院实习八个月)</v>
      </c>
    </row>
    <row r="5898" spans="1:9">
      <c r="A5898" s="1" t="str">
        <f>"411324200104120017"</f>
        <v>411324200104120017</v>
      </c>
      <c r="B5898" s="1" t="str">
        <f t="shared" si="2969"/>
        <v>共青团员</v>
      </c>
      <c r="C5898" s="1" t="str">
        <f>"本科"</f>
        <v>本科</v>
      </c>
      <c r="D5898" s="1" t="str">
        <f>"20230630"</f>
        <v>20230630</v>
      </c>
      <c r="E5898" s="1" t="str">
        <f>"佳木斯大学"</f>
        <v>佳木斯大学</v>
      </c>
      <c r="F5898" s="1" t="str">
        <f>"医学检验技术"</f>
        <v>医学检验技术</v>
      </c>
      <c r="G5898" s="1" t="str">
        <f>"河南省南阳市镇平县西关北后街"</f>
        <v>河南省南阳市镇平县西关北后街</v>
      </c>
      <c r="H5898" s="1" t="str">
        <f>"临床医学检验初级检验师"</f>
        <v>临床医学检验初级检验师</v>
      </c>
      <c r="I5898" s="1" t="str">
        <f>"201909-202306就读于佳木斯大学
202307-202410在方城公安康复医院
202410-202507在镇平县人民医院待业"</f>
        <v>201909-202306就读于佳木斯大学
202307-202410在方城公安康复医院
202410-202507在镇平县人民医院待业</v>
      </c>
    </row>
    <row r="5899" spans="1:9">
      <c r="A5899" s="1" t="str">
        <f>"411324200409250015"</f>
        <v>411324200409250015</v>
      </c>
      <c r="B5899" s="1" t="str">
        <f t="shared" si="2969"/>
        <v>共青团员</v>
      </c>
      <c r="C5899" s="1" t="str">
        <f t="shared" ref="C5899:C5904" si="2970">"专科"</f>
        <v>专科</v>
      </c>
      <c r="D5899" s="1" t="str">
        <f>"20250628"</f>
        <v>20250628</v>
      </c>
      <c r="E5899" s="1" t="str">
        <f>"南阳医学高等专科学校"</f>
        <v>南阳医学高等专科学校</v>
      </c>
      <c r="F5899" s="1" t="str">
        <f>"临床医学"</f>
        <v>临床医学</v>
      </c>
      <c r="G5899" s="1" t="str">
        <f>"河南省南阳市镇平县"</f>
        <v>河南省南阳市镇平县</v>
      </c>
      <c r="H5899" s="1" t="str">
        <f>"保健按摩师脊柱按摩师三级/高级工"</f>
        <v>保健按摩师脊柱按摩师三级/高级工</v>
      </c>
      <c r="I5899" s="1" t="str">
        <f>"202209-202506在南阳医学高等专科学校国际教育学院临床医学专业就读，全日制大专。在此期间完成外科学、内科学、生理学、解剖学、药理学、急诊医学等相关专业的学习。
202406-202503于南阳市中心医院实习学习，期间轮转普外科、神经内科、肿瘤科、耳鼻喉科、儿科、妇科、急诊科等相关科室，并参与手术、书写病历、问诊等相关工作。
本人具备扎实的医学专业基础，熟悉公共卫生领域工作流程，在实习中培养了较强的责任心与服务意识，性格严谨细致，善于沟通协调，渴望在医疗相关岗位中发挥专业优势，践行社会责任。"</f>
        <v>202209-202506在南阳医学高等专科学校国际教育学院临床医学专业就读，全日制大专。在此期间完成外科学、内科学、生理学、解剖学、药理学、急诊医学等相关专业的学习。
202406-202503于南阳市中心医院实习学习，期间轮转普外科、神经内科、肿瘤科、耳鼻喉科、儿科、妇科、急诊科等相关科室，并参与手术、书写病历、问诊等相关工作。
本人具备扎实的医学专业基础，熟悉公共卫生领域工作流程，在实习中培养了较强的责任心与服务意识，性格严谨细致，善于沟通协调，渴望在医疗相关岗位中发挥专业优势，践行社会责任。</v>
      </c>
    </row>
    <row r="5900" spans="1:9">
      <c r="A5900" s="1" t="str">
        <f>"411327200205120015"</f>
        <v>411327200205120015</v>
      </c>
      <c r="B5900" s="1" t="str">
        <f t="shared" ref="B5900:B5902" si="2971">"群众"</f>
        <v>群众</v>
      </c>
      <c r="C5900" s="1" t="str">
        <f>"本科"</f>
        <v>本科</v>
      </c>
      <c r="D5900" s="1" t="str">
        <f>"2025.06.13"</f>
        <v>2025.06.13</v>
      </c>
      <c r="E5900" s="1" t="str">
        <f>"新乡医学院三全学院"</f>
        <v>新乡医学院三全学院</v>
      </c>
      <c r="F5900" s="1" t="str">
        <f>"护理学"</f>
        <v>护理学</v>
      </c>
      <c r="G5900" s="1" t="str">
        <f>"河南省南阳市内乡县黉学阳光小区"</f>
        <v>河南省南阳市内乡县黉学阳光小区</v>
      </c>
      <c r="H5900" s="1" t="str">
        <f>"护士资格证"</f>
        <v>护士资格证</v>
      </c>
      <c r="I5900" s="1" t="str">
        <f>"2021.09-2025.06就读于新乡医学院三全学院本科护理学专业
2025.06至今待业"</f>
        <v>2021.09-2025.06就读于新乡医学院三全学院本科护理学专业
2025.06至今待业</v>
      </c>
    </row>
    <row r="5901" spans="1:9">
      <c r="A5901" s="1" t="str">
        <f>"411327200408021527"</f>
        <v>411327200408021527</v>
      </c>
      <c r="B5901" s="1" t="str">
        <f t="shared" si="2971"/>
        <v>群众</v>
      </c>
      <c r="C5901" s="1" t="str">
        <f t="shared" si="2970"/>
        <v>专科</v>
      </c>
      <c r="D5901" s="1" t="str">
        <f>"2023年7月1日"</f>
        <v>2023年7月1日</v>
      </c>
      <c r="E5901" s="1" t="str">
        <f>"南阳医学高等专科学校"</f>
        <v>南阳医学高等专科学校</v>
      </c>
      <c r="F5901" s="1" t="str">
        <f>"卫生信息管理"</f>
        <v>卫生信息管理</v>
      </c>
      <c r="G5901" s="1" t="str">
        <f>"河南省南阳市内乡县湍东镇张岗村3组"</f>
        <v>河南省南阳市内乡县湍东镇张岗村3组</v>
      </c>
      <c r="H5901" s="1" t="str">
        <f t="shared" ref="H5901:H5905" si="2972">"无"</f>
        <v>无</v>
      </c>
      <c r="I5901" s="1" t="str">
        <f>"201809-202307，在南阳医学高等专科学校，卫生信息管理系就读，是全日制学历"</f>
        <v>201809-202307，在南阳医学高等专科学校，卫生信息管理系就读，是全日制学历</v>
      </c>
    </row>
    <row r="5902" spans="1:9">
      <c r="A5902" s="1" t="str">
        <f>"411324200211302828"</f>
        <v>411324200211302828</v>
      </c>
      <c r="B5902" s="1" t="str">
        <f t="shared" si="2971"/>
        <v>群众</v>
      </c>
      <c r="C5902" s="1" t="str">
        <f t="shared" si="2970"/>
        <v>专科</v>
      </c>
      <c r="D5902" s="1" t="str">
        <f>"20240701"</f>
        <v>20240701</v>
      </c>
      <c r="E5902" s="1" t="str">
        <f>"平顶山工业职业技术学院"</f>
        <v>平顶山工业职业技术学院</v>
      </c>
      <c r="F5902" s="1" t="str">
        <f t="shared" ref="F5902:F5907" si="2973">"护理"</f>
        <v>护理</v>
      </c>
      <c r="G5902" s="1" t="str">
        <f>"河南省南阳市镇平县卢医镇周堂村"</f>
        <v>河南省南阳市镇平县卢医镇周堂村</v>
      </c>
      <c r="H5902" s="1" t="str">
        <f>"护士资格证，护士执业资格证"</f>
        <v>护士资格证，护士执业资格证</v>
      </c>
      <c r="I5902" s="1" t="str">
        <f>"202109-202407于平顶山工业职业技术学院护理学院护理专业就读，全日制专科学历；毕业后居家自主学习备考医院，于2024年10就职于镇平四季医院内科护士岗位，2025年7月辞职至今居家备考中。"</f>
        <v>202109-202407于平顶山工业职业技术学院护理学院护理专业就读，全日制专科学历；毕业后居家自主学习备考医院，于2024年10就职于镇平四季医院内科护士岗位，2025年7月辞职至今居家备考中。</v>
      </c>
    </row>
    <row r="5903" spans="1:9">
      <c r="A5903" s="1" t="str">
        <f>"41138120000817352X"</f>
        <v>41138120000817352X</v>
      </c>
      <c r="B5903" s="1" t="str">
        <f t="shared" ref="B5903:B5905" si="2974">"共青团员"</f>
        <v>共青团员</v>
      </c>
      <c r="C5903" s="1" t="str">
        <f t="shared" si="2970"/>
        <v>专科</v>
      </c>
      <c r="D5903" s="1" t="str">
        <f>"20250607"</f>
        <v>20250607</v>
      </c>
      <c r="E5903" s="1" t="str">
        <f>"许昌学院"</f>
        <v>许昌学院</v>
      </c>
      <c r="F5903" s="1" t="str">
        <f>"医学检验技术"</f>
        <v>医学检验技术</v>
      </c>
      <c r="G5903" s="1" t="str">
        <f>"河南省南阳市邓州市赵集镇穆王村"</f>
        <v>河南省南阳市邓州市赵集镇穆王村</v>
      </c>
      <c r="H5903" s="1" t="str">
        <f t="shared" si="2972"/>
        <v>无</v>
      </c>
      <c r="I5903" s="1" t="str">
        <f>"202209-202506许昌学院医学系医学检验技术就读，是全日制学历"</f>
        <v>202209-202506许昌学院医学系医学检验技术就读，是全日制学历</v>
      </c>
    </row>
    <row r="5904" spans="1:9">
      <c r="A5904" s="1" t="str">
        <f>"411303200304230104"</f>
        <v>411303200304230104</v>
      </c>
      <c r="B5904" s="1" t="str">
        <f t="shared" si="2974"/>
        <v>共青团员</v>
      </c>
      <c r="C5904" s="1" t="str">
        <f t="shared" si="2970"/>
        <v>专科</v>
      </c>
      <c r="D5904" s="1" t="str">
        <f>"20240607"</f>
        <v>20240607</v>
      </c>
      <c r="E5904" s="1" t="str">
        <f>"郑州工业应用技术学院"</f>
        <v>郑州工业应用技术学院</v>
      </c>
      <c r="F5904" s="1" t="str">
        <f t="shared" si="2973"/>
        <v>护理</v>
      </c>
      <c r="G5904" s="1" t="str">
        <f>"河南省南阳市卧龙区"</f>
        <v>河南省南阳市卧龙区</v>
      </c>
      <c r="H5904" s="1" t="str">
        <f>"护士执业资格证"</f>
        <v>护士执业资格证</v>
      </c>
      <c r="I5904" s="1" t="str">
        <f>"202109-202406郑州工业应用技术学院医学院护理系就读，全日制学历"</f>
        <v>202109-202406郑州工业应用技术学院医学院护理系就读，全日制学历</v>
      </c>
    </row>
    <row r="5905" spans="1:9">
      <c r="A5905" s="1" t="str">
        <f>"411321200501020416"</f>
        <v>411321200501020416</v>
      </c>
      <c r="B5905" s="1" t="str">
        <f t="shared" si="2974"/>
        <v>共青团员</v>
      </c>
      <c r="C5905" s="1" t="str">
        <f t="shared" ref="C5905:C5908" si="2975">"本科"</f>
        <v>本科</v>
      </c>
      <c r="D5905" s="1" t="str">
        <f>"2025-07-01"</f>
        <v>2025-07-01</v>
      </c>
      <c r="E5905" s="1" t="str">
        <f>"牡丹江医科大学"</f>
        <v>牡丹江医科大学</v>
      </c>
      <c r="F5905" s="1" t="str">
        <f>"医学检验技术"</f>
        <v>医学检验技术</v>
      </c>
      <c r="G5905" s="1" t="str">
        <f>"南召县第一高级中学"</f>
        <v>南召县第一高级中学</v>
      </c>
      <c r="H5905" s="1" t="str">
        <f t="shared" si="2972"/>
        <v>无</v>
      </c>
      <c r="I5905" s="1" t="str">
        <f>"2021年9月-2025年7月在牡丹江医科大学就读"</f>
        <v>2021年9月-2025年7月在牡丹江医科大学就读</v>
      </c>
    </row>
    <row r="5906" spans="1:9">
      <c r="A5906" s="1" t="str">
        <f>"411327199609291528"</f>
        <v>411327199609291528</v>
      </c>
      <c r="B5906" s="1" t="str">
        <f t="shared" ref="B5906:B5910" si="2976">"群众"</f>
        <v>群众</v>
      </c>
      <c r="C5906" s="1" t="str">
        <f t="shared" si="2975"/>
        <v>本科</v>
      </c>
      <c r="D5906" s="1" t="str">
        <f>"20180701"</f>
        <v>20180701</v>
      </c>
      <c r="E5906" s="1" t="str">
        <f>"郑州工业应用技术学院"</f>
        <v>郑州工业应用技术学院</v>
      </c>
      <c r="F5906" s="1" t="str">
        <f>"护理学"</f>
        <v>护理学</v>
      </c>
      <c r="G5906" s="1" t="str">
        <f>"内乡县湍东镇柏树园"</f>
        <v>内乡县湍东镇柏树园</v>
      </c>
      <c r="H5906" s="1" t="str">
        <f>"专业技术人员职业资格证书初级和护士执业证书"</f>
        <v>专业技术人员职业资格证书初级和护士执业证书</v>
      </c>
      <c r="I5906" s="1" t="str">
        <f>"201409-201806 郑州工业应用技术学院（原华信学院）护理系护理学专业就读，全日制；
201806-201809 待业
201809-至今 工作于内乡县第六小学"</f>
        <v>201409-201806 郑州工业应用技术学院（原华信学院）护理系护理学专业就读，全日制；
201806-201809 待业
201809-至今 工作于内乡县第六小学</v>
      </c>
    </row>
    <row r="5907" spans="1:9">
      <c r="A5907" s="1" t="str">
        <f>"411381200008195622"</f>
        <v>411381200008195622</v>
      </c>
      <c r="B5907" s="1" t="str">
        <f t="shared" si="2976"/>
        <v>群众</v>
      </c>
      <c r="C5907" s="1" t="str">
        <f t="shared" ref="C5907:C5913" si="2977">"专科"</f>
        <v>专科</v>
      </c>
      <c r="D5907" s="1" t="str">
        <f>"20220701"</f>
        <v>20220701</v>
      </c>
      <c r="E5907" s="1" t="str">
        <f>"洛阳职业技术学院"</f>
        <v>洛阳职业技术学院</v>
      </c>
      <c r="F5907" s="1" t="str">
        <f t="shared" si="2973"/>
        <v>护理</v>
      </c>
      <c r="G5907" s="1" t="str">
        <f>"河南省南阳市内乡县"</f>
        <v>河南省南阳市内乡县</v>
      </c>
      <c r="H5907" s="1" t="str">
        <f>"护理学 初级（士）"</f>
        <v>护理学 初级（士）</v>
      </c>
      <c r="I5907" s="1" t="str">
        <f>"202109-202207  洛阳职业技术学院 护理专业 全日制"</f>
        <v>202109-202207  洛阳职业技术学院 护理专业 全日制</v>
      </c>
    </row>
    <row r="5908" spans="1:9">
      <c r="A5908" s="1" t="str">
        <f>"411326200101230045"</f>
        <v>411326200101230045</v>
      </c>
      <c r="B5908" s="1" t="str">
        <f t="shared" ref="B5908:B5911" si="2978">"共青团员"</f>
        <v>共青团员</v>
      </c>
      <c r="C5908" s="1" t="str">
        <f t="shared" si="2975"/>
        <v>本科</v>
      </c>
      <c r="D5908" s="1" t="str">
        <f>"2023.7"</f>
        <v>2023.7</v>
      </c>
      <c r="E5908" s="1" t="str">
        <f>"黄河科技学院"</f>
        <v>黄河科技学院</v>
      </c>
      <c r="F5908" s="1" t="str">
        <f>"药物制剂"</f>
        <v>药物制剂</v>
      </c>
      <c r="G5908" s="1" t="str">
        <f>"南召县黄洋路靳家拐"</f>
        <v>南召县黄洋路靳家拐</v>
      </c>
      <c r="H5908" s="1" t="str">
        <f t="shared" ref="H5908:H5911" si="2979">"无"</f>
        <v>无</v>
      </c>
      <c r="I5908" s="1" t="str">
        <f>"2019.09-2023.07在黄河科技学院医学院药学系药物制剂专业就读 全日制
"</f>
        <v>2019.09-2023.07在黄河科技学院医学院药学系药物制剂专业就读 全日制
</v>
      </c>
    </row>
    <row r="5909" spans="1:9">
      <c r="A5909" s="1" t="str">
        <f>"411522200208217057"</f>
        <v>411522200208217057</v>
      </c>
      <c r="B5909" s="1" t="str">
        <f t="shared" si="2978"/>
        <v>共青团员</v>
      </c>
      <c r="C5909" s="1" t="str">
        <f t="shared" si="2977"/>
        <v>专科</v>
      </c>
      <c r="D5909" s="1" t="str">
        <f>"20240625"</f>
        <v>20240625</v>
      </c>
      <c r="E5909" s="1" t="str">
        <f>"天津医学高等专科学校"</f>
        <v>天津医学高等专科学校</v>
      </c>
      <c r="F5909" s="1" t="str">
        <f>"药物制剂技术"</f>
        <v>药物制剂技术</v>
      </c>
      <c r="G5909" s="1" t="str">
        <f>"河南省信阳市光山县寨河镇张围孜村"</f>
        <v>河南省信阳市光山县寨河镇张围孜村</v>
      </c>
      <c r="H5909" s="1" t="str">
        <f t="shared" si="2979"/>
        <v>无</v>
      </c>
      <c r="I5909" s="1" t="str">
        <f>"202109-202406在天津医学高等专科学校药学与医学检验技术系药物制剂技术学习 全日制学历
"</f>
        <v>202109-202406在天津医学高等专科学校药学与医学检验技术系药物制剂技术学习 全日制学历
</v>
      </c>
    </row>
    <row r="5910" spans="1:9">
      <c r="A5910" s="1" t="str">
        <f>"411323199905131435"</f>
        <v>411323199905131435</v>
      </c>
      <c r="B5910" s="1" t="str">
        <f t="shared" si="2976"/>
        <v>群众</v>
      </c>
      <c r="C5910" s="1" t="str">
        <f t="shared" si="2977"/>
        <v>专科</v>
      </c>
      <c r="D5910" s="1" t="str">
        <f>"20220701"</f>
        <v>20220701</v>
      </c>
      <c r="E5910" s="1" t="str">
        <f>"洛阳职业技术学院"</f>
        <v>洛阳职业技术学院</v>
      </c>
      <c r="F5910" s="1" t="str">
        <f>"中医学"</f>
        <v>中医学</v>
      </c>
      <c r="G5910" s="1" t="str">
        <f>"河南省南阳市淅川县西簧乡"</f>
        <v>河南省南阳市淅川县西簧乡</v>
      </c>
      <c r="H5910" s="1" t="str">
        <f t="shared" si="2979"/>
        <v>无</v>
      </c>
      <c r="I5910" s="1" t="str">
        <f>"201909—202207 洛阳职业技术学院 医学院中医学专业 就读 全日制学历"</f>
        <v>201909—202207 洛阳职业技术学院 医学院中医学专业 就读 全日制学历</v>
      </c>
    </row>
    <row r="5911" spans="1:9">
      <c r="A5911" s="1" t="str">
        <f>"411303200403310097"</f>
        <v>411303200403310097</v>
      </c>
      <c r="B5911" s="1" t="str">
        <f t="shared" si="2978"/>
        <v>共青团员</v>
      </c>
      <c r="C5911" s="1" t="str">
        <f t="shared" si="2977"/>
        <v>专科</v>
      </c>
      <c r="D5911" s="1" t="str">
        <f>"20250630"</f>
        <v>20250630</v>
      </c>
      <c r="E5911" s="1" t="str">
        <f>"桂林生命与健康职业技术学院"</f>
        <v>桂林生命与健康职业技术学院</v>
      </c>
      <c r="F5911" s="1" t="str">
        <f>"药学"</f>
        <v>药学</v>
      </c>
      <c r="G5911" s="1" t="str">
        <f>"河南省南阳市卧龙区桃园社区老牛奶厂家属院一单元三楼西户"</f>
        <v>河南省南阳市卧龙区桃园社区老牛奶厂家属院一单元三楼西户</v>
      </c>
      <c r="H5911" s="1" t="str">
        <f t="shared" si="2979"/>
        <v>无</v>
      </c>
      <c r="I5911" s="1" t="str">
        <f>"202209-202506 桂林生命与健康职业技术学院 药学院药学就读
202506-至今 待业"</f>
        <v>202209-202506 桂林生命与健康职业技术学院 药学院药学就读
202506-至今 待业</v>
      </c>
    </row>
    <row r="5912" spans="1:9">
      <c r="A5912" s="1" t="str">
        <f>"411324200111242442"</f>
        <v>411324200111242442</v>
      </c>
      <c r="B5912" s="1" t="str">
        <f t="shared" ref="B5912:B5916" si="2980">"群众"</f>
        <v>群众</v>
      </c>
      <c r="C5912" s="1" t="str">
        <f t="shared" si="2977"/>
        <v>专科</v>
      </c>
      <c r="D5912" s="1" t="str">
        <f>"2023-07"</f>
        <v>2023-07</v>
      </c>
      <c r="E5912" s="1" t="str">
        <f>"漯河医学高等专科学校"</f>
        <v>漯河医学高等专科学校</v>
      </c>
      <c r="F5912" s="1" t="str">
        <f>"临床医学"</f>
        <v>临床医学</v>
      </c>
      <c r="G5912" s="1" t="str">
        <f>"河南省南阳市镇平县高丘镇"</f>
        <v>河南省南阳市镇平县高丘镇</v>
      </c>
      <c r="H5912" s="1" t="str">
        <f>"执业（助理）医师执业证书"</f>
        <v>执业（助理）医师执业证书</v>
      </c>
      <c r="I5912" s="1" t="str">
        <f>"2020-09到2023-07在漯河医学高等专科学校  临床医学专业就读     全日制学历
2023-08   到2025-8在内乡县人民医院助理全科规范化培训"</f>
        <v>2020-09到2023-07在漯河医学高等专科学校  临床医学专业就读     全日制学历
2023-08   到2025-8在内乡县人民医院助理全科规范化培训</v>
      </c>
    </row>
    <row r="5913" spans="1:9">
      <c r="A5913" s="1" t="str">
        <f>"411326200306155528"</f>
        <v>411326200306155528</v>
      </c>
      <c r="B5913" s="1" t="str">
        <f t="shared" ref="B5913:B5918" si="2981">"共青团员"</f>
        <v>共青团员</v>
      </c>
      <c r="C5913" s="1" t="str">
        <f t="shared" si="2977"/>
        <v>专科</v>
      </c>
      <c r="D5913" s="1" t="str">
        <f>"20240607"</f>
        <v>20240607</v>
      </c>
      <c r="E5913" s="1" t="str">
        <f>"襄阳职业技术学院"</f>
        <v>襄阳职业技术学院</v>
      </c>
      <c r="F5913" s="1" t="str">
        <f>"临床医学"</f>
        <v>临床医学</v>
      </c>
      <c r="G5913" s="1" t="str">
        <f>"河南省南阳市南召县"</f>
        <v>河南省南阳市南召县</v>
      </c>
      <c r="H5913" s="1" t="str">
        <f t="shared" ref="H5913:H5917" si="2982">"无"</f>
        <v>无</v>
      </c>
      <c r="I5913" s="1" t="str">
        <f>"202109-202406  襄阳职业技术学院就读"</f>
        <v>202109-202406  襄阳职业技术学院就读</v>
      </c>
    </row>
    <row r="5914" spans="1:9">
      <c r="A5914" s="1" t="str">
        <f>"342224199406200313"</f>
        <v>342224199406200313</v>
      </c>
      <c r="B5914" s="1" t="str">
        <f t="shared" si="2980"/>
        <v>群众</v>
      </c>
      <c r="C5914" s="1" t="str">
        <f t="shared" ref="C5914:C5921" si="2983">"本科"</f>
        <v>本科</v>
      </c>
      <c r="D5914" s="1" t="str">
        <f>"20180701"</f>
        <v>20180701</v>
      </c>
      <c r="E5914" s="1" t="str">
        <f>"莆田学院"</f>
        <v>莆田学院</v>
      </c>
      <c r="F5914" s="1" t="str">
        <f t="shared" ref="F5914:F5918" si="2984">"医学检验技术"</f>
        <v>医学检验技术</v>
      </c>
      <c r="G5914" s="1" t="str">
        <f>"安徽省灵璧县"</f>
        <v>安徽省灵璧县</v>
      </c>
      <c r="H5914" s="1" t="str">
        <f>"初级检验师"</f>
        <v>初级检验师</v>
      </c>
      <c r="I5914" s="1" t="str">
        <f>"2014.09-2018.7 莆田学院 学生 
201409-201807 莆田学院 药学与医学检验技术院系医学检验技术专业就读 全日制
201807-201907  福州迪安诊断 检验技术员
201907-202011 合肥微创骨科医院 检验技术员 
202011-202205 千麦 检验技术员
202205-至今 待业
"</f>
        <v>2014.09-2018.7 莆田学院 学生 
201409-201807 莆田学院 药学与医学检验技术院系医学检验技术专业就读 全日制
201807-201907  福州迪安诊断 检验技术员
201907-202011 合肥微创骨科医院 检验技术员 
202011-202205 千麦 检验技术员
202205-至今 待业
</v>
      </c>
    </row>
    <row r="5915" spans="1:9">
      <c r="A5915" s="1" t="str">
        <f>"411330200205164067"</f>
        <v>411330200205164067</v>
      </c>
      <c r="B5915" s="1" t="str">
        <f t="shared" si="2980"/>
        <v>群众</v>
      </c>
      <c r="C5915" s="1" t="str">
        <f t="shared" si="2983"/>
        <v>本科</v>
      </c>
      <c r="D5915" s="1" t="str">
        <f>"20250701"</f>
        <v>20250701</v>
      </c>
      <c r="E5915" s="1" t="str">
        <f>"新乡医学院三全学院"</f>
        <v>新乡医学院三全学院</v>
      </c>
      <c r="F5915" s="1" t="str">
        <f t="shared" si="2984"/>
        <v>医学检验技术</v>
      </c>
      <c r="G5915" s="1" t="str">
        <f>"河南省南阳市"</f>
        <v>河南省南阳市</v>
      </c>
      <c r="H5915" s="1" t="str">
        <f t="shared" si="2982"/>
        <v>无</v>
      </c>
      <c r="I5915" s="1" t="str">
        <f>"202009-202306在信阳职业技术学院医学检验专业就读，是全日制，后于202309-202507继续到新乡医学院三全学院医学检验专业就读本科，全日制。"</f>
        <v>202009-202306在信阳职业技术学院医学检验专业就读，是全日制，后于202309-202507继续到新乡医学院三全学院医学检验专业就读本科，全日制。</v>
      </c>
    </row>
    <row r="5916" spans="1:9">
      <c r="A5916" s="1" t="str">
        <f>"411327199908163147"</f>
        <v>411327199908163147</v>
      </c>
      <c r="B5916" s="1" t="str">
        <f t="shared" si="2980"/>
        <v>群众</v>
      </c>
      <c r="C5916" s="1" t="str">
        <f>"专科"</f>
        <v>专科</v>
      </c>
      <c r="D5916" s="1" t="str">
        <f>"20230706"</f>
        <v>20230706</v>
      </c>
      <c r="E5916" s="1" t="str">
        <f>"河南应用技术职业学院"</f>
        <v>河南应用技术职业学院</v>
      </c>
      <c r="F5916" s="1" t="str">
        <f>"护理"</f>
        <v>护理</v>
      </c>
      <c r="G5916" s="1" t="str">
        <f>"南阳市内乡县夏馆镇"</f>
        <v>南阳市内乡县夏馆镇</v>
      </c>
      <c r="H5916" s="1" t="str">
        <f>"执业证"</f>
        <v>执业证</v>
      </c>
      <c r="I5916" s="1" t="str">
        <f>"202009-202307护理专业河南应用技术职业学院
201709-202007护理专业河南中医药学校"</f>
        <v>202009-202307护理专业河南应用技术职业学院
201709-202007护理专业河南中医药学校</v>
      </c>
    </row>
    <row r="5917" spans="1:9">
      <c r="A5917" s="1" t="str">
        <f>"41130320020512009X"</f>
        <v>41130320020512009X</v>
      </c>
      <c r="B5917" s="1" t="str">
        <f t="shared" si="2981"/>
        <v>共青团员</v>
      </c>
      <c r="C5917" s="1" t="str">
        <f t="shared" si="2983"/>
        <v>本科</v>
      </c>
      <c r="D5917" s="1" t="str">
        <f>"20250701"</f>
        <v>20250701</v>
      </c>
      <c r="E5917" s="1" t="str">
        <f>"新乡医学院"</f>
        <v>新乡医学院</v>
      </c>
      <c r="F5917" s="1" t="str">
        <f>"要学"</f>
        <v>要学</v>
      </c>
      <c r="G5917" s="1" t="str">
        <f>"河南省南阳市卧龙区西华社区"</f>
        <v>河南省南阳市卧龙区西华社区</v>
      </c>
      <c r="H5917" s="1" t="str">
        <f t="shared" si="2982"/>
        <v>无</v>
      </c>
      <c r="I5917" s="1" t="str">
        <f>"202109-202507在新乡医学院药学院药学专业就读，是全日制"</f>
        <v>202109-202507在新乡医学院药学院药学专业就读，是全日制</v>
      </c>
    </row>
    <row r="5918" spans="1:9">
      <c r="A5918" s="1" t="str">
        <f>"140522199909165323"</f>
        <v>140522199909165323</v>
      </c>
      <c r="B5918" s="1" t="str">
        <f t="shared" si="2981"/>
        <v>共青团员</v>
      </c>
      <c r="C5918" s="1" t="str">
        <f t="shared" si="2983"/>
        <v>本科</v>
      </c>
      <c r="D5918" s="1" t="str">
        <f>"2023-06-15"</f>
        <v>2023-06-15</v>
      </c>
      <c r="E5918" s="1" t="str">
        <f>"长治医学院"</f>
        <v>长治医学院</v>
      </c>
      <c r="F5918" s="1" t="str">
        <f t="shared" si="2984"/>
        <v>医学检验技术</v>
      </c>
      <c r="G5918" s="1" t="str">
        <f>"山西省晋城市阳城县凤城镇老窑头村"</f>
        <v>山西省晋城市阳城县凤城镇老窑头村</v>
      </c>
      <c r="H5918" s="1" t="str">
        <f>"卫生专业技术资格临床医学检验技术初级"</f>
        <v>卫生专业技术资格临床医学检验技术初级</v>
      </c>
      <c r="I5918" s="1" t="str">
        <f>"201809-202107 山西卫生健康职业学院 医学检验技术 全日制
202109-202306 长治医学院 医学检验技术 全日制"</f>
        <v>201809-202107 山西卫生健康职业学院 医学检验技术 全日制
202109-202306 长治医学院 医学检验技术 全日制</v>
      </c>
    </row>
    <row r="5919" spans="1:9">
      <c r="A5919" s="1" t="str">
        <f>"411327199602253326"</f>
        <v>411327199602253326</v>
      </c>
      <c r="B5919" s="1" t="str">
        <f t="shared" ref="B5919:B5924" si="2985">"群众"</f>
        <v>群众</v>
      </c>
      <c r="C5919" s="1" t="str">
        <f t="shared" si="2983"/>
        <v>本科</v>
      </c>
      <c r="D5919" s="1" t="str">
        <f>"20200730"</f>
        <v>20200730</v>
      </c>
      <c r="E5919" s="1" t="str">
        <f>"郑州大学"</f>
        <v>郑州大学</v>
      </c>
      <c r="F5919" s="1" t="str">
        <f>"护理学（专升本）"</f>
        <v>护理学（专升本）</v>
      </c>
      <c r="G5919" s="1" t="str">
        <f>"内乡县七里河畔"</f>
        <v>内乡县七里河畔</v>
      </c>
      <c r="H5919" s="1" t="str">
        <f>"护师"</f>
        <v>护师</v>
      </c>
      <c r="I5919" s="1" t="str">
        <f>"201409-201707在南阳医学高等专科学校护理专业就读。（全日制）
201708-201802在郑州颐和医院就业。
201803-202007在郑州大学护理专业完成网络教育本科学习。（非全日制）
"</f>
        <v>201409-201707在南阳医学高等专科学校护理专业就读。（全日制）
201708-201802在郑州颐和医院就业。
201803-202007在郑州大学护理专业完成网络教育本科学习。（非全日制）
</v>
      </c>
    </row>
    <row r="5920" spans="1:9">
      <c r="A5920" s="1" t="str">
        <f>"411381200210064984"</f>
        <v>411381200210064984</v>
      </c>
      <c r="B5920" s="1" t="str">
        <f t="shared" ref="B5920:B5926" si="2986">"共青团员"</f>
        <v>共青团员</v>
      </c>
      <c r="C5920" s="1" t="str">
        <f t="shared" si="2983"/>
        <v>本科</v>
      </c>
      <c r="D5920" s="1" t="str">
        <f>"2025-06-13"</f>
        <v>2025-06-13</v>
      </c>
      <c r="E5920" s="1" t="str">
        <f>"新乡医学院三全学院"</f>
        <v>新乡医学院三全学院</v>
      </c>
      <c r="F5920" s="1" t="str">
        <f>"医学影像技术"</f>
        <v>医学影像技术</v>
      </c>
      <c r="G5920" s="1" t="str">
        <f>"河南省南阳市邓州市文渠乡庙沟村"</f>
        <v>河南省南阳市邓州市文渠乡庙沟村</v>
      </c>
      <c r="H5920" s="1" t="str">
        <f>"放射医学技术（士）"</f>
        <v>放射医学技术（士）</v>
      </c>
      <c r="I5920" s="1" t="str">
        <f>"202009-202306 黄淮学院医学院医学影像技术专业就读 全日制
202309-202506 新乡医学院三全学院羲和书院医学影像技术专业就读 全日制"</f>
        <v>202009-202306 黄淮学院医学院医学影像技术专业就读 全日制
202309-202506 新乡医学院三全学院羲和书院医学影像技术专业就读 全日制</v>
      </c>
    </row>
    <row r="5921" spans="1:9">
      <c r="A5921" s="1" t="str">
        <f>"411324200211012417"</f>
        <v>411324200211012417</v>
      </c>
      <c r="B5921" s="1" t="str">
        <f t="shared" si="2986"/>
        <v>共青团员</v>
      </c>
      <c r="C5921" s="1" t="str">
        <f t="shared" si="2983"/>
        <v>本科</v>
      </c>
      <c r="D5921" s="1" t="str">
        <f>"20250613"</f>
        <v>20250613</v>
      </c>
      <c r="E5921" s="1" t="str">
        <f>"新乡医学院三全学院"</f>
        <v>新乡医学院三全学院</v>
      </c>
      <c r="F5921" s="1" t="str">
        <f>"临床医学"</f>
        <v>临床医学</v>
      </c>
      <c r="G5921" s="1" t="str">
        <f t="shared" ref="G5921:G5925" si="2987">"河南省南阳市内乡县"</f>
        <v>河南省南阳市内乡县</v>
      </c>
      <c r="H5921" s="1" t="str">
        <f t="shared" ref="H5921:H5927" si="2988">"无"</f>
        <v>无</v>
      </c>
      <c r="I5921" s="1" t="str">
        <f>"202009-202506 新乡医学院三全学院临床医学，是全日制学历"</f>
        <v>202009-202506 新乡医学院三全学院临床医学，是全日制学历</v>
      </c>
    </row>
    <row r="5922" spans="1:9">
      <c r="A5922" s="1" t="str">
        <f>"411327200204212030"</f>
        <v>411327200204212030</v>
      </c>
      <c r="B5922" s="1" t="str">
        <f t="shared" si="2985"/>
        <v>群众</v>
      </c>
      <c r="C5922" s="1" t="str">
        <f>"专科"</f>
        <v>专科</v>
      </c>
      <c r="D5922" s="1" t="str">
        <f>"20240620"</f>
        <v>20240620</v>
      </c>
      <c r="E5922" s="1" t="str">
        <f>"漯河医学高等专科学校"</f>
        <v>漯河医学高等专科学校</v>
      </c>
      <c r="F5922" s="1" t="str">
        <f>"中医学"</f>
        <v>中医学</v>
      </c>
      <c r="G5922" s="1" t="str">
        <f>"河南省南阳市内乡县师岗镇"</f>
        <v>河南省南阳市内乡县师岗镇</v>
      </c>
      <c r="H5922" s="1" t="str">
        <f t="shared" si="2988"/>
        <v>无</v>
      </c>
      <c r="I5922" s="1" t="str">
        <f>"202109-202406 漯河医学高等专科学校 中医学 就读 全日制学历"</f>
        <v>202109-202406 漯河医学高等专科学校 中医学 就读 全日制学历</v>
      </c>
    </row>
    <row r="5923" spans="1:9">
      <c r="A5923" s="1" t="str">
        <f>"411327200203160697"</f>
        <v>411327200203160697</v>
      </c>
      <c r="B5923" s="1" t="str">
        <f t="shared" si="2985"/>
        <v>群众</v>
      </c>
      <c r="C5923" s="1" t="str">
        <f t="shared" ref="C5923:C5928" si="2989">"本科"</f>
        <v>本科</v>
      </c>
      <c r="D5923" s="1" t="str">
        <f>"20240701"</f>
        <v>20240701</v>
      </c>
      <c r="E5923" s="1" t="str">
        <f>"山西医科大学汾阳学院"</f>
        <v>山西医科大学汾阳学院</v>
      </c>
      <c r="F5923" s="1" t="str">
        <f>"护理学"</f>
        <v>护理学</v>
      </c>
      <c r="G5923" s="1" t="str">
        <f t="shared" si="2987"/>
        <v>河南省南阳市内乡县</v>
      </c>
      <c r="H5923" s="1" t="str">
        <f>"护士执业证书"</f>
        <v>护士执业证书</v>
      </c>
      <c r="I5923" s="1" t="str">
        <f>"202010-202407山西医科大学汾阳学院护理系护理学就读，全日制"</f>
        <v>202010-202407山西医科大学汾阳学院护理系护理学就读，全日制</v>
      </c>
    </row>
    <row r="5924" spans="1:9">
      <c r="A5924" s="1" t="str">
        <f>"411327199910201528"</f>
        <v>411327199910201528</v>
      </c>
      <c r="B5924" s="1" t="str">
        <f t="shared" si="2985"/>
        <v>群众</v>
      </c>
      <c r="C5924" s="1" t="str">
        <f t="shared" si="2989"/>
        <v>本科</v>
      </c>
      <c r="D5924" s="1" t="str">
        <f>"20210630"</f>
        <v>20210630</v>
      </c>
      <c r="E5924" s="1" t="str">
        <f>"内蒙古民族大学"</f>
        <v>内蒙古民族大学</v>
      </c>
      <c r="F5924" s="1" t="str">
        <f>"医学检验技术"</f>
        <v>医学检验技术</v>
      </c>
      <c r="G5924" s="1" t="str">
        <f>"河南省南阳市内乡县湍东镇罗岗村新房子组"</f>
        <v>河南省南阳市内乡县湍东镇罗岗村新房子组</v>
      </c>
      <c r="H5924" s="1" t="str">
        <f>"临床医学检验技术初级技师资格证"</f>
        <v>临床医学检验技术初级技师资格证</v>
      </c>
      <c r="I5924" s="1" t="str">
        <f>"201709-202106 内蒙古民族大学就读医学检验技术专业
202109-202406  大连医科大学就读神经生物学专业
202407至今在内乡县待业"</f>
        <v>201709-202106 内蒙古民族大学就读医学检验技术专业
202109-202406  大连医科大学就读神经生物学专业
202407至今在内乡县待业</v>
      </c>
    </row>
    <row r="5925" spans="1:9">
      <c r="A5925" s="1" t="str">
        <f>"411325200308103741"</f>
        <v>411325200308103741</v>
      </c>
      <c r="B5925" s="1" t="str">
        <f t="shared" si="2986"/>
        <v>共青团员</v>
      </c>
      <c r="C5925" s="1" t="str">
        <f t="shared" ref="C5925:C5931" si="2990">"专科"</f>
        <v>专科</v>
      </c>
      <c r="D5925" s="1" t="str">
        <f>"20250607"</f>
        <v>20250607</v>
      </c>
      <c r="E5925" s="1" t="str">
        <f>"黄淮学院"</f>
        <v>黄淮学院</v>
      </c>
      <c r="F5925" s="1" t="str">
        <f t="shared" ref="F5925:F5930" si="2991">"护理"</f>
        <v>护理</v>
      </c>
      <c r="G5925" s="1" t="str">
        <f t="shared" si="2987"/>
        <v>河南省南阳市内乡县</v>
      </c>
      <c r="H5925" s="1" t="str">
        <f>"护士执业资格证书"</f>
        <v>护士执业资格证书</v>
      </c>
      <c r="I5925" s="1" t="str">
        <f>"202209-202506在黄淮学院医学院护理专业就读，是全日制学历"</f>
        <v>202209-202506在黄淮学院医学院护理专业就读，是全日制学历</v>
      </c>
    </row>
    <row r="5926" spans="1:9">
      <c r="A5926" s="1" t="str">
        <f>"411327200312044265"</f>
        <v>411327200312044265</v>
      </c>
      <c r="B5926" s="1" t="str">
        <f t="shared" si="2986"/>
        <v>共青团员</v>
      </c>
      <c r="C5926" s="1" t="str">
        <f t="shared" si="2989"/>
        <v>本科</v>
      </c>
      <c r="D5926" s="1" t="str">
        <f>"20250701"</f>
        <v>20250701</v>
      </c>
      <c r="E5926" s="1" t="str">
        <f>"河南中医药大学"</f>
        <v>河南中医药大学</v>
      </c>
      <c r="F5926" s="1" t="str">
        <f>"医学影像技术"</f>
        <v>医学影像技术</v>
      </c>
      <c r="G5926" s="1" t="str">
        <f>"河南省南阳市内乡县余关镇朝阳路156号"</f>
        <v>河南省南阳市内乡县余关镇朝阳路156号</v>
      </c>
      <c r="H5926" s="1" t="str">
        <f t="shared" si="2988"/>
        <v>无</v>
      </c>
      <c r="I5926" s="1" t="str">
        <f>"202109-202507  在河南中医药大学 第二临床医学院 医学影像技术专业就读，全日制本科学历。"</f>
        <v>202109-202507  在河南中医药大学 第二临床医学院 医学影像技术专业就读，全日制本科学历。</v>
      </c>
    </row>
    <row r="5927" spans="1:9">
      <c r="A5927" s="1" t="str">
        <f>"411326199909100010"</f>
        <v>411326199909100010</v>
      </c>
      <c r="B5927" s="1" t="str">
        <f>"中共党员"</f>
        <v>中共党员</v>
      </c>
      <c r="C5927" s="1" t="str">
        <f t="shared" si="2989"/>
        <v>本科</v>
      </c>
      <c r="D5927" s="1" t="str">
        <f>"20250613"</f>
        <v>20250613</v>
      </c>
      <c r="E5927" s="1" t="str">
        <f>"新乡医学院三全学院"</f>
        <v>新乡医学院三全学院</v>
      </c>
      <c r="F5927" s="1" t="str">
        <f>"医学检验技术"</f>
        <v>医学检验技术</v>
      </c>
      <c r="G5927" s="1" t="str">
        <f>"河南省南阳市南召县城关镇古城路24号"</f>
        <v>河南省南阳市南召县城关镇古城路24号</v>
      </c>
      <c r="H5927" s="1" t="str">
        <f t="shared" si="2988"/>
        <v>无</v>
      </c>
      <c r="I5927" s="1" t="str">
        <f>"201809-202009 河南科技职业大学医学院医学检验技术专业 就读
202009-202209 中国人民解放军31627部队45分队 服役
202209-202309 于南召县城关镇古城路24号 备考专升本
202309-202506 新乡医学院三全学院崇德书院医学检验技术专业 就读 
202506-至今于南召县城关镇古城路24号 待业 "</f>
        <v>201809-202009 河南科技职业大学医学院医学检验技术专业 就读
202009-202209 中国人民解放军31627部队45分队 服役
202209-202309 于南召县城关镇古城路24号 备考专升本
202309-202506 新乡医学院三全学院崇德书院医学检验技术专业 就读 
202506-至今于南召县城关镇古城路24号 待业 </v>
      </c>
    </row>
    <row r="5928" spans="1:9">
      <c r="A5928" s="1" t="str">
        <f>"411381200201244262"</f>
        <v>411381200201244262</v>
      </c>
      <c r="B5928" s="1" t="str">
        <f t="shared" ref="B5928:B5930" si="2992">"共青团员"</f>
        <v>共青团员</v>
      </c>
      <c r="C5928" s="1" t="str">
        <f t="shared" si="2989"/>
        <v>本科</v>
      </c>
      <c r="D5928" s="1" t="str">
        <f>"20250606"</f>
        <v>20250606</v>
      </c>
      <c r="E5928" s="1" t="str">
        <f>"河南开封科技传媒学院"</f>
        <v>河南开封科技传媒学院</v>
      </c>
      <c r="F5928" s="1" t="str">
        <f>"护理学"</f>
        <v>护理学</v>
      </c>
      <c r="G5928" s="1" t="str">
        <f>"河南省邓州市十林镇河池村李营"</f>
        <v>河南省邓州市十林镇河池村李营</v>
      </c>
      <c r="H5928" s="1" t="str">
        <f>"护士资格证"</f>
        <v>护士资格证</v>
      </c>
      <c r="I5928" s="1" t="str">
        <f>"202009-202306在漯河医学高等专科学校就读
202309-202506在河南开封科技传媒学院就读"</f>
        <v>202009-202306在漯河医学高等专科学校就读
202309-202506在河南开封科技传媒学院就读</v>
      </c>
    </row>
    <row r="5929" spans="1:9">
      <c r="A5929" s="1" t="str">
        <f>"411327200002254929"</f>
        <v>411327200002254929</v>
      </c>
      <c r="B5929" s="1" t="str">
        <f t="shared" si="2992"/>
        <v>共青团员</v>
      </c>
      <c r="C5929" s="1" t="str">
        <f t="shared" si="2990"/>
        <v>专科</v>
      </c>
      <c r="D5929" s="1" t="str">
        <f>"20220701"</f>
        <v>20220701</v>
      </c>
      <c r="E5929" s="1" t="str">
        <f>"郑州黄河护理职业学院"</f>
        <v>郑州黄河护理职业学院</v>
      </c>
      <c r="F5929" s="1" t="str">
        <f t="shared" si="2991"/>
        <v>护理</v>
      </c>
      <c r="G5929" s="1" t="str">
        <f>"河南省内乡县湍东镇金水港"</f>
        <v>河南省内乡县湍东镇金水港</v>
      </c>
      <c r="H5929" s="1" t="str">
        <f>"护士资格证"</f>
        <v>护士资格证</v>
      </c>
      <c r="I5929" s="1" t="str">
        <f>"201909-202207在郑州黄河护理职业学院护理系就读全日制学历"</f>
        <v>201909-202207在郑州黄河护理职业学院护理系就读全日制学历</v>
      </c>
    </row>
    <row r="5930" spans="1:9">
      <c r="A5930" s="1" t="str">
        <f>"411330200408131126"</f>
        <v>411330200408131126</v>
      </c>
      <c r="B5930" s="1" t="str">
        <f t="shared" si="2992"/>
        <v>共青团员</v>
      </c>
      <c r="C5930" s="1" t="str">
        <f t="shared" si="2990"/>
        <v>专科</v>
      </c>
      <c r="D5930" s="1" t="str">
        <f>"20250628"</f>
        <v>20250628</v>
      </c>
      <c r="E5930" s="1" t="str">
        <f>"南阳医学高等专科学校"</f>
        <v>南阳医学高等专科学校</v>
      </c>
      <c r="F5930" s="1" t="str">
        <f t="shared" si="2991"/>
        <v>护理</v>
      </c>
      <c r="G5930" s="1" t="str">
        <f>"河南省南阳市西峡县"</f>
        <v>河南省南阳市西峡县</v>
      </c>
      <c r="H5930" s="1" t="str">
        <f>"2025141130150304"</f>
        <v>2025141130150304</v>
      </c>
      <c r="I5930" s="1" t="str">
        <f>"202209-202506 南阳医学高等专科学校就读 全日制专科
"</f>
        <v>202209-202506 南阳医学高等专科学校就读 全日制专科
</v>
      </c>
    </row>
    <row r="5931" spans="1:9">
      <c r="A5931" s="1" t="str">
        <f>"411381200004154823"</f>
        <v>411381200004154823</v>
      </c>
      <c r="B5931" s="1" t="str">
        <f t="shared" ref="B5931:B5937" si="2993">"群众"</f>
        <v>群众</v>
      </c>
      <c r="C5931" s="1" t="str">
        <f t="shared" si="2990"/>
        <v>专科</v>
      </c>
      <c r="D5931" s="1" t="str">
        <f>"20210701"</f>
        <v>20210701</v>
      </c>
      <c r="E5931" s="1" t="str">
        <f>"河南科技职业大学"</f>
        <v>河南科技职业大学</v>
      </c>
      <c r="F5931" s="1" t="str">
        <f t="shared" ref="F5931:F5934" si="2994">"药学"</f>
        <v>药学</v>
      </c>
      <c r="G5931" s="1" t="str">
        <f>"河南省南阳市邓州市文渠乡郝楼村"</f>
        <v>河南省南阳市邓州市文渠乡郝楼村</v>
      </c>
      <c r="H5931" s="1" t="str">
        <f>"药学士"</f>
        <v>药学士</v>
      </c>
      <c r="I5931" s="1" t="str">
        <f>"201809-202107河南科技职业大学就读"</f>
        <v>201809-202107河南科技职业大学就读</v>
      </c>
    </row>
    <row r="5932" spans="1:9">
      <c r="A5932" s="1" t="str">
        <f>"34162320030805704X"</f>
        <v>34162320030805704X</v>
      </c>
      <c r="B5932" s="1" t="str">
        <f>"共青团员"</f>
        <v>共青团员</v>
      </c>
      <c r="C5932" s="1" t="str">
        <f>"本科"</f>
        <v>本科</v>
      </c>
      <c r="D5932" s="1" t="str">
        <f>"20250630"</f>
        <v>20250630</v>
      </c>
      <c r="E5932" s="1" t="str">
        <f>"广州中医药大学"</f>
        <v>广州中医药大学</v>
      </c>
      <c r="F5932" s="1" t="str">
        <f>"医学检验技术"</f>
        <v>医学检验技术</v>
      </c>
      <c r="G5932" s="1" t="str">
        <f>"安徽省亳州市利辛县阚疃镇茆庙村东张庄43户"</f>
        <v>安徽省亳州市利辛县阚疃镇茆庙村东张庄43户</v>
      </c>
      <c r="H5932" s="1" t="str">
        <f t="shared" ref="H5932:H5934" si="2995">"无"</f>
        <v>无</v>
      </c>
      <c r="I5932" s="1" t="str">
        <f>"202109-202506  广州中医药大学第二临床医学院医学检验技术专业就读 
                           全日制学历"</f>
        <v>202109-202506  广州中医药大学第二临床医学院医学检验技术专业就读 
                           全日制学历</v>
      </c>
    </row>
    <row r="5933" spans="1:9">
      <c r="A5933" s="1" t="str">
        <f>"411523200310130456"</f>
        <v>411523200310130456</v>
      </c>
      <c r="B5933" s="1" t="str">
        <f t="shared" si="2993"/>
        <v>群众</v>
      </c>
      <c r="C5933" s="1" t="str">
        <f t="shared" ref="C5933:C5937" si="2996">"专科"</f>
        <v>专科</v>
      </c>
      <c r="D5933" s="1" t="str">
        <f>"20240701"</f>
        <v>20240701</v>
      </c>
      <c r="E5933" s="1" t="str">
        <f>"商丘医学高等专科学校"</f>
        <v>商丘医学高等专科学校</v>
      </c>
      <c r="F5933" s="1" t="str">
        <f t="shared" si="2994"/>
        <v>药学</v>
      </c>
      <c r="G5933" s="1" t="str">
        <f>"河南省信阳市新县长潭经济开发区"</f>
        <v>河南省信阳市新县长潭经济开发区</v>
      </c>
      <c r="H5933" s="1" t="str">
        <f t="shared" si="2995"/>
        <v>无</v>
      </c>
      <c r="I5933" s="1" t="str">
        <f>"202109-202406毕业于商丘医学高等专科学校药学院药学专业，全日制学历"</f>
        <v>202109-202406毕业于商丘医学高等专科学校药学院药学专业，全日制学历</v>
      </c>
    </row>
    <row r="5934" spans="1:9">
      <c r="A5934" s="1" t="str">
        <f>"411327200212210027"</f>
        <v>411327200212210027</v>
      </c>
      <c r="B5934" s="1" t="str">
        <f t="shared" ref="B5934:B5939" si="2997">"共青团员"</f>
        <v>共青团员</v>
      </c>
      <c r="C5934" s="1" t="str">
        <f t="shared" si="2996"/>
        <v>专科</v>
      </c>
      <c r="D5934" s="1" t="str">
        <f>"2024610"</f>
        <v>2024610</v>
      </c>
      <c r="E5934" s="1" t="str">
        <f>"南阳医学高等专科学校"</f>
        <v>南阳医学高等专科学校</v>
      </c>
      <c r="F5934" s="1" t="str">
        <f t="shared" si="2994"/>
        <v>药学</v>
      </c>
      <c r="G5934" s="1" t="str">
        <f>"南阳市内乡县城关镇红学村红学西路136号"</f>
        <v>南阳市内乡县城关镇红学村红学西路136号</v>
      </c>
      <c r="H5934" s="1" t="str">
        <f t="shared" si="2995"/>
        <v>无</v>
      </c>
      <c r="I5934" s="1" t="str">
        <f>"2021.9.10-2024.6.10 南阳医学高等专科学校药学系药学专业就读 是全日制学历"</f>
        <v>2021.9.10-2024.6.10 南阳医学高等专科学校药学系药学专业就读 是全日制学历</v>
      </c>
    </row>
    <row r="5935" spans="1:9">
      <c r="A5935" s="1" t="str">
        <f>"411327200105060027"</f>
        <v>411327200105060027</v>
      </c>
      <c r="B5935" s="1" t="str">
        <f t="shared" si="2993"/>
        <v>群众</v>
      </c>
      <c r="C5935" s="1" t="str">
        <f t="shared" si="2996"/>
        <v>专科</v>
      </c>
      <c r="D5935" s="1" t="str">
        <f>"20220701"</f>
        <v>20220701</v>
      </c>
      <c r="E5935" s="1" t="str">
        <f>"许昌职业技术学院"</f>
        <v>许昌职业技术学院</v>
      </c>
      <c r="F5935" s="1" t="str">
        <f>"护理"</f>
        <v>护理</v>
      </c>
      <c r="G5935" s="1" t="str">
        <f>"河南省南阳市"</f>
        <v>河南省南阳市</v>
      </c>
      <c r="H5935" s="1" t="str">
        <f>"护士职业资格证书初级护士"</f>
        <v>护士职业资格证书初级护士</v>
      </c>
      <c r="I5935" s="1" t="str">
        <f>"201909-202207许昌职业技术学院医疗卫生系护理专业就读全日制学历"</f>
        <v>201909-202207许昌职业技术学院医疗卫生系护理专业就读全日制学历</v>
      </c>
    </row>
    <row r="5936" spans="1:9">
      <c r="A5936" s="1" t="str">
        <f>"362424200212250611"</f>
        <v>362424200212250611</v>
      </c>
      <c r="B5936" s="1" t="str">
        <f t="shared" si="2993"/>
        <v>群众</v>
      </c>
      <c r="C5936" s="1" t="str">
        <f t="shared" si="2996"/>
        <v>专科</v>
      </c>
      <c r="D5936" s="1" t="str">
        <f>"20250701"</f>
        <v>20250701</v>
      </c>
      <c r="E5936" s="1" t="str">
        <f>"江西医学高等专科学校"</f>
        <v>江西医学高等专科学校</v>
      </c>
      <c r="F5936" s="1" t="str">
        <f>"临床医学"</f>
        <v>临床医学</v>
      </c>
      <c r="G5936" s="1" t="str">
        <f>"江西省吉安市新干县大洋洲镇"</f>
        <v>江西省吉安市新干县大洋洲镇</v>
      </c>
      <c r="H5936" s="1" t="str">
        <f>"无"</f>
        <v>无</v>
      </c>
      <c r="I5936" s="1" t="str">
        <f>"200909—201506大洋洲中心小学就读
201509—201806大洋洲中学就读
201809—202206新干二中就读
202209—202507在江西医学高等专科学校临床医学院临床医学专业就读且是全日制学历"</f>
        <v>200909—201506大洋洲中心小学就读
201509—201806大洋洲中学就读
201809—202206新干二中就读
202209—202507在江西医学高等专科学校临床医学院临床医学专业就读且是全日制学历</v>
      </c>
    </row>
    <row r="5937" spans="1:9">
      <c r="A5937" s="1" t="str">
        <f>"411330199901160048"</f>
        <v>411330199901160048</v>
      </c>
      <c r="B5937" s="1" t="str">
        <f t="shared" si="2993"/>
        <v>群众</v>
      </c>
      <c r="C5937" s="1" t="str">
        <f t="shared" si="2996"/>
        <v>专科</v>
      </c>
      <c r="D5937" s="1" t="str">
        <f>"20210701"</f>
        <v>20210701</v>
      </c>
      <c r="E5937" s="1" t="str">
        <f>"南阳医专"</f>
        <v>南阳医专</v>
      </c>
      <c r="F5937" s="1" t="str">
        <f>"护理"</f>
        <v>护理</v>
      </c>
      <c r="G5937" s="1" t="str">
        <f>"河南省南阳市西峡县"</f>
        <v>河南省南阳市西峡县</v>
      </c>
      <c r="H5937" s="1" t="str">
        <f>"护士资格证"</f>
        <v>护士资格证</v>
      </c>
      <c r="I5937" s="1" t="str">
        <f>"201809-202107 南阳医学高等专科学校就读护理系是全日制
202108-202405 浙江省宁波市北仑区人民医院icu护士
202406-202507西峡县丹水镇卫生院护士"</f>
        <v>201809-202107 南阳医学高等专科学校就读护理系是全日制
202108-202405 浙江省宁波市北仑区人民医院icu护士
202406-202507西峡县丹水镇卫生院护士</v>
      </c>
    </row>
    <row r="5938" spans="1:9">
      <c r="A5938" s="1" t="str">
        <f>"140481200203226446"</f>
        <v>140481200203226446</v>
      </c>
      <c r="B5938" s="1" t="str">
        <f t="shared" si="2997"/>
        <v>共青团员</v>
      </c>
      <c r="C5938" s="1" t="str">
        <f t="shared" ref="C5938:C5943" si="2998">"本科"</f>
        <v>本科</v>
      </c>
      <c r="D5938" s="1" t="str">
        <f>"20250620"</f>
        <v>20250620</v>
      </c>
      <c r="E5938" s="1" t="str">
        <f>"长治医学院"</f>
        <v>长治医学院</v>
      </c>
      <c r="F5938" s="1" t="str">
        <f>"药学"</f>
        <v>药学</v>
      </c>
      <c r="G5938" s="1" t="str">
        <f>"山西省长治市潞城区南华东街1号"</f>
        <v>山西省长治市潞城区南华东街1号</v>
      </c>
      <c r="H5938" s="1" t="str">
        <f>"无"</f>
        <v>无</v>
      </c>
      <c r="I5938" s="1" t="str">
        <f>"201709-202006潞城区第四中学（高中）；
202009-202306山西药科职业学院（专科）药学系药学专业就读全日制学历；
202309-202506长治医学院（本科）药学院药学系药学专业就读全日制学历；"</f>
        <v>201709-202006潞城区第四中学（高中）；
202009-202306山西药科职业学院（专科）药学系药学专业就读全日制学历；
202309-202506长治医学院（本科）药学院药学系药学专业就读全日制学历；</v>
      </c>
    </row>
    <row r="5939" spans="1:9">
      <c r="A5939" s="1" t="str">
        <f>"411327200212150642"</f>
        <v>411327200212150642</v>
      </c>
      <c r="B5939" s="1" t="str">
        <f t="shared" si="2997"/>
        <v>共青团员</v>
      </c>
      <c r="C5939" s="1" t="str">
        <f t="shared" si="2998"/>
        <v>本科</v>
      </c>
      <c r="D5939" s="1" t="str">
        <f>"20250701"</f>
        <v>20250701</v>
      </c>
      <c r="E5939" s="1" t="str">
        <f>"商丘工学院"</f>
        <v>商丘工学院</v>
      </c>
      <c r="F5939" s="1" t="str">
        <f>"护理学"</f>
        <v>护理学</v>
      </c>
      <c r="G5939" s="1" t="str">
        <f>"河南省南阳市内乡县马山口镇花北村潘河78号"</f>
        <v>河南省南阳市内乡县马山口镇花北村潘河78号</v>
      </c>
      <c r="H5939" s="1" t="str">
        <f>"护士资格证"</f>
        <v>护士资格证</v>
      </c>
      <c r="I5939" s="1" t="str">
        <f>"202009-202306 在郑州西亚斯学院医学院护理专业就读，是全日制学历；
202309-202507 在商丘工学院医学院护理学专业就读，是全日制学历。"</f>
        <v>202009-202306 在郑州西亚斯学院医学院护理专业就读，是全日制学历；
202309-202507 在商丘工学院医学院护理学专业就读，是全日制学历。</v>
      </c>
    </row>
    <row r="5940" spans="1:9">
      <c r="A5940" s="1" t="str">
        <f>"411325200004090646"</f>
        <v>411325200004090646</v>
      </c>
      <c r="B5940" s="1" t="str">
        <f>"群众"</f>
        <v>群众</v>
      </c>
      <c r="C5940" s="1" t="str">
        <f t="shared" si="2998"/>
        <v>本科</v>
      </c>
      <c r="D5940" s="1" t="str">
        <f>"2025-06-30"</f>
        <v>2025-06-30</v>
      </c>
      <c r="E5940" s="1" t="str">
        <f>"黄河科技学院"</f>
        <v>黄河科技学院</v>
      </c>
      <c r="F5940" s="1" t="str">
        <f>"护理学"</f>
        <v>护理学</v>
      </c>
      <c r="G5940" s="1" t="str">
        <f>"南阳市内乡县建业小区"</f>
        <v>南阳市内乡县建业小区</v>
      </c>
      <c r="H5940" s="1" t="str">
        <f>"护士资格证，护士执业证"</f>
        <v>护士资格证，护士执业证</v>
      </c>
      <c r="I5940" s="1" t="str">
        <f>"202009-202306新乡学院医学院护理专业就读；全日制
202309-202506黄河科技学院医学院护理专业就读；全日制"</f>
        <v>202009-202306新乡学院医学院护理专业就读；全日制
202309-202506黄河科技学院医学院护理专业就读；全日制</v>
      </c>
    </row>
    <row r="5941" spans="1:9">
      <c r="A5941" s="1" t="str">
        <f>"411330200212193667"</f>
        <v>411330200212193667</v>
      </c>
      <c r="B5941" s="1" t="str">
        <f t="shared" ref="B5941:B5944" si="2999">"共青团员"</f>
        <v>共青团员</v>
      </c>
      <c r="C5941" s="1" t="str">
        <f t="shared" si="2998"/>
        <v>本科</v>
      </c>
      <c r="D5941" s="1" t="str">
        <f>"20250615"</f>
        <v>20250615</v>
      </c>
      <c r="E5941" s="1" t="str">
        <f>"许昌学院"</f>
        <v>许昌学院</v>
      </c>
      <c r="F5941" s="1" t="str">
        <f>"医学检验技术"</f>
        <v>医学检验技术</v>
      </c>
      <c r="G5941" s="1" t="str">
        <f>"河南省南阳市桐柏县毛集镇"</f>
        <v>河南省南阳市桐柏县毛集镇</v>
      </c>
      <c r="H5941" s="1" t="str">
        <f>"临床医学检验技术初级（士）资格证"</f>
        <v>临床医学检验技术初级（士）资格证</v>
      </c>
      <c r="I5941" s="1" t="str">
        <f>"202009-202306在河南医学高等专科学校检验系医学检验技术专业就读
202309-202506在许昌学院医学院医学检验技术专业就读"</f>
        <v>202009-202306在河南医学高等专科学校检验系医学检验技术专业就读
202309-202506在许昌学院医学院医学检验技术专业就读</v>
      </c>
    </row>
    <row r="5942" spans="1:9">
      <c r="A5942" s="1" t="str">
        <f>"411323200107121123"</f>
        <v>411323200107121123</v>
      </c>
      <c r="B5942" s="1" t="str">
        <f t="shared" ref="B5942:B5948" si="3000">"群众"</f>
        <v>群众</v>
      </c>
      <c r="C5942" s="1" t="str">
        <f t="shared" si="2998"/>
        <v>本科</v>
      </c>
      <c r="D5942" s="1" t="str">
        <f>"20240625"</f>
        <v>20240625</v>
      </c>
      <c r="E5942" s="1" t="str">
        <f>"新乡医学院三全学院"</f>
        <v>新乡医学院三全学院</v>
      </c>
      <c r="F5942" s="1" t="str">
        <f>"医学影像技术"</f>
        <v>医学影像技术</v>
      </c>
      <c r="G5942" s="1" t="str">
        <f>"河南南阳内乡海天楼西申通快递"</f>
        <v>河南南阳内乡海天楼西申通快递</v>
      </c>
      <c r="H5942" s="1" t="str">
        <f>"无"</f>
        <v>无</v>
      </c>
      <c r="I5942" s="1" t="str">
        <f>"202009-202406 新乡医学院三全学院 全日制就读
202407-202508 夏馆镇卫生院ct放射科上班"</f>
        <v>202009-202406 新乡医学院三全学院 全日制就读
202407-202508 夏馆镇卫生院ct放射科上班</v>
      </c>
    </row>
    <row r="5943" spans="1:9">
      <c r="A5943" s="1" t="str">
        <f>"411327200111222045"</f>
        <v>411327200111222045</v>
      </c>
      <c r="B5943" s="1" t="str">
        <f t="shared" si="2999"/>
        <v>共青团员</v>
      </c>
      <c r="C5943" s="1" t="str">
        <f t="shared" si="2998"/>
        <v>本科</v>
      </c>
      <c r="D5943" s="1" t="str">
        <f>"20240701"</f>
        <v>20240701</v>
      </c>
      <c r="E5943" s="1" t="str">
        <f>"河南科技大学应用工程学院"</f>
        <v>河南科技大学应用工程学院</v>
      </c>
      <c r="F5943" s="1" t="str">
        <f>"护理学专业"</f>
        <v>护理学专业</v>
      </c>
      <c r="G5943" s="1" t="str">
        <f>"河南省南阳市内乡县师岗镇江营村吴家"</f>
        <v>河南省南阳市内乡县师岗镇江营村吴家</v>
      </c>
      <c r="H5943" s="1" t="str">
        <f>"护士执业资格证书  ；初级"</f>
        <v>护士执业资格证书  ；初级</v>
      </c>
      <c r="I5943" s="1" t="str">
        <f>"202009-202407河南科技大学应用工程学院护理学专业就读，是全日制学历"</f>
        <v>202009-202407河南科技大学应用工程学院护理学专业就读，是全日制学历</v>
      </c>
    </row>
    <row r="5944" spans="1:9">
      <c r="A5944" s="1" t="str">
        <f>"411327200306282945"</f>
        <v>411327200306282945</v>
      </c>
      <c r="B5944" s="1" t="str">
        <f t="shared" si="2999"/>
        <v>共青团员</v>
      </c>
      <c r="C5944" s="1" t="str">
        <f t="shared" ref="C5944:C5948" si="3001">"专科"</f>
        <v>专科</v>
      </c>
      <c r="D5944" s="1" t="str">
        <f>"20240630"</f>
        <v>20240630</v>
      </c>
      <c r="E5944" s="1" t="str">
        <f>"漯河医学高等专科学校"</f>
        <v>漯河医学高等专科学校</v>
      </c>
      <c r="F5944" s="1" t="str">
        <f>"临床医学"</f>
        <v>临床医学</v>
      </c>
      <c r="G5944" s="1" t="str">
        <f>"河南省南阳市内乡县西关萱资女性会所"</f>
        <v>河南省南阳市内乡县西关萱资女性会所</v>
      </c>
      <c r="H5944" s="1" t="str">
        <f>"无"</f>
        <v>无</v>
      </c>
      <c r="I5944" s="1" t="str">
        <f>"20210901-20240625 在漯河医学高等专科学校就读 全日制学历"</f>
        <v>20210901-20240625 在漯河医学高等专科学校就读 全日制学历</v>
      </c>
    </row>
    <row r="5945" spans="1:9">
      <c r="A5945" s="1" t="str">
        <f>"411330199509042012"</f>
        <v>411330199509042012</v>
      </c>
      <c r="B5945" s="1" t="str">
        <f>"中共党员"</f>
        <v>中共党员</v>
      </c>
      <c r="C5945" s="1" t="str">
        <f t="shared" ref="C5945:C5950" si="3002">"本科"</f>
        <v>本科</v>
      </c>
      <c r="D5945" s="1" t="str">
        <f>"2020-07-01"</f>
        <v>2020-07-01</v>
      </c>
      <c r="E5945" s="1" t="str">
        <f>"郑州工业应用技术学院"</f>
        <v>郑州工业应用技术学院</v>
      </c>
      <c r="F5945" s="1" t="str">
        <f>"护理学"</f>
        <v>护理学</v>
      </c>
      <c r="G5945" s="1" t="str">
        <f>"河南省南阳市西峡县五里桥镇封店村"</f>
        <v>河南省南阳市西峡县五里桥镇封店村</v>
      </c>
      <c r="H5945" s="1" t="str">
        <f>"护士资格证，护士执业证"</f>
        <v>护士资格证，护士执业证</v>
      </c>
      <c r="I5945" s="1" t="str">
        <f>"2015.9-2018.7郑州澍青医专，护理专业全日制专科。2018.9-2020.7郑州工业应用技术学院，护理学全日制本科。"</f>
        <v>2015.9-2018.7郑州澍青医专，护理专业全日制专科。2018.9-2020.7郑州工业应用技术学院，护理学全日制本科。</v>
      </c>
    </row>
    <row r="5946" spans="1:9">
      <c r="A5946" s="1" t="str">
        <f>"411327199404172541"</f>
        <v>411327199404172541</v>
      </c>
      <c r="B5946" s="1" t="str">
        <f t="shared" si="3000"/>
        <v>群众</v>
      </c>
      <c r="C5946" s="1" t="str">
        <f t="shared" si="3001"/>
        <v>专科</v>
      </c>
      <c r="D5946" s="1" t="str">
        <f>"20160701"</f>
        <v>20160701</v>
      </c>
      <c r="E5946" s="1" t="str">
        <f>"南阳医学高等专科学校"</f>
        <v>南阳医学高等专科学校</v>
      </c>
      <c r="F5946" s="1" t="str">
        <f>"针灸推拿"</f>
        <v>针灸推拿</v>
      </c>
      <c r="G5946" s="1" t="str">
        <f>"河南省南阳市内乡县王店镇"</f>
        <v>河南省南阳市内乡县王店镇</v>
      </c>
      <c r="H5946" s="1" t="str">
        <f>"中医执业助理医师  康复治疗师（初级师）"</f>
        <v>中医执业助理医师  康复治疗师（初级师）</v>
      </c>
      <c r="I5946" s="1" t="str">
        <f>"2013.9-2016.7 南阳医学高等专科学校  针灸推拿专业就读
2016.8-2018.8 余关乡卫生院
2018.9至今 内乡县人民医院
"</f>
        <v>2013.9-2016.7 南阳医学高等专科学校  针灸推拿专业就读
2016.8-2018.8 余关乡卫生院
2018.9至今 内乡县人民医院
</v>
      </c>
    </row>
    <row r="5947" spans="1:9">
      <c r="A5947" s="1" t="str">
        <f>"411327200101012546"</f>
        <v>411327200101012546</v>
      </c>
      <c r="B5947" s="1" t="str">
        <f t="shared" si="3000"/>
        <v>群众</v>
      </c>
      <c r="C5947" s="1" t="str">
        <f t="shared" si="3001"/>
        <v>专科</v>
      </c>
      <c r="D5947" s="1" t="str">
        <f>"20210701"</f>
        <v>20210701</v>
      </c>
      <c r="E5947" s="1" t="str">
        <f>"三门峡职业技术学院"</f>
        <v>三门峡职业技术学院</v>
      </c>
      <c r="F5947" s="1" t="str">
        <f t="shared" ref="F5947:F5952" si="3003">"护理"</f>
        <v>护理</v>
      </c>
      <c r="G5947" s="1" t="str">
        <f>"河南省南阳市内乡县城关镇状元府"</f>
        <v>河南省南阳市内乡县城关镇状元府</v>
      </c>
      <c r="H5947" s="1" t="str">
        <f>"护士执业证书"</f>
        <v>护士执业证书</v>
      </c>
      <c r="I5947" s="1" t="str">
        <f>"201809-202107 三门峡职业技术学院护理专业就读全日制大专
202107-202205 王店镇卫生院护士
202206-202505 内乡县人民法院书记员
202506至今待业"</f>
        <v>201809-202107 三门峡职业技术学院护理专业就读全日制大专
202107-202205 王店镇卫生院护士
202206-202505 内乡县人民法院书记员
202506至今待业</v>
      </c>
    </row>
    <row r="5948" spans="1:9">
      <c r="A5948" s="1" t="str">
        <f>"411327200304010014"</f>
        <v>411327200304010014</v>
      </c>
      <c r="B5948" s="1" t="str">
        <f t="shared" si="3000"/>
        <v>群众</v>
      </c>
      <c r="C5948" s="1" t="str">
        <f t="shared" si="3001"/>
        <v>专科</v>
      </c>
      <c r="D5948" s="1" t="str">
        <f>"2025618"</f>
        <v>2025618</v>
      </c>
      <c r="E5948" s="1" t="str">
        <f>"河南医学高等专科学校"</f>
        <v>河南医学高等专科学校</v>
      </c>
      <c r="F5948" s="1" t="str">
        <f>"临床医学"</f>
        <v>临床医学</v>
      </c>
      <c r="G5948" s="1" t="str">
        <f>"河南省南阳市内乡县城关镇东风村东风南路一号"</f>
        <v>河南省南阳市内乡县城关镇东风村东风南路一号</v>
      </c>
      <c r="H5948" s="1" t="str">
        <f>"无"</f>
        <v>无</v>
      </c>
      <c r="I5948" s="1" t="str">
        <f>"202209-202506于河南医学高等专科学校就读临床医学
是全日制学历
"</f>
        <v>202209-202506于河南医学高等专科学校就读临床医学
是全日制学历
</v>
      </c>
    </row>
    <row r="5949" spans="1:9">
      <c r="A5949" s="1" t="str">
        <f>"411327200010171525"</f>
        <v>411327200010171525</v>
      </c>
      <c r="B5949" s="1" t="str">
        <f t="shared" ref="B5949:B5953" si="3004">"共青团员"</f>
        <v>共青团员</v>
      </c>
      <c r="C5949" s="1" t="str">
        <f t="shared" si="3002"/>
        <v>本科</v>
      </c>
      <c r="D5949" s="1" t="str">
        <f>"20240701"</f>
        <v>20240701</v>
      </c>
      <c r="E5949" s="1" t="str">
        <f>"新乡医学院三全学院"</f>
        <v>新乡医学院三全学院</v>
      </c>
      <c r="F5949" s="1" t="str">
        <f>"药学"</f>
        <v>药学</v>
      </c>
      <c r="G5949" s="1" t="str">
        <f>"南阳市内乡县"</f>
        <v>南阳市内乡县</v>
      </c>
      <c r="H5949" s="1" t="str">
        <f>"健康管理师   中药炮制工"</f>
        <v>健康管理师   中药炮制工</v>
      </c>
      <c r="I5949" s="1" t="str">
        <f>"2019年9月1号至2022年6月1日在开封大学医学院药学专业就读，全日制专科学历。2022年9月1日至2024年7月1日，在新乡医学院三全学院药学专业就读全日制本科学历。"</f>
        <v>2019年9月1号至2022年6月1日在开封大学医学院药学专业就读，全日制专科学历。2022年9月1日至2024年7月1日，在新乡医学院三全学院药学专业就读全日制本科学历。</v>
      </c>
    </row>
    <row r="5950" spans="1:9">
      <c r="A5950" s="1" t="str">
        <f>"411325200205200338"</f>
        <v>411325200205200338</v>
      </c>
      <c r="B5950" s="1" t="str">
        <f t="shared" si="3004"/>
        <v>共青团员</v>
      </c>
      <c r="C5950" s="1" t="str">
        <f t="shared" si="3002"/>
        <v>本科</v>
      </c>
      <c r="D5950" s="1" t="str">
        <f>"20250617"</f>
        <v>20250617</v>
      </c>
      <c r="E5950" s="1" t="str">
        <f>"南阳理工学院"</f>
        <v>南阳理工学院</v>
      </c>
      <c r="F5950" s="1" t="str">
        <f>"中医学"</f>
        <v>中医学</v>
      </c>
      <c r="G5950" s="1" t="str">
        <f>"河南省南阳市内乡县大桥乡程岗村陆家"</f>
        <v>河南省南阳市内乡县大桥乡程岗村陆家</v>
      </c>
      <c r="H5950" s="1" t="str">
        <f>"职业技能等级证书健康管理师三级/高级"</f>
        <v>职业技能等级证书健康管理师三级/高级</v>
      </c>
      <c r="I5950" s="1" t="str">
        <f>"202009-202506于南阳理工学院张仲景国医国药学院中医院专业就读，是全日制学历。"</f>
        <v>202009-202506于南阳理工学院张仲景国医国药学院中医院专业就读，是全日制学历。</v>
      </c>
    </row>
    <row r="5951" spans="1:9">
      <c r="A5951" s="1" t="str">
        <f>"410403200202225544"</f>
        <v>410403200202225544</v>
      </c>
      <c r="B5951" s="1" t="str">
        <f t="shared" ref="B5951:B5954" si="3005">"群众"</f>
        <v>群众</v>
      </c>
      <c r="C5951" s="1" t="str">
        <f t="shared" ref="C5951:C5956" si="3006">"专科"</f>
        <v>专科</v>
      </c>
      <c r="D5951" s="1" t="str">
        <f>"20240607"</f>
        <v>20240607</v>
      </c>
      <c r="E5951" s="1" t="str">
        <f>"郑州澍青医学高等专科"</f>
        <v>郑州澍青医学高等专科</v>
      </c>
      <c r="F5951" s="1" t="str">
        <f t="shared" si="3003"/>
        <v>护理</v>
      </c>
      <c r="G5951" s="1" t="str">
        <f>"河南省平顶山市卫东区明珠世纪城"</f>
        <v>河南省平顶山市卫东区明珠世纪城</v>
      </c>
      <c r="H5951" s="1" t="str">
        <f>"护士资格证"</f>
        <v>护士资格证</v>
      </c>
      <c r="I5951" s="1" t="str">
        <f>"202109-202406郑州澍青医学高等专科就读护理专业全日制专科"</f>
        <v>202109-202406郑州澍青医学高等专科就读护理专业全日制专科</v>
      </c>
    </row>
    <row r="5952" spans="1:9">
      <c r="A5952" s="1" t="str">
        <f>"411303200408100080"</f>
        <v>411303200408100080</v>
      </c>
      <c r="B5952" s="1" t="str">
        <f t="shared" si="3005"/>
        <v>群众</v>
      </c>
      <c r="C5952" s="1" t="str">
        <f t="shared" si="3006"/>
        <v>专科</v>
      </c>
      <c r="D5952" s="1" t="str">
        <f>"20240601"</f>
        <v>20240601</v>
      </c>
      <c r="E5952" s="1" t="str">
        <f>"郑州澍青医学高等专科学院"</f>
        <v>郑州澍青医学高等专科学院</v>
      </c>
      <c r="F5952" s="1" t="str">
        <f t="shared" si="3003"/>
        <v>护理</v>
      </c>
      <c r="G5952" s="1" t="str">
        <f>"河南省南阳市宛城区独山大道独山苑"</f>
        <v>河南省南阳市宛城区独山大道独山苑</v>
      </c>
      <c r="H5952" s="1" t="str">
        <f>"护理学初级"</f>
        <v>护理学初级</v>
      </c>
      <c r="I5952" s="1" t="str">
        <f>"202109-202406郑州澍青医学高等专科学院护理系护理专业就读全日制学历"</f>
        <v>202109-202406郑州澍青医学高等专科学院护理系护理专业就读全日制学历</v>
      </c>
    </row>
    <row r="5953" spans="1:9">
      <c r="A5953" s="1" t="str">
        <f>"411330200305134527"</f>
        <v>411330200305134527</v>
      </c>
      <c r="B5953" s="1" t="str">
        <f t="shared" si="3004"/>
        <v>共青团员</v>
      </c>
      <c r="C5953" s="1" t="str">
        <f>"本科"</f>
        <v>本科</v>
      </c>
      <c r="D5953" s="1" t="str">
        <f>"20250615"</f>
        <v>20250615</v>
      </c>
      <c r="E5953" s="1" t="str">
        <f>"许昌学院"</f>
        <v>许昌学院</v>
      </c>
      <c r="F5953" s="1" t="str">
        <f>"医学检验技术"</f>
        <v>医学检验技术</v>
      </c>
      <c r="G5953" s="1" t="str">
        <f>"河南省南阳市西峡县"</f>
        <v>河南省南阳市西峡县</v>
      </c>
      <c r="H5953" s="1" t="str">
        <f t="shared" ref="H5953:H5958" si="3007">"无"</f>
        <v>无</v>
      </c>
      <c r="I5953" s="1" t="str">
        <f>"202109-202506在许昌学院医学院医学检验技术专业就读，全日制学历。"</f>
        <v>202109-202506在许昌学院医学院医学检验技术专业就读，全日制学历。</v>
      </c>
    </row>
    <row r="5954" spans="1:9">
      <c r="A5954" s="1" t="str">
        <f>"411381199312216314"</f>
        <v>411381199312216314</v>
      </c>
      <c r="B5954" s="1" t="str">
        <f t="shared" si="3005"/>
        <v>群众</v>
      </c>
      <c r="C5954" s="1" t="str">
        <f t="shared" si="3006"/>
        <v>专科</v>
      </c>
      <c r="D5954" s="1" t="str">
        <f>"201607"</f>
        <v>201607</v>
      </c>
      <c r="E5954" s="1" t="str">
        <f>"郑州澍青医学专科学校"</f>
        <v>郑州澍青医学专科学校</v>
      </c>
      <c r="F5954" s="1" t="str">
        <f t="shared" ref="F5954:F5956" si="3008">"临床医学"</f>
        <v>临床医学</v>
      </c>
      <c r="G5954" s="1" t="str">
        <f>"河南省邓州市陶营乡朱西村窦家"</f>
        <v>河南省邓州市陶营乡朱西村窦家</v>
      </c>
      <c r="H5954" s="1" t="str">
        <f>"执业医师"</f>
        <v>执业医师</v>
      </c>
      <c r="I5954" s="1" t="str">
        <f>"2010年09-2013年07邓州市卫生学校
2013年09-2016年09郑州澍青医学专科学校"</f>
        <v>2010年09-2013年07邓州市卫生学校
2013年09-2016年09郑州澍青医学专科学校</v>
      </c>
    </row>
    <row r="5955" spans="1:9">
      <c r="A5955" s="1" t="str">
        <f>"411330200301081528"</f>
        <v>411330200301081528</v>
      </c>
      <c r="B5955" s="1" t="str">
        <f>"共青团员"</f>
        <v>共青团员</v>
      </c>
      <c r="C5955" s="1" t="str">
        <f t="shared" si="3006"/>
        <v>专科</v>
      </c>
      <c r="D5955" s="1" t="str">
        <f>"20240612"</f>
        <v>20240612</v>
      </c>
      <c r="E5955" s="1" t="str">
        <f>"南阳医学高等专科学校"</f>
        <v>南阳医学高等专科学校</v>
      </c>
      <c r="F5955" s="1" t="str">
        <f t="shared" si="3008"/>
        <v>临床医学</v>
      </c>
      <c r="G5955" s="1" t="str">
        <f>"河南省南阳市西峡县灌河大道御景苑"</f>
        <v>河南省南阳市西峡县灌河大道御景苑</v>
      </c>
      <c r="H5955" s="1" t="str">
        <f t="shared" si="3007"/>
        <v>无</v>
      </c>
      <c r="I5955" s="1" t="str">
        <f>"2021年09月—2024年06月于南阳医学高等专科学校就读临床医学专业，取得全日制专科学历"</f>
        <v>2021年09月—2024年06月于南阳医学高等专科学校就读临床医学专业，取得全日制专科学历</v>
      </c>
    </row>
    <row r="5956" spans="1:9">
      <c r="A5956" s="1" t="str">
        <f>"411327200410220322"</f>
        <v>411327200410220322</v>
      </c>
      <c r="B5956" s="1" t="str">
        <f t="shared" ref="B5956:B5964" si="3009">"群众"</f>
        <v>群众</v>
      </c>
      <c r="C5956" s="1" t="str">
        <f t="shared" si="3006"/>
        <v>专科</v>
      </c>
      <c r="D5956" s="1" t="str">
        <f>"20250628"</f>
        <v>20250628</v>
      </c>
      <c r="E5956" s="1" t="str">
        <f>"南阳医学高等专科学校"</f>
        <v>南阳医学高等专科学校</v>
      </c>
      <c r="F5956" s="1" t="str">
        <f t="shared" si="3008"/>
        <v>临床医学</v>
      </c>
      <c r="G5956" s="1" t="str">
        <f>"河南省南阳市内乡县大桥乡建设村53号附1号"</f>
        <v>河南省南阳市内乡县大桥乡建设村53号附1号</v>
      </c>
      <c r="H5956" s="1" t="str">
        <f>"保健按摩师三级证书"</f>
        <v>保健按摩师三级证书</v>
      </c>
      <c r="I5956" s="1" t="str">
        <f>"202209-202506  在南阳医学高等专科学校国际教育学院临床医学专业就读，是全日制学历。"</f>
        <v>202209-202506  在南阳医学高等专科学校国际教育学院临床医学专业就读，是全日制学历。</v>
      </c>
    </row>
    <row r="5957" spans="1:9">
      <c r="A5957" s="1" t="str">
        <f>"450422199005073327"</f>
        <v>450422199005073327</v>
      </c>
      <c r="B5957" s="1" t="str">
        <f t="shared" si="3009"/>
        <v>群众</v>
      </c>
      <c r="C5957" s="1" t="str">
        <f>"本科"</f>
        <v>本科</v>
      </c>
      <c r="D5957" s="1" t="str">
        <f>"20150630"</f>
        <v>20150630</v>
      </c>
      <c r="E5957" s="1" t="str">
        <f>"广西中医药大学"</f>
        <v>广西中医药大学</v>
      </c>
      <c r="F5957" s="1" t="str">
        <f>"中医学"</f>
        <v>中医学</v>
      </c>
      <c r="G5957" s="1" t="str">
        <f>"河南省开封市龙亭区集英臻园"</f>
        <v>河南省开封市龙亭区集英臻园</v>
      </c>
      <c r="H5957" s="1" t="str">
        <f>"中医学主治医师"</f>
        <v>中医学主治医师</v>
      </c>
      <c r="I5957" s="1" t="str">
        <f>"201009-201506广西中医药大学中医学专业
201506至今在开封市张仲景大药房上班"</f>
        <v>201009-201506广西中医药大学中医学专业
201506至今在开封市张仲景大药房上班</v>
      </c>
    </row>
    <row r="5958" spans="1:9">
      <c r="A5958" s="1" t="str">
        <f>"411327200410080649"</f>
        <v>411327200410080649</v>
      </c>
      <c r="B5958" s="1" t="str">
        <f t="shared" si="3009"/>
        <v>群众</v>
      </c>
      <c r="C5958" s="1" t="str">
        <f t="shared" ref="C5958:C5962" si="3010">"专科"</f>
        <v>专科</v>
      </c>
      <c r="D5958" s="1" t="str">
        <f>"20250630"</f>
        <v>20250630</v>
      </c>
      <c r="E5958" s="1" t="str">
        <f>"郑州健康学院"</f>
        <v>郑州健康学院</v>
      </c>
      <c r="F5958" s="1" t="str">
        <f>"临床医学"</f>
        <v>临床医学</v>
      </c>
      <c r="G5958" s="1" t="str">
        <f>"河南省南阳市内乡县城关镇郦都大道四小组207号"</f>
        <v>河南省南阳市内乡县城关镇郦都大道四小组207号</v>
      </c>
      <c r="H5958" s="1" t="str">
        <f t="shared" si="3007"/>
        <v>无</v>
      </c>
      <c r="I5958" s="1" t="str">
        <f>"202209-202506  郑州健康学院 临床医学 全日制 就读"</f>
        <v>202209-202506  郑州健康学院 临床医学 全日制 就读</v>
      </c>
    </row>
    <row r="5959" spans="1:9">
      <c r="A5959" s="1" t="str">
        <f>"411327200203290643"</f>
        <v>411327200203290643</v>
      </c>
      <c r="B5959" s="1" t="str">
        <f t="shared" si="3009"/>
        <v>群众</v>
      </c>
      <c r="C5959" s="1" t="str">
        <f t="shared" si="3010"/>
        <v>专科</v>
      </c>
      <c r="D5959" s="1" t="str">
        <f>"20230701"</f>
        <v>20230701</v>
      </c>
      <c r="E5959" s="1" t="str">
        <f>"濮阳医学高等专科学校"</f>
        <v>濮阳医学高等专科学校</v>
      </c>
      <c r="F5959" s="1" t="str">
        <f t="shared" ref="F5959:F5961" si="3011">"护理"</f>
        <v>护理</v>
      </c>
      <c r="G5959" s="1" t="str">
        <f>"河南省南阳市内乡县马山口镇李井"</f>
        <v>河南省南阳市内乡县马山口镇李井</v>
      </c>
      <c r="H5959" s="1" t="str">
        <f>"护士"</f>
        <v>护士</v>
      </c>
      <c r="I5959" s="1" t="str">
        <f>"20201008--20230701濮阳医学高等专科学校就读  是普通全日制"</f>
        <v>20201008--20230701濮阳医学高等专科学校就读  是普通全日制</v>
      </c>
    </row>
    <row r="5960" spans="1:9">
      <c r="A5960" s="1" t="str">
        <f>"411327200104080624"</f>
        <v>411327200104080624</v>
      </c>
      <c r="B5960" s="1" t="str">
        <f t="shared" si="3009"/>
        <v>群众</v>
      </c>
      <c r="C5960" s="1" t="str">
        <f t="shared" si="3010"/>
        <v>专科</v>
      </c>
      <c r="D5960" s="1" t="str">
        <f>"20230630"</f>
        <v>20230630</v>
      </c>
      <c r="E5960" s="1" t="str">
        <f>"南阳科技职业学院"</f>
        <v>南阳科技职业学院</v>
      </c>
      <c r="F5960" s="1" t="str">
        <f t="shared" si="3011"/>
        <v>护理</v>
      </c>
      <c r="G5960" s="1" t="str">
        <f>"河南省南阳市内乡县城关镇"</f>
        <v>河南省南阳市内乡县城关镇</v>
      </c>
      <c r="H5960" s="1" t="str">
        <f>"护士资格证  护士执业证"</f>
        <v>护士资格证  护士执业证</v>
      </c>
      <c r="I5960" s="1" t="str">
        <f>"202009-202306 南阳科技职业学院护理系护理专业就读"</f>
        <v>202009-202306 南阳科技职业学院护理系护理专业就读</v>
      </c>
    </row>
    <row r="5961" spans="1:9">
      <c r="A5961" s="1" t="str">
        <f>"411327199204061126"</f>
        <v>411327199204061126</v>
      </c>
      <c r="B5961" s="1" t="str">
        <f t="shared" si="3009"/>
        <v>群众</v>
      </c>
      <c r="C5961" s="1" t="str">
        <f t="shared" si="3010"/>
        <v>专科</v>
      </c>
      <c r="D5961" s="1" t="str">
        <f>"20140701"</f>
        <v>20140701</v>
      </c>
      <c r="E5961" s="1" t="str">
        <f>"安阳职业技术学院"</f>
        <v>安阳职业技术学院</v>
      </c>
      <c r="F5961" s="1" t="str">
        <f t="shared" si="3011"/>
        <v>护理</v>
      </c>
      <c r="G5961" s="1" t="str">
        <f>"内乡县赤眉镇卫生院"</f>
        <v>内乡县赤眉镇卫生院</v>
      </c>
      <c r="H5961" s="1" t="str">
        <f>"卫生专业技术资格初级证书"</f>
        <v>卫生专业技术资格初级证书</v>
      </c>
      <c r="I5961" s="1" t="str">
        <f>"201109-201407在安阳职业技术学院护理专业就读，全日制学历；
201407-202101在内乡菊潭医院工作；
202101至今在内乡县赤眉镇卫生院工作。"</f>
        <v>201109-201407在安阳职业技术学院护理专业就读，全日制学历；
201407-202101在内乡菊潭医院工作；
202101至今在内乡县赤眉镇卫生院工作。</v>
      </c>
    </row>
    <row r="5962" spans="1:9">
      <c r="A5962" s="1" t="str">
        <f>"41132720000504154X"</f>
        <v>41132720000504154X</v>
      </c>
      <c r="B5962" s="1" t="str">
        <f t="shared" si="3009"/>
        <v>群众</v>
      </c>
      <c r="C5962" s="1" t="str">
        <f t="shared" si="3010"/>
        <v>专科</v>
      </c>
      <c r="D5962" s="1" t="str">
        <f>"20220701"</f>
        <v>20220701</v>
      </c>
      <c r="E5962" s="1" t="str">
        <f>"黄冈职业技术学院"</f>
        <v>黄冈职业技术学院</v>
      </c>
      <c r="F5962" s="1" t="str">
        <f t="shared" ref="F5962:F5967" si="3012">"临床医学"</f>
        <v>临床医学</v>
      </c>
      <c r="G5962" s="1" t="str">
        <f>"内乡县"</f>
        <v>内乡县</v>
      </c>
      <c r="H5962" s="1" t="str">
        <f>"助理职业医师"</f>
        <v>助理职业医师</v>
      </c>
      <c r="I5962" s="1" t="str">
        <f>"201909-202206 黄冈职业技术学院 临床专业就读。全日制学历；202207-202307内乡县第二人民医院工作，202308-202509 内乡县人民医院助理全科规范化培训。"</f>
        <v>201909-202206 黄冈职业技术学院 临床专业就读。全日制学历；202207-202307内乡县第二人民医院工作，202308-202509 内乡县人民医院助理全科规范化培训。</v>
      </c>
    </row>
    <row r="5963" spans="1:9">
      <c r="A5963" s="1" t="str">
        <f>"411327200502124522"</f>
        <v>411327200502124522</v>
      </c>
      <c r="B5963" s="1" t="str">
        <f t="shared" si="3009"/>
        <v>群众</v>
      </c>
      <c r="C5963" s="1" t="str">
        <f t="shared" ref="C5963:C5969" si="3013">"本科"</f>
        <v>本科</v>
      </c>
      <c r="D5963" s="1" t="str">
        <f>"20250613"</f>
        <v>20250613</v>
      </c>
      <c r="E5963" s="1" t="str">
        <f t="shared" ref="E5963:E5969" si="3014">"新乡医学院三全学院"</f>
        <v>新乡医学院三全学院</v>
      </c>
      <c r="F5963" s="1" t="str">
        <f>"医学检验技术"</f>
        <v>医学检验技术</v>
      </c>
      <c r="G5963" s="1" t="str">
        <f>"河南省南阳市内乡县赵店乡"</f>
        <v>河南省南阳市内乡县赵店乡</v>
      </c>
      <c r="H5963" s="1" t="str">
        <f t="shared" ref="H5963:H5967" si="3015">"无"</f>
        <v>无</v>
      </c>
      <c r="I5963" s="1" t="str">
        <f>"202009-202306、南阳医学高等专科学校、医学检验学院、医学检验技术专业、全日制就读
202309-202506、新乡医学院三全学院、崇德书院、医学检验技术专业、全日制就读"</f>
        <v>202009-202306、南阳医学高等专科学校、医学检验学院、医学检验技术专业、全日制就读
202309-202506、新乡医学院三全学院、崇德书院、医学检验技术专业、全日制就读</v>
      </c>
    </row>
    <row r="5964" spans="1:9">
      <c r="A5964" s="1" t="str">
        <f>"411327200012272039"</f>
        <v>411327200012272039</v>
      </c>
      <c r="B5964" s="1" t="str">
        <f t="shared" si="3009"/>
        <v>群众</v>
      </c>
      <c r="C5964" s="1" t="str">
        <f t="shared" ref="C5964:C5967" si="3016">"专科"</f>
        <v>专科</v>
      </c>
      <c r="D5964" s="1" t="str">
        <f>"20230701"</f>
        <v>20230701</v>
      </c>
      <c r="E5964" s="1" t="str">
        <f>"南阳医学高等专科学校"</f>
        <v>南阳医学高等专科学校</v>
      </c>
      <c r="F5964" s="1" t="str">
        <f>"中医学"</f>
        <v>中医学</v>
      </c>
      <c r="G5964" s="1" t="str">
        <f>"河南省南阳市内乡县郦都国际2期"</f>
        <v>河南省南阳市内乡县郦都国际2期</v>
      </c>
      <c r="H5964" s="1" t="str">
        <f t="shared" si="3015"/>
        <v>无</v>
      </c>
      <c r="I5964" s="1" t="str">
        <f>"2020.09-2023.07  南阳医学高等专科学校中医系中医专业就读，全日制学历
2023.07-至今    师岗镇卫生院"</f>
        <v>2020.09-2023.07  南阳医学高等专科学校中医系中医专业就读，全日制学历
2023.07-至今    师岗镇卫生院</v>
      </c>
    </row>
    <row r="5965" spans="1:9">
      <c r="A5965" s="1" t="str">
        <f>"411381199010124430"</f>
        <v>411381199010124430</v>
      </c>
      <c r="B5965" s="1" t="str">
        <f>"中共党员"</f>
        <v>中共党员</v>
      </c>
      <c r="C5965" s="1" t="str">
        <f t="shared" si="3013"/>
        <v>本科</v>
      </c>
      <c r="D5965" s="1" t="str">
        <f>"20190701"</f>
        <v>20190701</v>
      </c>
      <c r="E5965" s="1" t="str">
        <f t="shared" si="3014"/>
        <v>新乡医学院三全学院</v>
      </c>
      <c r="F5965" s="1" t="str">
        <f>"医学影像技术"</f>
        <v>医学影像技术</v>
      </c>
      <c r="G5965" s="1" t="str">
        <f>"河南省邓州市新华东路至尊府"</f>
        <v>河南省邓州市新华东路至尊府</v>
      </c>
      <c r="H5965" s="1" t="str">
        <f>"放射医学技术 初级（师）"</f>
        <v>放射医学技术 初级（师）</v>
      </c>
      <c r="I5965" s="1" t="str">
        <f>"201709-201907 新乡医学院三全学院就读医学影像技术 全日制
201907-202105在家待业
202105-至今 邓州市古城社区卫生服务中心放射科工作"</f>
        <v>201709-201907 新乡医学院三全学院就读医学影像技术 全日制
201907-202105在家待业
202105-至今 邓州市古城社区卫生服务中心放射科工作</v>
      </c>
    </row>
    <row r="5966" spans="1:9">
      <c r="A5966" s="1" t="str">
        <f>"411381199107150870"</f>
        <v>411381199107150870</v>
      </c>
      <c r="B5966" s="1" t="str">
        <f>"中共党员"</f>
        <v>中共党员</v>
      </c>
      <c r="C5966" s="1" t="str">
        <f t="shared" si="3016"/>
        <v>专科</v>
      </c>
      <c r="D5966" s="1" t="str">
        <f>"2015-07-01"</f>
        <v>2015-07-01</v>
      </c>
      <c r="E5966" s="1" t="str">
        <f>"南阳医学高等专科学校"</f>
        <v>南阳医学高等专科学校</v>
      </c>
      <c r="F5966" s="1" t="str">
        <f t="shared" si="3012"/>
        <v>临床医学</v>
      </c>
      <c r="G5966" s="1" t="str">
        <f>"邓州市湍河街道办事处金营村酒店24号"</f>
        <v>邓州市湍河街道办事处金营村酒店24号</v>
      </c>
      <c r="H5966" s="1" t="str">
        <f>"执业（助理）医师证"</f>
        <v>执业（助理）医师证</v>
      </c>
      <c r="I5966" s="1" t="str">
        <f>"201009-201507 南阳医学高等专科学校  临床医学就读  全日制学历
201508-201603 在家待业
201604-今日 在内乡县板场乡卫生院工作"</f>
        <v>201009-201507 南阳医学高等专科学校  临床医学就读  全日制学历
201508-201603 在家待业
201604-今日 在内乡县板场乡卫生院工作</v>
      </c>
    </row>
    <row r="5967" spans="1:9">
      <c r="A5967" s="1" t="str">
        <f>"412829200407092834"</f>
        <v>412829200407092834</v>
      </c>
      <c r="B5967" s="1" t="str">
        <f t="shared" ref="B5967:B5970" si="3017">"群众"</f>
        <v>群众</v>
      </c>
      <c r="C5967" s="1" t="str">
        <f t="shared" si="3016"/>
        <v>专科</v>
      </c>
      <c r="D5967" s="1" t="str">
        <f>"20250613"</f>
        <v>20250613</v>
      </c>
      <c r="E5967" s="1" t="str">
        <f>"河南医学高等专科学校"</f>
        <v>河南医学高等专科学校</v>
      </c>
      <c r="F5967" s="1" t="str">
        <f t="shared" si="3012"/>
        <v>临床医学</v>
      </c>
      <c r="G5967" s="1" t="str">
        <f>"河南省驻马店市正阳县陡沟镇"</f>
        <v>河南省驻马店市正阳县陡沟镇</v>
      </c>
      <c r="H5967" s="1" t="str">
        <f t="shared" si="3015"/>
        <v>无</v>
      </c>
      <c r="I5967" s="1" t="str">
        <f>"202209-202506于河南医学高等专科学校临床医学院临床医学就读为全日制学历"</f>
        <v>202209-202506于河南医学高等专科学校临床医学院临床医学就读为全日制学历</v>
      </c>
    </row>
    <row r="5968" spans="1:9">
      <c r="A5968" s="1" t="str">
        <f>"411327199711170044"</f>
        <v>411327199711170044</v>
      </c>
      <c r="B5968" s="1" t="str">
        <f t="shared" si="3017"/>
        <v>群众</v>
      </c>
      <c r="C5968" s="1" t="str">
        <f t="shared" si="3013"/>
        <v>本科</v>
      </c>
      <c r="D5968" s="1" t="str">
        <f>"20190701"</f>
        <v>20190701</v>
      </c>
      <c r="E5968" s="1" t="str">
        <f t="shared" si="3014"/>
        <v>新乡医学院三全学院</v>
      </c>
      <c r="F5968" s="1" t="str">
        <f>"护理学"</f>
        <v>护理学</v>
      </c>
      <c r="G5968" s="1" t="str">
        <f>"内乡县湍东镇东王营"</f>
        <v>内乡县湍东镇东王营</v>
      </c>
      <c r="H5968" s="1" t="str">
        <f>"护理学（师）"</f>
        <v>护理学（师）</v>
      </c>
      <c r="I5968" s="1" t="str">
        <f>"201509-201907新乡医学院三全学院护理学 就读 全日制学历
201908-202110南阳南石医院工作
202111-至今 内乡县人民医院工作"</f>
        <v>201509-201907新乡医学院三全学院护理学 就读 全日制学历
201908-202110南阳南石医院工作
202111-至今 内乡县人民医院工作</v>
      </c>
    </row>
    <row r="5969" spans="1:9">
      <c r="A5969" s="1" t="str">
        <f>"411327200301222548"</f>
        <v>411327200301222548</v>
      </c>
      <c r="B5969" s="1" t="str">
        <f t="shared" si="3017"/>
        <v>群众</v>
      </c>
      <c r="C5969" s="1" t="str">
        <f t="shared" si="3013"/>
        <v>本科</v>
      </c>
      <c r="D5969" s="1" t="str">
        <f>"20250613"</f>
        <v>20250613</v>
      </c>
      <c r="E5969" s="1" t="str">
        <f t="shared" si="3014"/>
        <v>新乡医学院三全学院</v>
      </c>
      <c r="F5969" s="1" t="str">
        <f>"护理学"</f>
        <v>护理学</v>
      </c>
      <c r="G5969" s="1" t="str">
        <f>"河南省南阳市内乡县实验初中家属院"</f>
        <v>河南省南阳市内乡县实验初中家属院</v>
      </c>
      <c r="H5969" s="1" t="str">
        <f>"护士执业资格证"</f>
        <v>护士执业资格证</v>
      </c>
      <c r="I5969" s="1" t="str">
        <f>"202109-202506 新乡医学院三全学院 护理学院护理学专业就读，全日制本科"</f>
        <v>202109-202506 新乡医学院三全学院 护理学院护理学专业就读，全日制本科</v>
      </c>
    </row>
    <row r="5970" spans="1:9">
      <c r="A5970" s="1" t="str">
        <f>"41133019960403482X"</f>
        <v>41133019960403482X</v>
      </c>
      <c r="B5970" s="1" t="str">
        <f t="shared" si="3017"/>
        <v>群众</v>
      </c>
      <c r="C5970" s="1" t="str">
        <f t="shared" ref="C5970:C5975" si="3018">"专科"</f>
        <v>专科</v>
      </c>
      <c r="D5970" s="1" t="str">
        <f>"20180701"</f>
        <v>20180701</v>
      </c>
      <c r="E5970" s="1" t="str">
        <f>"黄淮学院"</f>
        <v>黄淮学院</v>
      </c>
      <c r="F5970" s="1" t="str">
        <f>"护理"</f>
        <v>护理</v>
      </c>
      <c r="G5970" s="1" t="str">
        <f>"河南省南阳市西峡县军马河镇独阜岭村"</f>
        <v>河南省南阳市西峡县军马河镇独阜岭村</v>
      </c>
      <c r="H5970" s="1" t="str">
        <f>"护士执业证"</f>
        <v>护士执业证</v>
      </c>
      <c r="I5970" s="1" t="str">
        <f>"201509-201709	黄淮学院护理学院护理专业就读，全日制专科学历
201709-202009	武警四川省总队机动第一支队女子特战大队  	
202010-202110	天津金鹏管业有限公司，董事长保镖兼助理	
202111-202203	河南宏信检测技术中心公司，检测员	
202204-202311	南阳汉冶特钢有限公司，主控	
202312-至今	待业学习	"</f>
        <v>201509-201709	黄淮学院护理学院护理专业就读，全日制专科学历
201709-202009	武警四川省总队机动第一支队女子特战大队  	
202010-202110	天津金鹏管业有限公司，董事长保镖兼助理	
202111-202203	河南宏信检测技术中心公司，检测员	
202204-202311	南阳汉冶特钢有限公司，主控	
202312-至今	待业学习	</v>
      </c>
    </row>
    <row r="5971" spans="1:9">
      <c r="A5971" s="1" t="str">
        <f>"411330199806101533"</f>
        <v>411330199806101533</v>
      </c>
      <c r="B5971" s="1" t="str">
        <f>"中共党员"</f>
        <v>中共党员</v>
      </c>
      <c r="C5971" s="1" t="str">
        <f t="shared" ref="C5971:C5974" si="3019">"本科"</f>
        <v>本科</v>
      </c>
      <c r="D5971" s="1" t="str">
        <f>"20220610"</f>
        <v>20220610</v>
      </c>
      <c r="E5971" s="1" t="str">
        <f>"黄河科技学院"</f>
        <v>黄河科技学院</v>
      </c>
      <c r="F5971" s="1" t="str">
        <f>"医学检验技术"</f>
        <v>医学检验技术</v>
      </c>
      <c r="G5971" s="1" t="str">
        <f>"南阳市西峡县城关镇东城壕西路26号"</f>
        <v>南阳市西峡县城关镇东城壕西路26号</v>
      </c>
      <c r="H5971" s="1" t="str">
        <f>"无"</f>
        <v>无</v>
      </c>
      <c r="I5971" s="1" t="str">
        <f>"2018.09——2022.06于黄河科技学院医学院医学检验技术专业就读，全日制本科学历。
2022.06至今待业"</f>
        <v>2018.09——2022.06于黄河科技学院医学院医学检验技术专业就读，全日制本科学历。
2022.06至今待业</v>
      </c>
    </row>
    <row r="5972" spans="1:9">
      <c r="A5972" s="1" t="str">
        <f>"411325200009180018"</f>
        <v>411325200009180018</v>
      </c>
      <c r="B5972" s="1" t="str">
        <f t="shared" ref="B5972:B5974" si="3020">"群众"</f>
        <v>群众</v>
      </c>
      <c r="C5972" s="1" t="str">
        <f t="shared" si="3019"/>
        <v>本科</v>
      </c>
      <c r="D5972" s="1" t="str">
        <f>"20240826"</f>
        <v>20240826</v>
      </c>
      <c r="E5972" s="1" t="str">
        <f>"黄河科技学院"</f>
        <v>黄河科技学院</v>
      </c>
      <c r="F5972" s="1" t="str">
        <f>"药学"</f>
        <v>药学</v>
      </c>
      <c r="G5972" s="1" t="str">
        <f>"河南省南阳市唐河县"</f>
        <v>河南省南阳市唐河县</v>
      </c>
      <c r="H5972" s="1" t="str">
        <f>"无"</f>
        <v>无</v>
      </c>
      <c r="I5972" s="1" t="str">
        <f>"201909-202206郑州澍青医专
202209-202408黄河科技学院"</f>
        <v>201909-202206郑州澍青医专
202209-202408黄河科技学院</v>
      </c>
    </row>
    <row r="5973" spans="1:9">
      <c r="A5973" s="1" t="str">
        <f>"411327200110174547"</f>
        <v>411327200110174547</v>
      </c>
      <c r="B5973" s="1" t="str">
        <f t="shared" si="3020"/>
        <v>群众</v>
      </c>
      <c r="C5973" s="1" t="str">
        <f t="shared" si="3018"/>
        <v>专科</v>
      </c>
      <c r="D5973" s="1" t="str">
        <f>"20230701"</f>
        <v>20230701</v>
      </c>
      <c r="E5973" s="1" t="str">
        <f>"安阳职业技术学院"</f>
        <v>安阳职业技术学院</v>
      </c>
      <c r="F5973" s="1" t="str">
        <f>"护理"</f>
        <v>护理</v>
      </c>
      <c r="G5973" s="1" t="str">
        <f>"河南省南阳市内乡县"</f>
        <v>河南省南阳市内乡县</v>
      </c>
      <c r="H5973" s="1" t="str">
        <f>"2023年取得护士资格证"</f>
        <v>2023年取得护士资格证</v>
      </c>
      <c r="I5973" s="1" t="str">
        <f>"20200901-20230701在安阳职业技术学院就读
20240221在内乡县第二人民医院急诊科
20250428在内乡县人民医院至今"</f>
        <v>20200901-20230701在安阳职业技术学院就读
20240221在内乡县第二人民医院急诊科
20250428在内乡县人民医院至今</v>
      </c>
    </row>
    <row r="5974" spans="1:9">
      <c r="A5974" s="1" t="str">
        <f>"411327198112050011"</f>
        <v>411327198112050011</v>
      </c>
      <c r="B5974" s="1" t="str">
        <f t="shared" si="3020"/>
        <v>群众</v>
      </c>
      <c r="C5974" s="1" t="str">
        <f t="shared" si="3019"/>
        <v>本科</v>
      </c>
      <c r="D5974" s="1" t="str">
        <f>"20070701"</f>
        <v>20070701</v>
      </c>
      <c r="E5974" s="1" t="str">
        <f>"河南中医学院"</f>
        <v>河南中医学院</v>
      </c>
      <c r="F5974" s="1" t="str">
        <f>"中医学（中西医结合方向）"</f>
        <v>中医学（中西医结合方向）</v>
      </c>
      <c r="G5974" s="1" t="str">
        <f>"内乡县人民医院肿瘤内科一病区"</f>
        <v>内乡县人民医院肿瘤内科一病区</v>
      </c>
      <c r="H5974" s="1" t="str">
        <f>"河南省专业技术人员职称证书（副高级）"</f>
        <v>河南省专业技术人员职称证书（副高级）</v>
      </c>
      <c r="I5974" s="1" t="str">
        <f>"200209-200707 河南中医学院 中医学（中西医结合方向）专业 全日制 就读。
200708-201605 内乡县中医院
201605-至今 内乡县人民医院"</f>
        <v>200209-200707 河南中医学院 中医学（中西医结合方向）专业 全日制 就读。
200708-201605 内乡县中医院
201605-至今 内乡县人民医院</v>
      </c>
    </row>
    <row r="5975" spans="1:9">
      <c r="A5975" s="1" t="str">
        <f>"411323200112100546"</f>
        <v>411323200112100546</v>
      </c>
      <c r="B5975" s="1" t="str">
        <f t="shared" ref="B5975:B5978" si="3021">"共青团员"</f>
        <v>共青团员</v>
      </c>
      <c r="C5975" s="1" t="str">
        <f t="shared" si="3018"/>
        <v>专科</v>
      </c>
      <c r="D5975" s="1" t="str">
        <f>"20230701"</f>
        <v>20230701</v>
      </c>
      <c r="E5975" s="1" t="str">
        <f>"河南护理职业学院"</f>
        <v>河南护理职业学院</v>
      </c>
      <c r="F5975" s="1" t="str">
        <f>"助产"</f>
        <v>助产</v>
      </c>
      <c r="G5975" s="1" t="str">
        <f>"河南省南阳市淅川县刘营村"</f>
        <v>河南省南阳市淅川县刘营村</v>
      </c>
      <c r="H5975" s="1" t="str">
        <f>"护士资格证、护士执业证"</f>
        <v>护士资格证、护士执业证</v>
      </c>
      <c r="I5975" s="1" t="str">
        <f>"20200901-20230701 河南护理职业学院就读是全日制"</f>
        <v>20200901-20230701 河南护理职业学院就读是全日制</v>
      </c>
    </row>
    <row r="5976" spans="1:9">
      <c r="A5976" s="1" t="str">
        <f>"411081200010205360"</f>
        <v>411081200010205360</v>
      </c>
      <c r="B5976" s="1" t="str">
        <f t="shared" si="3021"/>
        <v>共青团员</v>
      </c>
      <c r="C5976" s="1" t="str">
        <f t="shared" ref="C5976:C5981" si="3022">"本科"</f>
        <v>本科</v>
      </c>
      <c r="D5976" s="1" t="str">
        <f>"20240607"</f>
        <v>20240607</v>
      </c>
      <c r="E5976" s="1" t="str">
        <f>"新乡医学院三全学院"</f>
        <v>新乡医学院三全学院</v>
      </c>
      <c r="F5976" s="1" t="str">
        <f>"医学检验技术"</f>
        <v>医学检验技术</v>
      </c>
      <c r="G5976" s="1" t="str">
        <f>"河南省许昌市禹州市盛世港湾小区"</f>
        <v>河南省许昌市禹州市盛世港湾小区</v>
      </c>
      <c r="H5976" s="1" t="str">
        <f>"检验技士证"</f>
        <v>检验技士证</v>
      </c>
      <c r="I5976" s="1" t="str">
        <f>"2019.9-2022.6 商丘医学高等专科学校 医学检验技术 学生
2022.9-2024.6 新乡医学院三全学院 医学检验技术 学生"</f>
        <v>2019.9-2022.6 商丘医学高等专科学校 医学检验技术 学生
2022.9-2024.6 新乡医学院三全学院 医学检验技术 学生</v>
      </c>
    </row>
    <row r="5977" spans="1:9">
      <c r="A5977" s="1" t="str">
        <f>"411327199811053347"</f>
        <v>411327199811053347</v>
      </c>
      <c r="B5977" s="1" t="str">
        <f t="shared" ref="B5977:B5983" si="3023">"群众"</f>
        <v>群众</v>
      </c>
      <c r="C5977" s="1" t="str">
        <f t="shared" ref="C5977:C5980" si="3024">"专科"</f>
        <v>专科</v>
      </c>
      <c r="D5977" s="1" t="str">
        <f>"20210701"</f>
        <v>20210701</v>
      </c>
      <c r="E5977" s="1" t="str">
        <f>"河南医学高等专科学校"</f>
        <v>河南医学高等专科学校</v>
      </c>
      <c r="F5977" s="1" t="str">
        <f>"临床医学"</f>
        <v>临床医学</v>
      </c>
      <c r="G5977" s="1" t="str">
        <f>"河南省南阳市内乡县七里坪乡"</f>
        <v>河南省南阳市内乡县七里坪乡</v>
      </c>
      <c r="H5977" s="1" t="str">
        <f t="shared" ref="H5977:H5982" si="3025">"无"</f>
        <v>无</v>
      </c>
      <c r="I5977" s="1" t="str">
        <f>"201809-202107在 河南医学高等专科学校临床医学专业就读为全日制学历
202110-至今在内乡县中医院实习工作"</f>
        <v>201809-202107在 河南医学高等专科学校临床医学专业就读为全日制学历
202110-至今在内乡县中医院实习工作</v>
      </c>
    </row>
    <row r="5978" spans="1:9">
      <c r="A5978" s="1" t="str">
        <f>"411323199809125326"</f>
        <v>411323199809125326</v>
      </c>
      <c r="B5978" s="1" t="str">
        <f t="shared" si="3021"/>
        <v>共青团员</v>
      </c>
      <c r="C5978" s="1" t="str">
        <f t="shared" si="3024"/>
        <v>专科</v>
      </c>
      <c r="D5978" s="1" t="str">
        <f>"20200701"</f>
        <v>20200701</v>
      </c>
      <c r="E5978" s="1" t="str">
        <f>"新乡医学院三全学院"</f>
        <v>新乡医学院三全学院</v>
      </c>
      <c r="F5978" s="1" t="str">
        <f>"护理专科"</f>
        <v>护理专科</v>
      </c>
      <c r="G5978" s="1" t="str">
        <f>"河南省南阳市内乡县碧桂园"</f>
        <v>河南省南阳市内乡县碧桂园</v>
      </c>
      <c r="H5978" s="1" t="str">
        <f>"护士执业资格证"</f>
        <v>护士执业资格证</v>
      </c>
      <c r="I5978" s="1" t="str">
        <f>"201709-202007新乡医学院三全学院护理学院护理专科就读，202007-202102在淅川县待业，202102-202507内乡县第二人民医院护士"</f>
        <v>201709-202007新乡医学院三全学院护理学院护理专科就读，202007-202102在淅川县待业，202102-202507内乡县第二人民医院护士</v>
      </c>
    </row>
    <row r="5979" spans="1:9">
      <c r="A5979" s="1" t="str">
        <f>"411327199706101140"</f>
        <v>411327199706101140</v>
      </c>
      <c r="B5979" s="1" t="str">
        <f t="shared" si="3023"/>
        <v>群众</v>
      </c>
      <c r="C5979" s="1" t="str">
        <f t="shared" si="3022"/>
        <v>本科</v>
      </c>
      <c r="D5979" s="1" t="str">
        <f>"20210701"</f>
        <v>20210701</v>
      </c>
      <c r="E5979" s="1" t="str">
        <f>"新乡医院三全学院"</f>
        <v>新乡医院三全学院</v>
      </c>
      <c r="F5979" s="1" t="str">
        <f>"医学影像技术"</f>
        <v>医学影像技术</v>
      </c>
      <c r="G5979" s="1" t="str">
        <f>"河南省南阳市内乡县城关镇教育路老一高附近居民"</f>
        <v>河南省南阳市内乡县城关镇教育路老一高附近居民</v>
      </c>
      <c r="H5979" s="1" t="str">
        <f>"技师"</f>
        <v>技师</v>
      </c>
      <c r="I5979" s="1" t="str">
        <f>"201609-201906 河南医学高等专科学校 医学影像技术专业
201909-202106 新乡医学院三全学院 医学影像技术专业"</f>
        <v>201609-201906 河南医学高等专科学校 医学影像技术专业
201909-202106 新乡医学院三全学院 医学影像技术专业</v>
      </c>
    </row>
    <row r="5980" spans="1:9">
      <c r="A5980" s="1" t="str">
        <f>"411327200403083729"</f>
        <v>411327200403083729</v>
      </c>
      <c r="B5980" s="1" t="str">
        <f t="shared" si="3023"/>
        <v>群众</v>
      </c>
      <c r="C5980" s="1" t="str">
        <f t="shared" si="3024"/>
        <v>专科</v>
      </c>
      <c r="D5980" s="1" t="str">
        <f>"202507"</f>
        <v>202507</v>
      </c>
      <c r="E5980" s="1" t="str">
        <f>"河南应用技术职业学院"</f>
        <v>河南应用技术职业学院</v>
      </c>
      <c r="F5980" s="1" t="str">
        <f t="shared" ref="F5980:F5985" si="3026">"护理"</f>
        <v>护理</v>
      </c>
      <c r="G5980" s="1" t="str">
        <f>"河南省内乡县桃溪镇"</f>
        <v>河南省内乡县桃溪镇</v>
      </c>
      <c r="H5980" s="1" t="str">
        <f>"护士资格证"</f>
        <v>护士资格证</v>
      </c>
      <c r="I5980" s="1" t="str">
        <f>"202209-202507河南应用技术职业学院护理专业就读全日制专科学历"</f>
        <v>202209-202507河南应用技术职业学院护理专业就读全日制专科学历</v>
      </c>
    </row>
    <row r="5981" spans="1:9">
      <c r="A5981" s="1" t="str">
        <f>"411327200204144517"</f>
        <v>411327200204144517</v>
      </c>
      <c r="B5981" s="1" t="str">
        <f t="shared" si="3023"/>
        <v>群众</v>
      </c>
      <c r="C5981" s="1" t="str">
        <f t="shared" si="3022"/>
        <v>本科</v>
      </c>
      <c r="D5981" s="1" t="str">
        <f>"20250612"</f>
        <v>20250612</v>
      </c>
      <c r="E5981" s="1" t="str">
        <f>"黄河科技学院"</f>
        <v>黄河科技学院</v>
      </c>
      <c r="F5981" s="1" t="str">
        <f>"医学检验技术"</f>
        <v>医学检验技术</v>
      </c>
      <c r="G5981" s="1" t="str">
        <f>"河南省南阳市内乡县湍东镇彩虹城小区"</f>
        <v>河南省南阳市内乡县湍东镇彩虹城小区</v>
      </c>
      <c r="H5981" s="1" t="str">
        <f t="shared" si="3025"/>
        <v>无</v>
      </c>
      <c r="I5981" s="1" t="str">
        <f>"202009-202306在河南理工大学医学检验技术专业就读全日制学历，202309-202506在黄河科技学院医学检验技术专业就读全日制学历。"</f>
        <v>202009-202306在河南理工大学医学检验技术专业就读全日制学历，202309-202506在黄河科技学院医学检验技术专业就读全日制学历。</v>
      </c>
    </row>
    <row r="5982" spans="1:9">
      <c r="A5982" s="1" t="str">
        <f>"411381200008234230"</f>
        <v>411381200008234230</v>
      </c>
      <c r="B5982" s="1" t="str">
        <f t="shared" si="3023"/>
        <v>群众</v>
      </c>
      <c r="C5982" s="1" t="str">
        <f t="shared" ref="C5982:C5988" si="3027">"专科"</f>
        <v>专科</v>
      </c>
      <c r="D5982" s="1" t="str">
        <f>"20220707"</f>
        <v>20220707</v>
      </c>
      <c r="E5982" s="1" t="str">
        <f>"漯河医学高等专科学校"</f>
        <v>漯河医学高等专科学校</v>
      </c>
      <c r="F5982" s="1" t="str">
        <f>"临床医学"</f>
        <v>临床医学</v>
      </c>
      <c r="G5982" s="1" t="str">
        <f>"河南省邓州市十林镇"</f>
        <v>河南省邓州市十林镇</v>
      </c>
      <c r="H5982" s="1" t="str">
        <f t="shared" si="3025"/>
        <v>无</v>
      </c>
      <c r="I5982" s="1" t="str">
        <f>"2019-2022于漯河医学高等专科学校临床医学专业就读，全日制学历，毕业实习于南阳南石医院，后于邓州市中心医院参加助理全科培训并取得结业证书"</f>
        <v>2019-2022于漯河医学高等专科学校临床医学专业就读，全日制学历，毕业实习于南阳南石医院，后于邓州市中心医院参加助理全科培训并取得结业证书</v>
      </c>
    </row>
    <row r="5983" spans="1:9">
      <c r="A5983" s="1" t="str">
        <f>"411327200310181581"</f>
        <v>411327200310181581</v>
      </c>
      <c r="B5983" s="1" t="str">
        <f t="shared" si="3023"/>
        <v>群众</v>
      </c>
      <c r="C5983" s="1" t="str">
        <f t="shared" si="3027"/>
        <v>专科</v>
      </c>
      <c r="D5983" s="1" t="str">
        <f>"20240612"</f>
        <v>20240612</v>
      </c>
      <c r="E5983" s="1" t="str">
        <f t="shared" ref="E5983:E5988" si="3028">"南阳医学高等专科学校"</f>
        <v>南阳医学高等专科学校</v>
      </c>
      <c r="F5983" s="1" t="str">
        <f t="shared" si="3026"/>
        <v>护理</v>
      </c>
      <c r="G5983" s="1" t="str">
        <f>"河南省内乡县湍东镇北符营村刘北51号"</f>
        <v>河南省内乡县湍东镇北符营村刘北51号</v>
      </c>
      <c r="H5983" s="1" t="str">
        <f>"护士执业证"</f>
        <v>护士执业证</v>
      </c>
      <c r="I5983" s="1" t="str">
        <f>"202109-202406 南阳医学高等专科学校 护理专业就读 是全日制学历"</f>
        <v>202109-202406 南阳医学高等专科学校 护理专业就读 是全日制学历</v>
      </c>
    </row>
    <row r="5984" spans="1:9">
      <c r="A5984" s="1" t="str">
        <f>"411325200304132529"</f>
        <v>411325200304132529</v>
      </c>
      <c r="B5984" s="1" t="str">
        <f t="shared" ref="B5984:B5988" si="3029">"共青团员"</f>
        <v>共青团员</v>
      </c>
      <c r="C5984" s="1" t="str">
        <f>"本科"</f>
        <v>本科</v>
      </c>
      <c r="D5984" s="1" t="str">
        <f>"20250701"</f>
        <v>20250701</v>
      </c>
      <c r="E5984" s="1" t="str">
        <f>"河南医药大学"</f>
        <v>河南医药大学</v>
      </c>
      <c r="F5984" s="1" t="str">
        <f>"医学影像技术"</f>
        <v>医学影像技术</v>
      </c>
      <c r="G5984" s="1" t="str">
        <f>"河南省南阳市"</f>
        <v>河南省南阳市</v>
      </c>
      <c r="H5984" s="1" t="str">
        <f>"无"</f>
        <v>无</v>
      </c>
      <c r="I5984" s="1" t="str">
        <f>"202109-202506 河南医药大学（原新乡医学院）医学工程学院医学影像技术专业就读"</f>
        <v>202109-202506 河南医药大学（原新乡医学院）医学工程学院医学影像技术专业就读</v>
      </c>
    </row>
    <row r="5985" spans="1:9">
      <c r="A5985" s="1" t="str">
        <f>"41132720011015372X"</f>
        <v>41132720011015372X</v>
      </c>
      <c r="B5985" s="1" t="str">
        <f t="shared" si="3029"/>
        <v>共青团员</v>
      </c>
      <c r="C5985" s="1" t="str">
        <f t="shared" si="3027"/>
        <v>专科</v>
      </c>
      <c r="D5985" s="1" t="str">
        <f>"20220701"</f>
        <v>20220701</v>
      </c>
      <c r="E5985" s="1" t="str">
        <f>"郑州黄河护理职业学院"</f>
        <v>郑州黄河护理职业学院</v>
      </c>
      <c r="F5985" s="1" t="str">
        <f t="shared" si="3026"/>
        <v>护理</v>
      </c>
      <c r="G5985" s="1" t="str">
        <f>"河南省南阳市内乡县左岸皇朝"</f>
        <v>河南省南阳市内乡县左岸皇朝</v>
      </c>
      <c r="H5985" s="1" t="str">
        <f>"护士资格证"</f>
        <v>护士资格证</v>
      </c>
      <c r="I5985" s="1" t="str">
        <f>"2019年9月至2022年7月在黄河护理职业学院护理专业就读，全日制学历"</f>
        <v>2019年9月至2022年7月在黄河护理职业学院护理专业就读，全日制学历</v>
      </c>
    </row>
    <row r="5986" spans="1:9">
      <c r="A5986" s="1" t="str">
        <f>"411327200208241525"</f>
        <v>411327200208241525</v>
      </c>
      <c r="B5986" s="1" t="str">
        <f t="shared" ref="B5986:B5995" si="3030">"群众"</f>
        <v>群众</v>
      </c>
      <c r="C5986" s="1" t="str">
        <f t="shared" si="3027"/>
        <v>专科</v>
      </c>
      <c r="D5986" s="1" t="str">
        <f>"20230701"</f>
        <v>20230701</v>
      </c>
      <c r="E5986" s="1" t="str">
        <f t="shared" si="3028"/>
        <v>南阳医学高等专科学校</v>
      </c>
      <c r="F5986" s="1" t="str">
        <f>"临床医学"</f>
        <v>临床医学</v>
      </c>
      <c r="G5986" s="1" t="str">
        <f>"河南省南阳市内乡县"</f>
        <v>河南省南阳市内乡县</v>
      </c>
      <c r="H5986" s="1" t="str">
        <f>"助理医师资格证"</f>
        <v>助理医师资格证</v>
      </c>
      <c r="I5986" s="1" t="str">
        <f>"2020 0901   20230701于南阳医学高等专科学校上学"</f>
        <v>2020 0901   20230701于南阳医学高等专科学校上学</v>
      </c>
    </row>
    <row r="5987" spans="1:9">
      <c r="A5987" s="1" t="str">
        <f>"411327200502111166"</f>
        <v>411327200502111166</v>
      </c>
      <c r="B5987" s="1" t="str">
        <f t="shared" si="3030"/>
        <v>群众</v>
      </c>
      <c r="C5987" s="1" t="str">
        <f t="shared" si="3027"/>
        <v>专科</v>
      </c>
      <c r="D5987" s="1" t="str">
        <f>"2025年7月"</f>
        <v>2025年7月</v>
      </c>
      <c r="E5987" s="1" t="str">
        <f>"郑州医药健康职业学院"</f>
        <v>郑州医药健康职业学院</v>
      </c>
      <c r="F5987" s="1" t="str">
        <f>"护理"</f>
        <v>护理</v>
      </c>
      <c r="G5987" s="1" t="str">
        <f>"河南省内乡县城关镇"</f>
        <v>河南省内乡县城关镇</v>
      </c>
      <c r="H5987" s="1" t="str">
        <f>"护士资格证"</f>
        <v>护士资格证</v>
      </c>
      <c r="I5987" s="1" t="str">
        <f>"202209-202507郑州医药健康职业学院就读全日制专科
201909-202206灌涨高级中学就读
201609-201906郦都学校就读
"</f>
        <v>202209-202507郑州医药健康职业学院就读全日制专科
201909-202206灌涨高级中学就读
201609-201906郦都学校就读
</v>
      </c>
    </row>
    <row r="5988" spans="1:9">
      <c r="A5988" s="1" t="str">
        <f>"411323200111030021"</f>
        <v>411323200111030021</v>
      </c>
      <c r="B5988" s="1" t="str">
        <f t="shared" si="3029"/>
        <v>共青团员</v>
      </c>
      <c r="C5988" s="1" t="str">
        <f t="shared" si="3027"/>
        <v>专科</v>
      </c>
      <c r="D5988" s="1" t="str">
        <f>"20240612"</f>
        <v>20240612</v>
      </c>
      <c r="E5988" s="1" t="str">
        <f t="shared" si="3028"/>
        <v>南阳医学高等专科学校</v>
      </c>
      <c r="F5988" s="1" t="str">
        <f>"临床医学"</f>
        <v>临床医学</v>
      </c>
      <c r="G5988" s="1" t="str">
        <f>"河南省南阳市淅川县楚都锦城"</f>
        <v>河南省南阳市淅川县楚都锦城</v>
      </c>
      <c r="H5988" s="1" t="str">
        <f>""</f>
        <v/>
      </c>
      <c r="I5988" s="1" t="str">
        <f>"2021.09-2024.06南阳医学高等专科学校 临床医学就读全日制
2023.06-2024.02 唐河县人民医院实习
2024.06-至今   淅川县第二人民医院实习
"</f>
        <v>2021.09-2024.06南阳医学高等专科学校 临床医学就读全日制
2023.06-2024.02 唐河县人民医院实习
2024.06-至今   淅川县第二人民医院实习
</v>
      </c>
    </row>
    <row r="5989" spans="1:9">
      <c r="A5989" s="1" t="str">
        <f>"411327199004200021"</f>
        <v>411327199004200021</v>
      </c>
      <c r="B5989" s="1" t="str">
        <f t="shared" si="3030"/>
        <v>群众</v>
      </c>
      <c r="C5989" s="1" t="str">
        <f t="shared" ref="C5989:C5992" si="3031">"本科"</f>
        <v>本科</v>
      </c>
      <c r="D5989" s="1" t="str">
        <f>"20150701"</f>
        <v>20150701</v>
      </c>
      <c r="E5989" s="1" t="str">
        <f>"新乡医学院三全学院"</f>
        <v>新乡医学院三全学院</v>
      </c>
      <c r="F5989" s="1" t="str">
        <f t="shared" ref="F5989:F5992" si="3032">"护理学"</f>
        <v>护理学</v>
      </c>
      <c r="G5989" s="1" t="str">
        <f>"内乡县三里桥"</f>
        <v>内乡县三里桥</v>
      </c>
      <c r="H5989" s="1" t="str">
        <f>"主管护师"</f>
        <v>主管护师</v>
      </c>
      <c r="I5989" s="1" t="str">
        <f>"2010.09.01-2013.06南阳医学高等专科学校护理专业就读
2013.09-2015.07新乡医学院三全学院护理学专业就读
是全日制学历
"</f>
        <v>2010.09.01-2013.06南阳医学高等专科学校护理专业就读
2013.09-2015.07新乡医学院三全学院护理学专业就读
是全日制学历
</v>
      </c>
    </row>
    <row r="5990" spans="1:9">
      <c r="A5990" s="1" t="str">
        <f>"411330200001062026"</f>
        <v>411330200001062026</v>
      </c>
      <c r="B5990" s="1" t="str">
        <f t="shared" si="3030"/>
        <v>群众</v>
      </c>
      <c r="C5990" s="1" t="str">
        <f t="shared" ref="C5990:C5995" si="3033">"专科"</f>
        <v>专科</v>
      </c>
      <c r="D5990" s="1" t="str">
        <f>"20210630"</f>
        <v>20210630</v>
      </c>
      <c r="E5990" s="1" t="str">
        <f>"郑州澍青医学院"</f>
        <v>郑州澍青医学院</v>
      </c>
      <c r="F5990" s="1" t="str">
        <f t="shared" si="3032"/>
        <v>护理学</v>
      </c>
      <c r="G5990" s="1" t="str">
        <f>"河南省南阳市西峡县五里桥"</f>
        <v>河南省南阳市西峡县五里桥</v>
      </c>
      <c r="H5990" s="1" t="str">
        <f>"护士执业证"</f>
        <v>护士执业证</v>
      </c>
      <c r="I5990" s="1" t="str">
        <f>"201809-202106就读于郑州澍青医学院护理系，为全日制专科"</f>
        <v>201809-202106就读于郑州澍青医学院护理系，为全日制专科</v>
      </c>
    </row>
    <row r="5991" spans="1:9">
      <c r="A5991" s="1" t="str">
        <f>"411327199304200066"</f>
        <v>411327199304200066</v>
      </c>
      <c r="B5991" s="1" t="str">
        <f t="shared" si="3030"/>
        <v>群众</v>
      </c>
      <c r="C5991" s="1" t="str">
        <f t="shared" si="3031"/>
        <v>本科</v>
      </c>
      <c r="D5991" s="1" t="str">
        <f>"20160701"</f>
        <v>20160701</v>
      </c>
      <c r="E5991" s="1" t="str">
        <f>"河南中医药大学"</f>
        <v>河南中医药大学</v>
      </c>
      <c r="F5991" s="1" t="str">
        <f t="shared" si="3032"/>
        <v>护理学</v>
      </c>
      <c r="G5991" s="1" t="str">
        <f>"河南省南阳市内乡县城关镇西大街"</f>
        <v>河南省南阳市内乡县城关镇西大街</v>
      </c>
      <c r="H5991" s="1" t="str">
        <f>"护士资格证  中级"</f>
        <v>护士资格证  中级</v>
      </c>
      <c r="I5991" s="1" t="str">
        <f>"201209-201607 河南中医药大学 护理学专业就读，是全日制学历
201607-201612 在家待业
201612-至今 在灌涨镇卫生院工作"</f>
        <v>201209-201607 河南中医药大学 护理学专业就读，是全日制学历
201607-201612 在家待业
201612-至今 在灌涨镇卫生院工作</v>
      </c>
    </row>
    <row r="5992" spans="1:9">
      <c r="A5992" s="1" t="str">
        <f>"411325200301232022"</f>
        <v>411325200301232022</v>
      </c>
      <c r="B5992" s="1" t="str">
        <f t="shared" si="3030"/>
        <v>群众</v>
      </c>
      <c r="C5992" s="1" t="str">
        <f t="shared" si="3031"/>
        <v>本科</v>
      </c>
      <c r="D5992" s="1" t="str">
        <f>"20250615"</f>
        <v>20250615</v>
      </c>
      <c r="E5992" s="1" t="str">
        <f>"许昌学院"</f>
        <v>许昌学院</v>
      </c>
      <c r="F5992" s="1" t="str">
        <f t="shared" si="3032"/>
        <v>护理学</v>
      </c>
      <c r="G5992" s="1" t="str">
        <f>"河南省南阳市内乡县师岗镇张沟村"</f>
        <v>河南省南阳市内乡县师岗镇张沟村</v>
      </c>
      <c r="H5992" s="1" t="str">
        <f>"护士资格证"</f>
        <v>护士资格证</v>
      </c>
      <c r="I5992" s="1" t="str">
        <f>"202109－202506许昌学院医学院护理学专业就读"</f>
        <v>202109－202506许昌学院医学院护理学专业就读</v>
      </c>
    </row>
    <row r="5993" spans="1:9">
      <c r="A5993" s="1" t="str">
        <f>"411602199306080028"</f>
        <v>411602199306080028</v>
      </c>
      <c r="B5993" s="1" t="str">
        <f t="shared" si="3030"/>
        <v>群众</v>
      </c>
      <c r="C5993" s="1" t="str">
        <f t="shared" si="3033"/>
        <v>专科</v>
      </c>
      <c r="D5993" s="1" t="str">
        <f>"20150630"</f>
        <v>20150630</v>
      </c>
      <c r="E5993" s="1" t="str">
        <f>"襄阳职业技术学院"</f>
        <v>襄阳职业技术学院</v>
      </c>
      <c r="F5993" s="1" t="str">
        <f>"护理"</f>
        <v>护理</v>
      </c>
      <c r="G5993" s="1" t="str">
        <f>"南阳市宛城区解放路印刷厂家属院"</f>
        <v>南阳市宛城区解放路印刷厂家属院</v>
      </c>
      <c r="H5993" s="1" t="str">
        <f>"护师"</f>
        <v>护师</v>
      </c>
      <c r="I5993" s="1" t="str">
        <f>"201209--201506就读于襄阳职业技术学院。(全日制专科）
201703--201907就读于南阳理工学院。（成人高等教育）
2016年04至2018年4月任职南阳南石医院神经内科护士岗位。
2019年6月至今任职于郑州市郑东新区商都路莲湖社区卫生服务中心公共卫生科室护士岗。
"</f>
        <v>201209--201506就读于襄阳职业技术学院。(全日制专科）
201703--201907就读于南阳理工学院。（成人高等教育）
2016年04至2018年4月任职南阳南石医院神经内科护士岗位。
2019年6月至今任职于郑州市郑东新区商都路莲湖社区卫生服务中心公共卫生科室护士岗。
</v>
      </c>
    </row>
    <row r="5994" spans="1:9">
      <c r="A5994" s="1" t="str">
        <f>"411327199807021166"</f>
        <v>411327199807021166</v>
      </c>
      <c r="B5994" s="1" t="str">
        <f t="shared" si="3030"/>
        <v>群众</v>
      </c>
      <c r="C5994" s="1" t="str">
        <f t="shared" si="3033"/>
        <v>专科</v>
      </c>
      <c r="D5994" s="1" t="str">
        <f>"2020-06-01"</f>
        <v>2020-06-01</v>
      </c>
      <c r="E5994" s="1" t="str">
        <f>"平顶山学院"</f>
        <v>平顶山学院</v>
      </c>
      <c r="F5994" s="1" t="str">
        <f>"护理"</f>
        <v>护理</v>
      </c>
      <c r="G5994" s="1" t="str">
        <f>"河南省内乡县城关镇内乡县妇幼保健院门卫"</f>
        <v>河南省内乡县城关镇内乡县妇幼保健院门卫</v>
      </c>
      <c r="H5994" s="1" t="str">
        <f>"护师"</f>
        <v>护师</v>
      </c>
      <c r="I5994" s="1" t="str">
        <f>"201709-202006平顶山学院医学院护理专业就读，全日制
202007-至今就职于内乡县妇幼保健院手术室"</f>
        <v>201709-202006平顶山学院医学院护理专业就读，全日制
202007-至今就职于内乡县妇幼保健院手术室</v>
      </c>
    </row>
    <row r="5995" spans="1:9">
      <c r="A5995" s="1" t="str">
        <f>"411327200309074543"</f>
        <v>411327200309074543</v>
      </c>
      <c r="B5995" s="1" t="str">
        <f t="shared" si="3030"/>
        <v>群众</v>
      </c>
      <c r="C5995" s="1" t="str">
        <f t="shared" si="3033"/>
        <v>专科</v>
      </c>
      <c r="D5995" s="1" t="str">
        <f>"20250611"</f>
        <v>20250611</v>
      </c>
      <c r="E5995" s="1" t="str">
        <f>"河南护理职业学校"</f>
        <v>河南护理职业学校</v>
      </c>
      <c r="F5995" s="1" t="str">
        <f>"临床医学"</f>
        <v>临床医学</v>
      </c>
      <c r="G5995" s="1" t="str">
        <f>"河南省南阳市内乡县赵店乡张庄村冯东34号"</f>
        <v>河南省南阳市内乡县赵店乡张庄村冯东34号</v>
      </c>
      <c r="H5995" s="1" t="str">
        <f t="shared" ref="H5995:H5999" si="3034">"无"</f>
        <v>无</v>
      </c>
      <c r="I5995" s="1" t="str">
        <f>"202209-202506河南护理职业学院临床医学专业就读，是全日制学历
201909-202206内乡县第三高级中学就读
201609-201906内乡县第一初级中学就读
201009-201606赵店乡中心小学就读"</f>
        <v>202209-202506河南护理职业学院临床医学专业就读，是全日制学历
201909-202206内乡县第三高级中学就读
201609-201906内乡县第一初级中学就读
201009-201606赵店乡中心小学就读</v>
      </c>
    </row>
    <row r="5996" spans="1:9">
      <c r="A5996" s="1" t="str">
        <f>"411327199804020029"</f>
        <v>411327199804020029</v>
      </c>
      <c r="B5996" s="1" t="str">
        <f>"中共党员"</f>
        <v>中共党员</v>
      </c>
      <c r="C5996" s="1" t="str">
        <f t="shared" ref="C5996:C5999" si="3035">"本科"</f>
        <v>本科</v>
      </c>
      <c r="D5996" s="1" t="str">
        <f>"20210701"</f>
        <v>20210701</v>
      </c>
      <c r="E5996" s="1" t="str">
        <f>"新乡医学院三全学院"</f>
        <v>新乡医学院三全学院</v>
      </c>
      <c r="F5996" s="1" t="str">
        <f>"医学检验技术"</f>
        <v>医学检验技术</v>
      </c>
      <c r="G5996" s="1" t="str">
        <f>"河南省南阳市内乡县渚阳大街"</f>
        <v>河南省南阳市内乡县渚阳大街</v>
      </c>
      <c r="H5996" s="1" t="str">
        <f t="shared" si="3034"/>
        <v>无</v>
      </c>
      <c r="I5996" s="1" t="str">
        <f>"201609-202106在新乡医学院三全学院崇德书院医学检验技术专业就读，全日制学历"</f>
        <v>201609-202106在新乡医学院三全学院崇德书院医学检验技术专业就读，全日制学历</v>
      </c>
    </row>
    <row r="5997" spans="1:9">
      <c r="A5997" s="1" t="str">
        <f>"412826200011204925"</f>
        <v>412826200011204925</v>
      </c>
      <c r="B5997" s="1" t="str">
        <f t="shared" ref="B5997:B5999" si="3036">"共青团员"</f>
        <v>共青团员</v>
      </c>
      <c r="C5997" s="1" t="str">
        <f t="shared" si="3035"/>
        <v>本科</v>
      </c>
      <c r="D5997" s="1" t="str">
        <f>"20250613"</f>
        <v>20250613</v>
      </c>
      <c r="E5997" s="1" t="str">
        <f>"新乡医学院三全学院"</f>
        <v>新乡医学院三全学院</v>
      </c>
      <c r="F5997" s="1" t="str">
        <f>"医学影像技术专业"</f>
        <v>医学影像技术专业</v>
      </c>
      <c r="G5997" s="1" t="str">
        <f>"河南省驻马店市汝南县东官庄镇宋屯村董庄"</f>
        <v>河南省驻马店市汝南县东官庄镇宋屯村董庄</v>
      </c>
      <c r="H5997" s="1" t="str">
        <f>"放射医学技术资格证"</f>
        <v>放射医学技术资格证</v>
      </c>
      <c r="I5997" s="1" t="str">
        <f>"2020.09-2023.06 南阳医学高等专科学校医学技术系医学影像技术专业全日制
2023.09-2025.06 新乡医学院三全学院羲和书院医学影像技术专业全日制"</f>
        <v>2020.09-2023.06 南阳医学高等专科学校医学技术系医学影像技术专业全日制
2023.09-2025.06 新乡医学院三全学院羲和书院医学影像技术专业全日制</v>
      </c>
    </row>
    <row r="5998" spans="1:9">
      <c r="A5998" s="1" t="str">
        <f>"411330200203284524"</f>
        <v>411330200203284524</v>
      </c>
      <c r="B5998" s="1" t="str">
        <f t="shared" si="3036"/>
        <v>共青团员</v>
      </c>
      <c r="C5998" s="1" t="str">
        <f t="shared" ref="C5998:C6001" si="3037">"专科"</f>
        <v>专科</v>
      </c>
      <c r="D5998" s="1" t="str">
        <f>"20230701"</f>
        <v>20230701</v>
      </c>
      <c r="E5998" s="1" t="str">
        <f>"南阳医学高等专科学校"</f>
        <v>南阳医学高等专科学校</v>
      </c>
      <c r="F5998" s="1" t="str">
        <f>"临床医学专业"</f>
        <v>临床医学专业</v>
      </c>
      <c r="G5998" s="1" t="str">
        <f>"河南省南阳市西峡县"</f>
        <v>河南省南阳市西峡县</v>
      </c>
      <c r="H5998" s="1" t="str">
        <f>"执业助理医师资格证、助理医师规范化培训证书"</f>
        <v>执业助理医师资格证、助理医师规范化培训证书</v>
      </c>
      <c r="I5998" s="1" t="str">
        <f>"202010-202307南阳医学高等专科学校临床医学专业就读，为全日制学历；
后于202308-2025.08在内乡县人民医院参加助理医师规范化培训"</f>
        <v>202010-202307南阳医学高等专科学校临床医学专业就读，为全日制学历；
后于202308-2025.08在内乡县人民医院参加助理医师规范化培训</v>
      </c>
    </row>
    <row r="5999" spans="1:9">
      <c r="A5999" s="1" t="str">
        <f>"41132420000918002X"</f>
        <v>41132420000918002X</v>
      </c>
      <c r="B5999" s="1" t="str">
        <f t="shared" si="3036"/>
        <v>共青团员</v>
      </c>
      <c r="C5999" s="1" t="str">
        <f t="shared" si="3035"/>
        <v>本科</v>
      </c>
      <c r="D5999" s="1" t="str">
        <f>"20240615"</f>
        <v>20240615</v>
      </c>
      <c r="E5999" s="1" t="str">
        <f>"郑州工业应用技术学院"</f>
        <v>郑州工业应用技术学院</v>
      </c>
      <c r="F5999" s="1" t="str">
        <f>"护理学"</f>
        <v>护理学</v>
      </c>
      <c r="G5999" s="1" t="str">
        <f>"河南省镇平县城关镇小店村13组31号"</f>
        <v>河南省镇平县城关镇小店村13组31号</v>
      </c>
      <c r="H5999" s="1" t="str">
        <f t="shared" si="3034"/>
        <v>无</v>
      </c>
      <c r="I5999" s="1" t="str">
        <f>"201909-202206 信阳职业技术学院 护理学就读 是全日制学历
202209-202406 郑州工业应用技术学院 护理学就读 是全日制学历"</f>
        <v>201909-202206 信阳职业技术学院 护理学就读 是全日制学历
202209-202406 郑州工业应用技术学院 护理学就读 是全日制学历</v>
      </c>
    </row>
    <row r="6000" spans="1:9">
      <c r="A6000" s="1" t="str">
        <f>"411381200107153946"</f>
        <v>411381200107153946</v>
      </c>
      <c r="B6000" s="1" t="str">
        <f t="shared" ref="B6000:B6005" si="3038">"群众"</f>
        <v>群众</v>
      </c>
      <c r="C6000" s="1" t="str">
        <f t="shared" si="3037"/>
        <v>专科</v>
      </c>
      <c r="D6000" s="1" t="str">
        <f>"20230701"</f>
        <v>20230701</v>
      </c>
      <c r="E6000" s="1" t="str">
        <f>"南阳医学高等专科学校"</f>
        <v>南阳医学高等专科学校</v>
      </c>
      <c r="F6000" s="1" t="str">
        <f>"护理"</f>
        <v>护理</v>
      </c>
      <c r="G6000" s="1" t="str">
        <f>"河南省邓州市罗庄镇马岗村"</f>
        <v>河南省邓州市罗庄镇马岗村</v>
      </c>
      <c r="H6000" s="1" t="str">
        <f>"护士资格证"</f>
        <v>护士资格证</v>
      </c>
      <c r="I6000" s="1" t="str">
        <f>"202009–202307 在南阳医学高等专科学校 护理系护理专业就读
202307–202507 在河南省邓州市罗庄镇马岗村待业"</f>
        <v>202009–202307 在南阳医学高等专科学校 护理系护理专业就读
202307–202507 在河南省邓州市罗庄镇马岗村待业</v>
      </c>
    </row>
    <row r="6001" spans="1:9">
      <c r="A6001" s="1" t="str">
        <f>"411381199304254222"</f>
        <v>411381199304254222</v>
      </c>
      <c r="B6001" s="1" t="str">
        <f t="shared" si="3038"/>
        <v>群众</v>
      </c>
      <c r="C6001" s="1" t="str">
        <f t="shared" si="3037"/>
        <v>专科</v>
      </c>
      <c r="D6001" s="1" t="str">
        <f>"20250620"</f>
        <v>20250620</v>
      </c>
      <c r="E6001" s="1" t="str">
        <f>"河南科技职业大学"</f>
        <v>河南科技职业大学</v>
      </c>
      <c r="F6001" s="1" t="str">
        <f>"临床医学"</f>
        <v>临床医学</v>
      </c>
      <c r="G6001" s="1" t="str">
        <f>"河南省内乡县城关镇老城郊乡镇府"</f>
        <v>河南省内乡县城关镇老城郊乡镇府</v>
      </c>
      <c r="H6001" s="1" t="str">
        <f>"超声波医学技术中级    放射医学技术初级师"</f>
        <v>超声波医学技术中级    放射医学技术初级师</v>
      </c>
      <c r="I6001" s="1" t="str">
        <f>"202209-202506  在河南科技职业大学就读      是全日制"</f>
        <v>202209-202506  在河南科技职业大学就读      是全日制</v>
      </c>
    </row>
    <row r="6002" spans="1:9">
      <c r="A6002" s="1" t="str">
        <f>"130622200108203018"</f>
        <v>130622200108203018</v>
      </c>
      <c r="B6002" s="1" t="str">
        <f t="shared" si="3038"/>
        <v>群众</v>
      </c>
      <c r="C6002" s="1" t="str">
        <f t="shared" ref="C6002:C6007" si="3039">"本科"</f>
        <v>本科</v>
      </c>
      <c r="D6002" s="1" t="str">
        <f>"20250609"</f>
        <v>20250609</v>
      </c>
      <c r="E6002" s="1" t="str">
        <f>"华北理工大学冀唐学院"</f>
        <v>华北理工大学冀唐学院</v>
      </c>
      <c r="F6002" s="1" t="str">
        <f>"临床医学"</f>
        <v>临床医学</v>
      </c>
      <c r="G6002" s="1" t="str">
        <f>"河北省保定市莲池区"</f>
        <v>河北省保定市莲池区</v>
      </c>
      <c r="H6002" s="1" t="str">
        <f>"无"</f>
        <v>无</v>
      </c>
      <c r="I6002" s="1" t="str">
        <f>"202009-202509华北理工大学冀唐学院"</f>
        <v>202009-202509华北理工大学冀唐学院</v>
      </c>
    </row>
    <row r="6003" spans="1:9">
      <c r="A6003" s="1" t="str">
        <f>"411327199302043925"</f>
        <v>411327199302043925</v>
      </c>
      <c r="B6003" s="1" t="str">
        <f t="shared" si="3038"/>
        <v>群众</v>
      </c>
      <c r="C6003" s="1" t="str">
        <f t="shared" ref="C6003:C6012" si="3040">"专科"</f>
        <v>专科</v>
      </c>
      <c r="D6003" s="1" t="str">
        <f>"20150701"</f>
        <v>20150701</v>
      </c>
      <c r="E6003" s="1" t="str">
        <f>"商丘医学高等专科学校"</f>
        <v>商丘医学高等专科学校</v>
      </c>
      <c r="F6003" s="1" t="str">
        <f>"护理"</f>
        <v>护理</v>
      </c>
      <c r="G6003" s="1" t="str">
        <f>"内乡县湍东林场小区"</f>
        <v>内乡县湍东林场小区</v>
      </c>
      <c r="H6003" s="1" t="str">
        <f>"护师资格证"</f>
        <v>护师资格证</v>
      </c>
      <c r="I6003" s="1" t="str">
        <f>"200909-201206 内乡县实验高中学校 就读
201209-201507 商丘医学高等专科学校  护理系 护理专业 就读 全日制
201508-2025至今 内乡县人民医院 工作"</f>
        <v>200909-201206 内乡县实验高中学校 就读
201209-201507 商丘医学高等专科学校  护理系 护理专业 就读 全日制
201508-2025至今 内乡县人民医院 工作</v>
      </c>
    </row>
    <row r="6004" spans="1:9">
      <c r="A6004" s="1" t="str">
        <f>"411327199009190627"</f>
        <v>411327199009190627</v>
      </c>
      <c r="B6004" s="1" t="str">
        <f t="shared" si="3038"/>
        <v>群众</v>
      </c>
      <c r="C6004" s="1" t="str">
        <f t="shared" si="3040"/>
        <v>专科</v>
      </c>
      <c r="D6004" s="1" t="str">
        <f>"20120707"</f>
        <v>20120707</v>
      </c>
      <c r="E6004" s="1" t="str">
        <f>"郑州华信学院"</f>
        <v>郑州华信学院</v>
      </c>
      <c r="F6004" s="1" t="str">
        <f>"药物制剂技术"</f>
        <v>药物制剂技术</v>
      </c>
      <c r="G6004" s="1" t="str">
        <f>"内乡县马山口镇大寨村"</f>
        <v>内乡县马山口镇大寨村</v>
      </c>
      <c r="H6004" s="1" t="str">
        <f>"药师初级"</f>
        <v>药师初级</v>
      </c>
      <c r="I6004" s="1" t="str">
        <f>"200909-201207 郑州华信学院 药物制剂技术专业就读，是全日制学历。2012年10月至20218年11月在马山口镇惠民医院药房工作，20218年12月至今在内乡县马山口镇卫生院药房工作。
"</f>
        <v>200909-201207 郑州华信学院 药物制剂技术专业就读，是全日制学历。2012年10月至20218年11月在马山口镇惠民医院药房工作，20218年12月至今在内乡县马山口镇卫生院药房工作。
</v>
      </c>
    </row>
    <row r="6005" spans="1:9">
      <c r="A6005" s="1" t="str">
        <f>"411521199710068323"</f>
        <v>411521199710068323</v>
      </c>
      <c r="B6005" s="1" t="str">
        <f t="shared" si="3038"/>
        <v>群众</v>
      </c>
      <c r="C6005" s="1" t="str">
        <f t="shared" si="3039"/>
        <v>本科</v>
      </c>
      <c r="D6005" s="1" t="str">
        <f>"20210701"</f>
        <v>20210701</v>
      </c>
      <c r="E6005" s="1" t="str">
        <f>"郑州工业应用技术学院"</f>
        <v>郑州工业应用技术学院</v>
      </c>
      <c r="F6005" s="1" t="str">
        <f>"药学"</f>
        <v>药学</v>
      </c>
      <c r="G6005" s="1" t="str">
        <f>"河南省信阳市罗山县"</f>
        <v>河南省信阳市罗山县</v>
      </c>
      <c r="H6005" s="1" t="str">
        <f>"国家GCP证书"</f>
        <v>国家GCP证书</v>
      </c>
      <c r="I6005" s="1" t="str">
        <f>"201609-201907信阳职业技术学院就读
201909-202107郑州工业应用技术学院就读
202107-202202上海药明津石医药科技有限公司 临床协调员
202202-202302 待业
202302-202308上海兆汇医药科技有限公司 临床协调员
202308-至今 待业"</f>
        <v>201609-201907信阳职业技术学院就读
201909-202107郑州工业应用技术学院就读
202107-202202上海药明津石医药科技有限公司 临床协调员
202202-202302 待业
202302-202308上海兆汇医药科技有限公司 临床协调员
202308-至今 待业</v>
      </c>
    </row>
    <row r="6006" spans="1:9">
      <c r="A6006" s="1" t="str">
        <f>"612501199811076616"</f>
        <v>612501199811076616</v>
      </c>
      <c r="B6006" s="1" t="str">
        <f>"共青团员"</f>
        <v>共青团员</v>
      </c>
      <c r="C6006" s="1" t="str">
        <f t="shared" si="3039"/>
        <v>本科</v>
      </c>
      <c r="D6006" s="1" t="str">
        <f>"20220711"</f>
        <v>20220711</v>
      </c>
      <c r="E6006" s="1" t="str">
        <f>"陕西中医药大学"</f>
        <v>陕西中医药大学</v>
      </c>
      <c r="F6006" s="1" t="str">
        <f>"医学检验技术"</f>
        <v>医学检验技术</v>
      </c>
      <c r="G6006" s="1" t="str">
        <f>"陕西省西安市高陵区中央水榭领地"</f>
        <v>陕西省西安市高陵区中央水榭领地</v>
      </c>
      <c r="H6006" s="1" t="str">
        <f>"初级检验师"</f>
        <v>初级检验师</v>
      </c>
      <c r="I6006" s="1" t="str">
        <f>"201809-202207在陕西中医药大学医学技术学院医学检验技术就读全日制学历
202208-202211在广州华银康检验公司工作
202212-202404在陕西森工医院工作
202404-至今在西安市中央水榭领地待业"</f>
        <v>201809-202207在陕西中医药大学医学技术学院医学检验技术就读全日制学历
202208-202211在广州华银康检验公司工作
202212-202404在陕西森工医院工作
202404-至今在西安市中央水榭领地待业</v>
      </c>
    </row>
    <row r="6007" spans="1:9">
      <c r="A6007" s="1" t="str">
        <f>"411324199803203422"</f>
        <v>411324199803203422</v>
      </c>
      <c r="B6007" s="1" t="str">
        <f t="shared" ref="B6007:B6010" si="3041">"群众"</f>
        <v>群众</v>
      </c>
      <c r="C6007" s="1" t="str">
        <f t="shared" si="3039"/>
        <v>本科</v>
      </c>
      <c r="D6007" s="1" t="str">
        <f>"20250701"</f>
        <v>20250701</v>
      </c>
      <c r="E6007" s="1" t="str">
        <f>"黄淮学院"</f>
        <v>黄淮学院</v>
      </c>
      <c r="F6007" s="1" t="str">
        <f>"护理"</f>
        <v>护理</v>
      </c>
      <c r="G6007" s="1" t="str">
        <f>"河南省南阳市镇平县贾宋镇文化市场"</f>
        <v>河南省南阳市镇平县贾宋镇文化市场</v>
      </c>
      <c r="H6007" s="1" t="str">
        <f>"护士资格证"</f>
        <v>护士资格证</v>
      </c>
      <c r="I6007" s="1" t="str">
        <f>"201808—202107在南阳医学高等专科学校国际教育学院对外护理专业就读，全日制学历。
202108—202308在南阳市镇平县贾宋镇小王医生诊所就业
202309—202504在浙江省金华市傅村镇周菁华口腔诊所就业
202505—202507在南阳市镇平县中医院就业
202304—202507在黄淮学院护理系就读，非全日制学历。"</f>
        <v>201808—202107在南阳医学高等专科学校国际教育学院对外护理专业就读，全日制学历。
202108—202308在南阳市镇平县贾宋镇小王医生诊所就业
202309—202504在浙江省金华市傅村镇周菁华口腔诊所就业
202505—202507在南阳市镇平县中医院就业
202304—202507在黄淮学院护理系就读，非全日制学历。</v>
      </c>
    </row>
    <row r="6008" spans="1:9">
      <c r="A6008" s="1" t="str">
        <f>"411325200506242945"</f>
        <v>411325200506242945</v>
      </c>
      <c r="B6008" s="1" t="str">
        <f t="shared" si="3041"/>
        <v>群众</v>
      </c>
      <c r="C6008" s="1" t="str">
        <f t="shared" si="3040"/>
        <v>专科</v>
      </c>
      <c r="D6008" s="1" t="str">
        <f>"20250624"</f>
        <v>20250624</v>
      </c>
      <c r="E6008" s="1" t="str">
        <f>"安阳职业技术学院"</f>
        <v>安阳职业技术学院</v>
      </c>
      <c r="F6008" s="1" t="str">
        <f>"护理(中医护理)"</f>
        <v>护理(中医护理)</v>
      </c>
      <c r="G6008" s="1" t="str">
        <f>"南阳"</f>
        <v>南阳</v>
      </c>
      <c r="H6008" s="1" t="str">
        <f>"护士资格证"</f>
        <v>护士资格证</v>
      </c>
      <c r="I6008" s="1" t="str">
        <f>"2022.09-2025.07在安阳职业技术学院护理(中医护理)专业在安阳职业技术学院就读，为全日制专科，2024.06-2025.02在南阳市中医院实习"</f>
        <v>2022.09-2025.07在安阳职业技术学院护理(中医护理)专业在安阳职业技术学院就读，为全日制专科，2024.06-2025.02在南阳市中医院实习</v>
      </c>
    </row>
    <row r="6009" spans="1:9">
      <c r="A6009" s="1" t="str">
        <f>"41132520020808212X"</f>
        <v>41132520020808212X</v>
      </c>
      <c r="B6009" s="1" t="str">
        <f t="shared" si="3041"/>
        <v>群众</v>
      </c>
      <c r="C6009" s="1" t="str">
        <f t="shared" si="3040"/>
        <v>专科</v>
      </c>
      <c r="D6009" s="1" t="str">
        <f>"20230701"</f>
        <v>20230701</v>
      </c>
      <c r="E6009" s="1" t="str">
        <f>"南阳医学高等专科学校"</f>
        <v>南阳医学高等专科学校</v>
      </c>
      <c r="F6009" s="1" t="str">
        <f>"临床医学"</f>
        <v>临床医学</v>
      </c>
      <c r="G6009" s="1" t="str">
        <f>"河南省内乡县"</f>
        <v>河南省内乡县</v>
      </c>
      <c r="H6009" s="1" t="str">
        <f>"执业助理医师资格证"</f>
        <v>执业助理医师资格证</v>
      </c>
      <c r="I6009" s="1" t="str">
        <f>"202009-202307南阳医学高等专科学校临床医学系临床医学专业就读，是全日制学历
202309-202508在内乡县人民医院助理全科医师规范化培训"</f>
        <v>202009-202307南阳医学高等专科学校临床医学系临床医学专业就读，是全日制学历
202309-202508在内乡县人民医院助理全科医师规范化培训</v>
      </c>
    </row>
    <row r="6010" spans="1:9">
      <c r="A6010" s="1" t="str">
        <f>"411327199906282521"</f>
        <v>411327199906282521</v>
      </c>
      <c r="B6010" s="1" t="str">
        <f t="shared" si="3041"/>
        <v>群众</v>
      </c>
      <c r="C6010" s="1" t="str">
        <f t="shared" si="3040"/>
        <v>专科</v>
      </c>
      <c r="D6010" s="1" t="str">
        <f>"20210701"</f>
        <v>20210701</v>
      </c>
      <c r="E6010" s="1" t="str">
        <f>"三门峡职业技术学院"</f>
        <v>三门峡职业技术学院</v>
      </c>
      <c r="F6010" s="1" t="str">
        <f>"护理"</f>
        <v>护理</v>
      </c>
      <c r="G6010" s="1" t="str">
        <f>"内乡县王店镇"</f>
        <v>内乡县王店镇</v>
      </c>
      <c r="H6010" s="1" t="str">
        <f>"护士"</f>
        <v>护士</v>
      </c>
      <c r="I6010" s="1" t="str">
        <f>"护士资格证"</f>
        <v>护士资格证</v>
      </c>
    </row>
    <row r="6011" spans="1:9">
      <c r="A6011" s="1" t="str">
        <f>"411303200410120259"</f>
        <v>411303200410120259</v>
      </c>
      <c r="B6011" s="1" t="str">
        <f t="shared" ref="B6011:B6013" si="3042">"共青团员"</f>
        <v>共青团员</v>
      </c>
      <c r="C6011" s="1" t="str">
        <f t="shared" si="3040"/>
        <v>专科</v>
      </c>
      <c r="D6011" s="1" t="str">
        <f>"20250628"</f>
        <v>20250628</v>
      </c>
      <c r="E6011" s="1" t="str">
        <f>"南阳医学高等专科学校"</f>
        <v>南阳医学高等专科学校</v>
      </c>
      <c r="F6011" s="1" t="str">
        <f>"临床医学"</f>
        <v>临床医学</v>
      </c>
      <c r="G6011" s="1" t="str">
        <f>"河南省南阳市卧龙区教育佳苑"</f>
        <v>河南省南阳市卧龙区教育佳苑</v>
      </c>
      <c r="H6011" s="1" t="str">
        <f>"普通话二级甲等"</f>
        <v>普通话二级甲等</v>
      </c>
      <c r="I6011" s="1" t="str">
        <f>"202209-202506 南阳医学高等专科学校国际教育学院临床医学专业就读，为全日制学历。（其间：202406-202502于南阳市第一人民医院骨一科、儿三科、妇一科、急诊医学科、肿瘤血液科、血管外科、神经内三科、肝胆胰脾外科等科室实习）"</f>
        <v>202209-202506 南阳医学高等专科学校国际教育学院临床医学专业就读，为全日制学历。（其间：202406-202502于南阳市第一人民医院骨一科、儿三科、妇一科、急诊医学科、肿瘤血液科、血管外科、神经内三科、肝胆胰脾外科等科室实习）</v>
      </c>
    </row>
    <row r="6012" spans="1:9">
      <c r="A6012" s="1" t="str">
        <f>"41132820020626616X"</f>
        <v>41132820020626616X</v>
      </c>
      <c r="B6012" s="1" t="str">
        <f t="shared" si="3042"/>
        <v>共青团员</v>
      </c>
      <c r="C6012" s="1" t="str">
        <f t="shared" si="3040"/>
        <v>专科</v>
      </c>
      <c r="D6012" s="1" t="str">
        <f>"20250701"</f>
        <v>20250701</v>
      </c>
      <c r="E6012" s="1" t="str">
        <f>"河南医学高等专科学校"</f>
        <v>河南医学高等专科学校</v>
      </c>
      <c r="F6012" s="1" t="str">
        <f t="shared" ref="F6012:F6015" si="3043">"药学"</f>
        <v>药学</v>
      </c>
      <c r="G6012" s="1" t="str">
        <f>"河南省南阳市新野县新甸铺镇"</f>
        <v>河南省南阳市新野县新甸铺镇</v>
      </c>
      <c r="H6012" s="1" t="str">
        <f t="shared" ref="H6012:H6015" si="3044">"无"</f>
        <v>无</v>
      </c>
      <c r="I6012" s="1" t="str">
        <f>"202209-202507河南医学高等专科学校药学系就读药学专业，是全日制学历"</f>
        <v>202209-202507河南医学高等专科学校药学系就读药学专业，是全日制学历</v>
      </c>
    </row>
    <row r="6013" spans="1:9">
      <c r="A6013" s="1" t="str">
        <f>"411303200301060867"</f>
        <v>411303200301060867</v>
      </c>
      <c r="B6013" s="1" t="str">
        <f t="shared" si="3042"/>
        <v>共青团员</v>
      </c>
      <c r="C6013" s="1" t="str">
        <f t="shared" ref="C6013:C6015" si="3045">"本科"</f>
        <v>本科</v>
      </c>
      <c r="D6013" s="1" t="str">
        <f>"20250601"</f>
        <v>20250601</v>
      </c>
      <c r="E6013" s="1" t="str">
        <f>"黄河科技学院"</f>
        <v>黄河科技学院</v>
      </c>
      <c r="F6013" s="1" t="str">
        <f>"医学检验技术"</f>
        <v>医学检验技术</v>
      </c>
      <c r="G6013" s="1" t="str">
        <f>"河南省南阳市宛城区仲景街道光武东路帝苑锦城"</f>
        <v>河南省南阳市宛城区仲景街道光武东路帝苑锦城</v>
      </c>
      <c r="H6013" s="1" t="str">
        <f t="shared" si="3044"/>
        <v>无</v>
      </c>
      <c r="I6013" s="1" t="str">
        <f>"20230901-20250601黄河科技学院医学部医学检验技术专业就读，全日制。"</f>
        <v>20230901-20250601黄河科技学院医学部医学检验技术专业就读，全日制。</v>
      </c>
    </row>
    <row r="6014" spans="1:9">
      <c r="A6014" s="1" t="str">
        <f>"411381199901164241"</f>
        <v>411381199901164241</v>
      </c>
      <c r="B6014" s="1" t="str">
        <f t="shared" ref="B6014:B6020" si="3046">"群众"</f>
        <v>群众</v>
      </c>
      <c r="C6014" s="1" t="str">
        <f t="shared" si="3045"/>
        <v>本科</v>
      </c>
      <c r="D6014" s="1" t="str">
        <f>"20250626"</f>
        <v>20250626</v>
      </c>
      <c r="E6014" s="1" t="str">
        <f>"济宁医学院"</f>
        <v>济宁医学院</v>
      </c>
      <c r="F6014" s="1" t="str">
        <f t="shared" si="3043"/>
        <v>药学</v>
      </c>
      <c r="G6014" s="1" t="str">
        <f>"河南省南阳市邓州市十林镇黄岗村"</f>
        <v>河南省南阳市邓州市十林镇黄岗村</v>
      </c>
      <c r="H6014" s="1" t="str">
        <f t="shared" si="3044"/>
        <v>无</v>
      </c>
      <c r="I6014" s="1" t="str">
        <f>"202010-202306滨州职业学院药学院药学专业学校 就读
202309-202506济宁医学院药学院药学专业学校 就读"</f>
        <v>202010-202306滨州职业学院药学院药学专业学校 就读
202309-202506济宁医学院药学院药学专业学校 就读</v>
      </c>
    </row>
    <row r="6015" spans="1:9">
      <c r="A6015" s="1" t="str">
        <f>"360421200012172611"</f>
        <v>360421200012172611</v>
      </c>
      <c r="B6015" s="1" t="str">
        <f>"共青团员"</f>
        <v>共青团员</v>
      </c>
      <c r="C6015" s="1" t="str">
        <f t="shared" si="3045"/>
        <v>本科</v>
      </c>
      <c r="D6015" s="1" t="str">
        <f>"20230601"</f>
        <v>20230601</v>
      </c>
      <c r="E6015" s="1" t="str">
        <f>"江西中医药大学"</f>
        <v>江西中医药大学</v>
      </c>
      <c r="F6015" s="1" t="str">
        <f t="shared" si="3043"/>
        <v>药学</v>
      </c>
      <c r="G6015" s="1" t="str">
        <f>"江西省九江市濂溪区莲花镇怡嘉苑东区86栋48号门面美孚润滑油养护中心"</f>
        <v>江西省九江市濂溪区莲花镇怡嘉苑东区86栋48号门面美孚润滑油养护中心</v>
      </c>
      <c r="H6015" s="1" t="str">
        <f t="shared" si="3044"/>
        <v>无</v>
      </c>
      <c r="I6015" s="1" t="str">
        <f>"201909-202306  江西中医药大学  就读  药学院药学专业  全日制本科"</f>
        <v>201909-202306  江西中医药大学  就读  药学院药学专业  全日制本科</v>
      </c>
    </row>
    <row r="6016" spans="1:9">
      <c r="A6016" s="1" t="str">
        <f>"411381200211140301"</f>
        <v>411381200211140301</v>
      </c>
      <c r="B6016" s="1" t="str">
        <f t="shared" si="3046"/>
        <v>群众</v>
      </c>
      <c r="C6016" s="1" t="str">
        <f t="shared" ref="C6016:C6020" si="3047">"专科"</f>
        <v>专科</v>
      </c>
      <c r="D6016" s="1" t="str">
        <f>"2023-07-01"</f>
        <v>2023-07-01</v>
      </c>
      <c r="E6016" s="1" t="str">
        <f>"商丘医学高等专科学校"</f>
        <v>商丘医学高等专科学校</v>
      </c>
      <c r="F6016" s="1" t="str">
        <f>"护理"</f>
        <v>护理</v>
      </c>
      <c r="G6016" s="1" t="str">
        <f>"河南省南阳市卧龙区新基地北院"</f>
        <v>河南省南阳市卧龙区新基地北院</v>
      </c>
      <c r="H6016" s="1" t="str">
        <f>"护士执业证书"</f>
        <v>护士执业证书</v>
      </c>
      <c r="I6016" s="1" t="str">
        <f>"2020.9-2023.7 商丘医学高等专科学校 
2023.7-2023.9 南阳市待业
2023.9-至今 河南省西部计划乡村振兴志愿者"</f>
        <v>2020.9-2023.7 商丘医学高等专科学校 
2023.7-2023.9 南阳市待业
2023.9-至今 河南省西部计划乡村振兴志愿者</v>
      </c>
    </row>
    <row r="6017" spans="1:9">
      <c r="A6017" s="1" t="str">
        <f>"410325200305194528"</f>
        <v>410325200305194528</v>
      </c>
      <c r="B6017" s="1" t="str">
        <f t="shared" ref="B6017:B6022" si="3048">"共青团员"</f>
        <v>共青团员</v>
      </c>
      <c r="C6017" s="1" t="str">
        <f t="shared" si="3047"/>
        <v>专科</v>
      </c>
      <c r="D6017" s="1" t="str">
        <f>"20240701"</f>
        <v>20240701</v>
      </c>
      <c r="E6017" s="1" t="str">
        <f>"濮阳医学高等专科学校"</f>
        <v>濮阳医学高等专科学校</v>
      </c>
      <c r="F6017" s="1" t="str">
        <f>"护理"</f>
        <v>护理</v>
      </c>
      <c r="G6017" s="1" t="str">
        <f>"河南省洛阳市嵩县车村镇车村街"</f>
        <v>河南省洛阳市嵩县车村镇车村街</v>
      </c>
      <c r="H6017" s="1" t="str">
        <f>"护士资格证，护士执业资格证"</f>
        <v>护士资格证，护士执业资格证</v>
      </c>
      <c r="I6017" s="1" t="str">
        <f>"202110-202407 濮阳医学高等专科学校 护理系护理专业 就读全日制
202407-202502 在家待业
202502-202507 嵩县车村镇中心卫生院 "</f>
        <v>202110-202407 濮阳医学高等专科学校 护理系护理专业 就读全日制
202407-202502 在家待业
202502-202507 嵩县车村镇中心卫生院 </v>
      </c>
    </row>
    <row r="6018" spans="1:9">
      <c r="A6018" s="1" t="str">
        <f>"411327200107201129"</f>
        <v>411327200107201129</v>
      </c>
      <c r="B6018" s="1" t="str">
        <f t="shared" si="3046"/>
        <v>群众</v>
      </c>
      <c r="C6018" s="1" t="str">
        <f t="shared" si="3047"/>
        <v>专科</v>
      </c>
      <c r="D6018" s="1" t="str">
        <f>"2022-07-02"</f>
        <v>2022-07-02</v>
      </c>
      <c r="E6018" s="1" t="str">
        <f>"郑州澍青医学高等专科学校"</f>
        <v>郑州澍青医学高等专科学校</v>
      </c>
      <c r="F6018" s="1" t="str">
        <f>"临床医学"</f>
        <v>临床医学</v>
      </c>
      <c r="G6018" s="1" t="str">
        <f>"河南省南阳市内乡县"</f>
        <v>河南省南阳市内乡县</v>
      </c>
      <c r="H6018" s="1" t="str">
        <f t="shared" ref="H6018:H6020" si="3049">"无"</f>
        <v>无</v>
      </c>
      <c r="I6018" s="1" t="str">
        <f>"201909-202207 郑州澍青医学高等专科学校"</f>
        <v>201909-202207 郑州澍青医学高等专科学校</v>
      </c>
    </row>
    <row r="6019" spans="1:9">
      <c r="A6019" s="1" t="str">
        <f>"411381200406146316"</f>
        <v>411381200406146316</v>
      </c>
      <c r="B6019" s="1" t="str">
        <f t="shared" si="3046"/>
        <v>群众</v>
      </c>
      <c r="C6019" s="1" t="str">
        <f t="shared" si="3047"/>
        <v>专科</v>
      </c>
      <c r="D6019" s="1" t="str">
        <f>"20250610"</f>
        <v>20250610</v>
      </c>
      <c r="E6019" s="1" t="str">
        <f>"渭南职业技术学院"</f>
        <v>渭南职业技术学院</v>
      </c>
      <c r="F6019" s="1" t="str">
        <f>"中医学"</f>
        <v>中医学</v>
      </c>
      <c r="G6019" s="1" t="str">
        <f>"河南省邓州市南桥店城隍庙301号"</f>
        <v>河南省邓州市南桥店城隍庙301号</v>
      </c>
      <c r="H6019" s="1" t="str">
        <f t="shared" si="3049"/>
        <v>无</v>
      </c>
      <c r="I6019" s="1" t="str">
        <f>"202209-2024006 渭南职业技术学院 就读。2022年9月至2024年6月在渭南职业技术学院医学院中医学专业就读，是全日制学历。
202406-202506 在邓州市中医院实习一年"</f>
        <v>202209-2024006 渭南职业技术学院 就读。2022年9月至2024年6月在渭南职业技术学院医学院中医学专业就读，是全日制学历。
202406-202506 在邓州市中医院实习一年</v>
      </c>
    </row>
    <row r="6020" spans="1:9">
      <c r="A6020" s="1" t="str">
        <f>"411381199911192246"</f>
        <v>411381199911192246</v>
      </c>
      <c r="B6020" s="1" t="str">
        <f t="shared" si="3046"/>
        <v>群众</v>
      </c>
      <c r="C6020" s="1" t="str">
        <f t="shared" si="3047"/>
        <v>专科</v>
      </c>
      <c r="D6020" s="1" t="str">
        <f>"20200701"</f>
        <v>20200701</v>
      </c>
      <c r="E6020" s="1" t="str">
        <f>"郑州黄河护理职业学院"</f>
        <v>郑州黄河护理职业学院</v>
      </c>
      <c r="F6020" s="1" t="str">
        <f>"护理专业"</f>
        <v>护理专业</v>
      </c>
      <c r="G6020" s="1" t="str">
        <f>"河南省邓州市"</f>
        <v>河南省邓州市</v>
      </c>
      <c r="H6020" s="1" t="str">
        <f t="shared" si="3049"/>
        <v>无</v>
      </c>
      <c r="I6020" s="1" t="str">
        <f>"201709-202007郑州黄河护理职业学院就读护理专业 是全日制学历
201907-202003邓州市中心医院实习
202303-202507 四川师范大学就读教育学 非全日制学历
202309-202410邓州市盛营村卫生室
202410-至今待业"</f>
        <v>201709-202007郑州黄河护理职业学院就读护理专业 是全日制学历
201907-202003邓州市中心医院实习
202303-202507 四川师范大学就读教育学 非全日制学历
202309-202410邓州市盛营村卫生室
202410-至今待业</v>
      </c>
    </row>
    <row r="6021" spans="1:9">
      <c r="A6021" s="1" t="str">
        <f>"411381199703188429"</f>
        <v>411381199703188429</v>
      </c>
      <c r="B6021" s="1" t="str">
        <f t="shared" si="3048"/>
        <v>共青团员</v>
      </c>
      <c r="C6021" s="1" t="str">
        <f>"本科"</f>
        <v>本科</v>
      </c>
      <c r="D6021" s="1" t="str">
        <f>"20210607"</f>
        <v>20210607</v>
      </c>
      <c r="E6021" s="1" t="str">
        <f>"新乡医学院三全学院"</f>
        <v>新乡医学院三全学院</v>
      </c>
      <c r="F6021" s="1" t="str">
        <f>"医学影像技术"</f>
        <v>医学影像技术</v>
      </c>
      <c r="G6021" s="1" t="str">
        <f>"河南省南阳市"</f>
        <v>河南省南阳市</v>
      </c>
      <c r="H6021" s="1" t="str">
        <f>"放射技师"</f>
        <v>放射技师</v>
      </c>
      <c r="I6021" s="1" t="str">
        <f>" 20160901-20190701于漯河医学高等专科学校 学历:专科 专业:医学影像技术  全日制
20190901-20210701于新乡医学院三全学院 学历:本科 专业:医学影像技术  全日制"</f>
        <v> 20160901-20190701于漯河医学高等专科学校 学历:专科 专业:医学影像技术  全日制
20190901-20210701于新乡医学院三全学院 学历:本科 专业:医学影像技术  全日制</v>
      </c>
    </row>
    <row r="6022" spans="1:9">
      <c r="A6022" s="1" t="str">
        <f>"411328200305171334"</f>
        <v>411328200305171334</v>
      </c>
      <c r="B6022" s="1" t="str">
        <f t="shared" si="3048"/>
        <v>共青团员</v>
      </c>
      <c r="C6022" s="1" t="str">
        <f t="shared" ref="C6022:C6027" si="3050">"专科"</f>
        <v>专科</v>
      </c>
      <c r="D6022" s="1" t="str">
        <f>"20250628"</f>
        <v>20250628</v>
      </c>
      <c r="E6022" s="1" t="str">
        <f>"南阳医学高等专科学校"</f>
        <v>南阳医学高等专科学校</v>
      </c>
      <c r="F6022" s="1" t="str">
        <f>"针灸推拿"</f>
        <v>针灸推拿</v>
      </c>
      <c r="G6022" s="1" t="str">
        <f>"河南省南阳市新野县歪子镇彭庄村7组"</f>
        <v>河南省南阳市新野县歪子镇彭庄村7组</v>
      </c>
      <c r="H6022" s="1" t="str">
        <f>"无"</f>
        <v>无</v>
      </c>
      <c r="I6022" s="1" t="str">
        <f>"202209-202506 在南阳医学高等专科学校针灸骨伤系针灸推拿专业就读，是全日制学历。"</f>
        <v>202209-202506 在南阳医学高等专科学校针灸骨伤系针灸推拿专业就读，是全日制学历。</v>
      </c>
    </row>
    <row r="6023" spans="1:9">
      <c r="A6023" s="1" t="str">
        <f>"411324200306213027"</f>
        <v>411324200306213027</v>
      </c>
      <c r="B6023" s="1" t="str">
        <f t="shared" ref="B6023:B6033" si="3051">"群众"</f>
        <v>群众</v>
      </c>
      <c r="C6023" s="1" t="str">
        <f t="shared" si="3050"/>
        <v>专科</v>
      </c>
      <c r="D6023" s="1" t="str">
        <f>"20240601"</f>
        <v>20240601</v>
      </c>
      <c r="E6023" s="1" t="str">
        <f>"郑州卫生健康职业学院"</f>
        <v>郑州卫生健康职业学院</v>
      </c>
      <c r="F6023" s="1" t="str">
        <f t="shared" ref="F6023:F6027" si="3052">"护理"</f>
        <v>护理</v>
      </c>
      <c r="G6023" s="1" t="str">
        <f>"河南省南阳市"</f>
        <v>河南省南阳市</v>
      </c>
      <c r="H6023" s="1" t="str">
        <f>"护士职业资格证"</f>
        <v>护士职业资格证</v>
      </c>
      <c r="I6023" s="1" t="str">
        <f>"202110-202406 郑州卫生健康职业学院 护理系 护理专业就读，是全日制学历  202007-202102 在内乡县第一人民医院实习 202307-202403在新密市第一人民医院实习"</f>
        <v>202110-202406 郑州卫生健康职业学院 护理系 护理专业就读，是全日制学历  202007-202102 在内乡县第一人民医院实习 202307-202403在新密市第一人民医院实习</v>
      </c>
    </row>
    <row r="6024" spans="1:9">
      <c r="A6024" s="1" t="str">
        <f>"411330200206062927"</f>
        <v>411330200206062927</v>
      </c>
      <c r="B6024" s="1" t="str">
        <f>"共青团员"</f>
        <v>共青团员</v>
      </c>
      <c r="C6024" s="1" t="str">
        <f t="shared" si="3050"/>
        <v>专科</v>
      </c>
      <c r="D6024" s="1" t="str">
        <f>"20230701"</f>
        <v>20230701</v>
      </c>
      <c r="E6024" s="1" t="str">
        <f>"许昌学院"</f>
        <v>许昌学院</v>
      </c>
      <c r="F6024" s="1" t="str">
        <f t="shared" si="3052"/>
        <v>护理</v>
      </c>
      <c r="G6024" s="1" t="str">
        <f>"河南省南阳市西峡县荣耀龙城"</f>
        <v>河南省南阳市西峡县荣耀龙城</v>
      </c>
      <c r="H6024" s="1" t="str">
        <f>"护士资格证"</f>
        <v>护士资格证</v>
      </c>
      <c r="I6024" s="1" t="str">
        <f>"202009—202307许昌学院护理专业就读，为全日制学历"</f>
        <v>202009—202307许昌学院护理专业就读，为全日制学历</v>
      </c>
    </row>
    <row r="6025" spans="1:9">
      <c r="A6025" s="1" t="str">
        <f>"411327199006164212"</f>
        <v>411327199006164212</v>
      </c>
      <c r="B6025" s="1" t="str">
        <f t="shared" si="3051"/>
        <v>群众</v>
      </c>
      <c r="C6025" s="1" t="str">
        <f t="shared" si="3050"/>
        <v>专科</v>
      </c>
      <c r="D6025" s="1" t="str">
        <f>"20130701"</f>
        <v>20130701</v>
      </c>
      <c r="E6025" s="1" t="str">
        <f>"黄河科技学院"</f>
        <v>黄河科技学院</v>
      </c>
      <c r="F6025" s="1" t="str">
        <f t="shared" ref="F6025:F6028" si="3053">"临床医学"</f>
        <v>临床医学</v>
      </c>
      <c r="G6025" s="1" t="str">
        <f>"河南省南阳市内乡县余关镇李家8号"</f>
        <v>河南省南阳市内乡县余关镇李家8号</v>
      </c>
      <c r="H6025" s="1" t="str">
        <f t="shared" ref="H6025:H6035" si="3054">"无"</f>
        <v>无</v>
      </c>
      <c r="I6025" s="1" t="str">
        <f>"201009-201307 黄河科技学院临床医学"</f>
        <v>201009-201307 黄河科技学院临床医学</v>
      </c>
    </row>
    <row r="6026" spans="1:9">
      <c r="A6026" s="1" t="str">
        <f>"411327200107082019"</f>
        <v>411327200107082019</v>
      </c>
      <c r="B6026" s="1" t="str">
        <f t="shared" si="3051"/>
        <v>群众</v>
      </c>
      <c r="C6026" s="1" t="str">
        <f t="shared" si="3050"/>
        <v>专科</v>
      </c>
      <c r="D6026" s="1" t="str">
        <f>"20220701"</f>
        <v>20220701</v>
      </c>
      <c r="E6026" s="1" t="str">
        <f>"河南医学高等专科学校"</f>
        <v>河南医学高等专科学校</v>
      </c>
      <c r="F6026" s="1" t="str">
        <f t="shared" si="3053"/>
        <v>临床医学</v>
      </c>
      <c r="G6026" s="1" t="str">
        <f>"河南省南阳市内乡县岞曲乡"</f>
        <v>河南省南阳市内乡县岞曲乡</v>
      </c>
      <c r="H6026" s="1" t="str">
        <f>"助理医师资格证"</f>
        <v>助理医师资格证</v>
      </c>
      <c r="I6026" s="1" t="str">
        <f>"201909-202207河南医学高等专科学校就读医学系临床医学"</f>
        <v>201909-202207河南医学高等专科学校就读医学系临床医学</v>
      </c>
    </row>
    <row r="6027" spans="1:9">
      <c r="A6027" s="1" t="str">
        <f>"411330200312240045"</f>
        <v>411330200312240045</v>
      </c>
      <c r="B6027" s="1" t="str">
        <f t="shared" si="3051"/>
        <v>群众</v>
      </c>
      <c r="C6027" s="1" t="str">
        <f t="shared" si="3050"/>
        <v>专科</v>
      </c>
      <c r="D6027" s="1" t="str">
        <f>"20250628"</f>
        <v>20250628</v>
      </c>
      <c r="E6027" s="1" t="str">
        <f>"南阳医学高等专科学校"</f>
        <v>南阳医学高等专科学校</v>
      </c>
      <c r="F6027" s="1" t="str">
        <f t="shared" si="3052"/>
        <v>护理</v>
      </c>
      <c r="G6027" s="1" t="str">
        <f>"河南省南阳市西峡县丹水镇袁店村"</f>
        <v>河南省南阳市西峡县丹水镇袁店村</v>
      </c>
      <c r="H6027" s="1" t="str">
        <f>"护士执业资格证书"</f>
        <v>护士执业资格证书</v>
      </c>
      <c r="I6027" s="1" t="str">
        <f>"202209-202506 南阳医学高等专科学校国际教育学院护理就读，全日制大专"</f>
        <v>202209-202506 南阳医学高等专科学校国际教育学院护理就读，全日制大专</v>
      </c>
    </row>
    <row r="6028" spans="1:9">
      <c r="A6028" s="1" t="str">
        <f>"411326200603181124"</f>
        <v>411326200603181124</v>
      </c>
      <c r="B6028" s="1" t="str">
        <f t="shared" si="3051"/>
        <v>群众</v>
      </c>
      <c r="C6028" s="1" t="str">
        <f>"本科"</f>
        <v>本科</v>
      </c>
      <c r="D6028" s="1" t="str">
        <f>"20250607"</f>
        <v>20250607</v>
      </c>
      <c r="E6028" s="1" t="str">
        <f>"河南医药大学"</f>
        <v>河南医药大学</v>
      </c>
      <c r="F6028" s="1" t="str">
        <f t="shared" si="3053"/>
        <v>临床医学</v>
      </c>
      <c r="G6028" s="1" t="str">
        <f>"河南省南阳市内乡县湍东镇恐龙塔北"</f>
        <v>河南省南阳市内乡县湍东镇恐龙塔北</v>
      </c>
      <c r="H6028" s="1" t="str">
        <f t="shared" si="3054"/>
        <v>无</v>
      </c>
      <c r="I6028" s="1" t="str">
        <f>"202009-202506河南医药大学就读临床医学专业，全日制本科。"</f>
        <v>202009-202506河南医药大学就读临床医学专业，全日制本科。</v>
      </c>
    </row>
    <row r="6029" spans="1:9">
      <c r="A6029" s="1" t="str">
        <f>"411327200401261536"</f>
        <v>411327200401261536</v>
      </c>
      <c r="B6029" s="1" t="str">
        <f t="shared" si="3051"/>
        <v>群众</v>
      </c>
      <c r="C6029" s="1" t="str">
        <f t="shared" ref="C6029:C6033" si="3055">"专科"</f>
        <v>专科</v>
      </c>
      <c r="D6029" s="1" t="str">
        <f>"20250629"</f>
        <v>20250629</v>
      </c>
      <c r="E6029" s="1" t="str">
        <f>"郑州黄河护理职业学院"</f>
        <v>郑州黄河护理职业学院</v>
      </c>
      <c r="F6029" s="1" t="str">
        <f>"药学"</f>
        <v>药学</v>
      </c>
      <c r="G6029" s="1" t="str">
        <f>"河南省南阳市内乡县县衙酒店后"</f>
        <v>河南省南阳市内乡县县衙酒店后</v>
      </c>
      <c r="H6029" s="1" t="str">
        <f t="shared" si="3054"/>
        <v>无</v>
      </c>
      <c r="I6029" s="1" t="str">
        <f>"202209-202506 郑州黄河护理职业学院 就读 全日制"</f>
        <v>202209-202506 郑州黄河护理职业学院 就读 全日制</v>
      </c>
    </row>
    <row r="6030" spans="1:9">
      <c r="A6030" s="1" t="str">
        <f>"41132719991126001X"</f>
        <v>41132719991126001X</v>
      </c>
      <c r="B6030" s="1" t="str">
        <f t="shared" si="3051"/>
        <v>群众</v>
      </c>
      <c r="C6030" s="1" t="str">
        <f t="shared" si="3055"/>
        <v>专科</v>
      </c>
      <c r="D6030" s="1" t="str">
        <f>"20210701"</f>
        <v>20210701</v>
      </c>
      <c r="E6030" s="1" t="str">
        <f>"郑州澍青医学高等专科学校"</f>
        <v>郑州澍青医学高等专科学校</v>
      </c>
      <c r="F6030" s="1" t="str">
        <f>"药学"</f>
        <v>药学</v>
      </c>
      <c r="G6030" s="1" t="str">
        <f>"南阳市内乡县"</f>
        <v>南阳市内乡县</v>
      </c>
      <c r="H6030" s="1" t="str">
        <f t="shared" si="3054"/>
        <v>无</v>
      </c>
      <c r="I6030" s="1" t="str">
        <f>"201809-202107郑州澍青医学高等专科学校 药学系 药学专业 就读，是全日制学历"</f>
        <v>201809-202107郑州澍青医学高等专科学校 药学系 药学专业 就读，是全日制学历</v>
      </c>
    </row>
    <row r="6031" spans="1:9">
      <c r="A6031" s="1" t="str">
        <f>"411327200403084510"</f>
        <v>411327200403084510</v>
      </c>
      <c r="B6031" s="1" t="str">
        <f t="shared" si="3051"/>
        <v>群众</v>
      </c>
      <c r="C6031" s="1" t="str">
        <f t="shared" si="3055"/>
        <v>专科</v>
      </c>
      <c r="D6031" s="1" t="str">
        <f>"20250628"</f>
        <v>20250628</v>
      </c>
      <c r="E6031" s="1" t="str">
        <f>"南阳医学高等专科学校"</f>
        <v>南阳医学高等专科学校</v>
      </c>
      <c r="F6031" s="1" t="str">
        <f t="shared" ref="F6031:F6034" si="3056">"临床医学"</f>
        <v>临床医学</v>
      </c>
      <c r="G6031" s="1" t="str">
        <f>"河南省南阳市"</f>
        <v>河南省南阳市</v>
      </c>
      <c r="H6031" s="1" t="str">
        <f t="shared" si="3054"/>
        <v>无</v>
      </c>
      <c r="I6031" s="1" t="str">
        <f>"202209-202506在南阳医学高等专科学校的临床医学系就读，为全日制专科，目前已经毕业"</f>
        <v>202209-202506在南阳医学高等专科学校的临床医学系就读，为全日制专科，目前已经毕业</v>
      </c>
    </row>
    <row r="6032" spans="1:9">
      <c r="A6032" s="1" t="str">
        <f>"411327199809044521"</f>
        <v>411327199809044521</v>
      </c>
      <c r="B6032" s="1" t="str">
        <f t="shared" si="3051"/>
        <v>群众</v>
      </c>
      <c r="C6032" s="1" t="str">
        <f t="shared" si="3055"/>
        <v>专科</v>
      </c>
      <c r="D6032" s="1" t="str">
        <f>"20210630"</f>
        <v>20210630</v>
      </c>
      <c r="E6032" s="1" t="str">
        <f>"湖北省仙桃市仙桃职业学校"</f>
        <v>湖北省仙桃市仙桃职业学校</v>
      </c>
      <c r="F6032" s="1" t="str">
        <f t="shared" si="3056"/>
        <v>临床医学</v>
      </c>
      <c r="G6032" s="1" t="str">
        <f>"河南省南阳市内乡县"</f>
        <v>河南省南阳市内乡县</v>
      </c>
      <c r="H6032" s="1" t="str">
        <f t="shared" si="3054"/>
        <v>无</v>
      </c>
      <c r="I6032" s="1" t="str">
        <f>"201809-202106  仙桃职业学校临床医学系就读
202007-202104  内乡县人民医院实习
202104-至今       内乡县妇幼保健院就业"</f>
        <v>201809-202106  仙桃职业学校临床医学系就读
202007-202104  内乡县人民医院实习
202104-至今       内乡县妇幼保健院就业</v>
      </c>
    </row>
    <row r="6033" spans="1:9">
      <c r="A6033" s="1" t="str">
        <f>"411327200501290633"</f>
        <v>411327200501290633</v>
      </c>
      <c r="B6033" s="1" t="str">
        <f t="shared" si="3051"/>
        <v>群众</v>
      </c>
      <c r="C6033" s="1" t="str">
        <f t="shared" si="3055"/>
        <v>专科</v>
      </c>
      <c r="D6033" s="1" t="str">
        <f>"20250701"</f>
        <v>20250701</v>
      </c>
      <c r="E6033" s="1" t="str">
        <f>"濮阳医学高等专科"</f>
        <v>濮阳医学高等专科</v>
      </c>
      <c r="F6033" s="1" t="str">
        <f t="shared" si="3056"/>
        <v>临床医学</v>
      </c>
      <c r="G6033" s="1" t="str">
        <f>"河南省南阳市内乡县"</f>
        <v>河南省南阳市内乡县</v>
      </c>
      <c r="H6033" s="1" t="str">
        <f t="shared" si="3054"/>
        <v>无</v>
      </c>
      <c r="I6033" s="1" t="str">
        <f>"20220901-20250701濮阳医学高等专科学校就读"</f>
        <v>20220901-20250701濮阳医学高等专科学校就读</v>
      </c>
    </row>
    <row r="6034" spans="1:9">
      <c r="A6034" s="1" t="str">
        <f>"411327200111030019"</f>
        <v>411327200111030019</v>
      </c>
      <c r="B6034" s="1" t="str">
        <f>"共青团员"</f>
        <v>共青团员</v>
      </c>
      <c r="C6034" s="1" t="str">
        <f t="shared" ref="C6034:C6038" si="3057">"本科"</f>
        <v>本科</v>
      </c>
      <c r="D6034" s="1" t="str">
        <f>"20250613"</f>
        <v>20250613</v>
      </c>
      <c r="E6034" s="1" t="str">
        <f>"新乡医学院三全学院"</f>
        <v>新乡医学院三全学院</v>
      </c>
      <c r="F6034" s="1" t="str">
        <f t="shared" si="3056"/>
        <v>临床医学</v>
      </c>
      <c r="G6034" s="1" t="str">
        <f>"河南省南阳市内乡县城关镇县衙路142号"</f>
        <v>河南省南阳市内乡县城关镇县衙路142号</v>
      </c>
      <c r="H6034" s="1" t="str">
        <f t="shared" si="3054"/>
        <v>无</v>
      </c>
      <c r="I6034" s="1" t="str">
        <f>"202009-202506新乡医学院三全学院智行书院临床医学全日制就读"</f>
        <v>202009-202506新乡医学院三全学院智行书院临床医学全日制就读</v>
      </c>
    </row>
    <row r="6035" spans="1:9">
      <c r="A6035" s="1" t="str">
        <f>"411381200204010410"</f>
        <v>411381200204010410</v>
      </c>
      <c r="B6035" s="1" t="str">
        <f t="shared" ref="B6035:B6039" si="3058">"群众"</f>
        <v>群众</v>
      </c>
      <c r="C6035" s="1" t="str">
        <f>"专科"</f>
        <v>专科</v>
      </c>
      <c r="D6035" s="1" t="str">
        <f>"20230607"</f>
        <v>20230607</v>
      </c>
      <c r="E6035" s="1" t="str">
        <f>"南阳科技职业学院"</f>
        <v>南阳科技职业学院</v>
      </c>
      <c r="F6035" s="1" t="str">
        <f>"护理"</f>
        <v>护理</v>
      </c>
      <c r="G6035" s="1" t="str">
        <f>"河南省南阳市邓州市梁庄转盘"</f>
        <v>河南省南阳市邓州市梁庄转盘</v>
      </c>
      <c r="H6035" s="1" t="str">
        <f t="shared" si="3054"/>
        <v>无</v>
      </c>
      <c r="I6035" s="1" t="str">
        <f>"202009－202206南阳科技职业学院护理系护理专业就读是全日制。"</f>
        <v>202009－202206南阳科技职业学院护理系护理专业就读是全日制。</v>
      </c>
    </row>
    <row r="6036" spans="1:9">
      <c r="A6036" s="1" t="str">
        <f>"411327200209130026"</f>
        <v>411327200209130026</v>
      </c>
      <c r="B6036" s="1" t="str">
        <f t="shared" si="3058"/>
        <v>群众</v>
      </c>
      <c r="C6036" s="1" t="str">
        <f t="shared" si="3057"/>
        <v>本科</v>
      </c>
      <c r="D6036" s="1" t="str">
        <f>"20250622"</f>
        <v>20250622</v>
      </c>
      <c r="E6036" s="1" t="str">
        <f>"河南科技职业大学"</f>
        <v>河南科技职业大学</v>
      </c>
      <c r="F6036" s="1" t="str">
        <f>"康复治疗"</f>
        <v>康复治疗</v>
      </c>
      <c r="G6036" s="1" t="str">
        <f>"河南省南阳市内乡县城关镇"</f>
        <v>河南省南阳市内乡县城关镇</v>
      </c>
      <c r="H6036" s="1" t="str">
        <f>"保健按摩师"</f>
        <v>保健按摩师</v>
      </c>
      <c r="I6036" s="1" t="str">
        <f>"202009-202306许昌学院康复治疗技术就读202309-202506河南科技职业大学康复治疗就读全日制本科"</f>
        <v>202009-202306许昌学院康复治疗技术就读202309-202506河南科技职业大学康复治疗就读全日制本科</v>
      </c>
    </row>
    <row r="6037" spans="1:9">
      <c r="A6037" s="1" t="str">
        <f>"341221199307053207"</f>
        <v>341221199307053207</v>
      </c>
      <c r="B6037" s="1" t="str">
        <f t="shared" si="3058"/>
        <v>群众</v>
      </c>
      <c r="C6037" s="1" t="str">
        <f t="shared" si="3057"/>
        <v>本科</v>
      </c>
      <c r="D6037" s="1" t="str">
        <f>"20180130"</f>
        <v>20180130</v>
      </c>
      <c r="E6037" s="1" t="str">
        <f>"大连医科大学"</f>
        <v>大连医科大学</v>
      </c>
      <c r="F6037" s="1" t="str">
        <f>"护理学"</f>
        <v>护理学</v>
      </c>
      <c r="G6037" s="1" t="str">
        <f>"阜阳市"</f>
        <v>阜阳市</v>
      </c>
      <c r="H6037" s="1" t="str">
        <f>"主管护师"</f>
        <v>主管护师</v>
      </c>
      <c r="I6037" s="1" t="str">
        <f>"200909—201307营口市卫生学校就读护理学
201503—201801大连医科大学就读护理学业余本科"</f>
        <v>200909—201307营口市卫生学校就读护理学
201503—201801大连医科大学就读护理学业余本科</v>
      </c>
    </row>
    <row r="6038" spans="1:9">
      <c r="A6038" s="1" t="str">
        <f>"412822200011161915"</f>
        <v>412822200011161915</v>
      </c>
      <c r="B6038" s="1" t="str">
        <f t="shared" si="3058"/>
        <v>群众</v>
      </c>
      <c r="C6038" s="1" t="str">
        <f t="shared" si="3057"/>
        <v>本科</v>
      </c>
      <c r="D6038" s="1" t="str">
        <f>"20220626"</f>
        <v>20220626</v>
      </c>
      <c r="E6038" s="1" t="str">
        <f>"新乡医学院"</f>
        <v>新乡医学院</v>
      </c>
      <c r="F6038" s="1" t="str">
        <f>"医学检验技术"</f>
        <v>医学检验技术</v>
      </c>
      <c r="G6038" s="1" t="str">
        <f>"河南省驻马店市泌阳县"</f>
        <v>河南省驻马店市泌阳县</v>
      </c>
      <c r="H6038" s="1" t="str">
        <f>"临床初级检验师"</f>
        <v>临床初级检验师</v>
      </c>
      <c r="I6038" s="1" t="str">
        <f>"201809-202206 新乡医学院医学检验技术就读，全日制学历
202106-202206 新乡医学院第三附属医院实习
202206-202306 新乡待业
202306-202411 咸阳二纺眼科医院
202411-至今泌阳县第三人民医院"</f>
        <v>201809-202206 新乡医学院医学检验技术就读，全日制学历
202106-202206 新乡医学院第三附属医院实习
202206-202306 新乡待业
202306-202411 咸阳二纺眼科医院
202411-至今泌阳县第三人民医院</v>
      </c>
    </row>
    <row r="6039" spans="1:9">
      <c r="A6039" s="1" t="str">
        <f>"411326200304230424"</f>
        <v>411326200304230424</v>
      </c>
      <c r="B6039" s="1" t="str">
        <f t="shared" si="3058"/>
        <v>群众</v>
      </c>
      <c r="C6039" s="1" t="str">
        <f>"专科"</f>
        <v>专科</v>
      </c>
      <c r="D6039" s="1" t="str">
        <f>"20240701"</f>
        <v>20240701</v>
      </c>
      <c r="E6039" s="1" t="str">
        <f>"郑州澍青医学高等专科学校"</f>
        <v>郑州澍青医学高等专科学校</v>
      </c>
      <c r="F6039" s="1" t="str">
        <f>"临床医学"</f>
        <v>临床医学</v>
      </c>
      <c r="G6039" s="1" t="str">
        <f>"河南省南阳市南召县罗坪村"</f>
        <v>河南省南阳市南召县罗坪村</v>
      </c>
      <c r="H6039" s="1" t="str">
        <f>"国家急救员证书"</f>
        <v>国家急救员证书</v>
      </c>
      <c r="I6039" s="1" t="str">
        <f>"202109-202407 郑州澍青医学高等专科学校 临床医学专业就读 全日制学历"</f>
        <v>202109-202407 郑州澍青医学高等专科学校 临床医学专业就读 全日制学历</v>
      </c>
    </row>
    <row r="6040" spans="1:9">
      <c r="A6040" s="1" t="str">
        <f>"411024199901080044"</f>
        <v>411024199901080044</v>
      </c>
      <c r="B6040" s="1" t="str">
        <f t="shared" ref="B6040:B6043" si="3059">"共青团员"</f>
        <v>共青团员</v>
      </c>
      <c r="C6040" s="1" t="str">
        <f t="shared" ref="C6040:C6042" si="3060">"本科"</f>
        <v>本科</v>
      </c>
      <c r="D6040" s="1" t="str">
        <f>"20220701"</f>
        <v>20220701</v>
      </c>
      <c r="E6040" s="1" t="str">
        <f>"黄河科技学院"</f>
        <v>黄河科技学院</v>
      </c>
      <c r="F6040" s="1" t="str">
        <f>"医学检验技术"</f>
        <v>医学检验技术</v>
      </c>
      <c r="G6040" s="1" t="str">
        <f>"河南省许昌市鄢陵县"</f>
        <v>河南省许昌市鄢陵县</v>
      </c>
      <c r="H6040" s="1" t="str">
        <f>"检验师资格证"</f>
        <v>检验师资格证</v>
      </c>
      <c r="I6040" s="1" t="str">
        <f>"201709-202007 在漯河医学高等专科学校 医学系 医学检验技术专业 就读， 全日制学历；202009-202207 在黄河科技学院  医学系 医学检验技术专业 就读，全日制学历；
202207-202303在鄢陵待业；202304-202503在鄢陵疾控工作；202504-至今在鄢陵待业"</f>
        <v>201709-202007 在漯河医学高等专科学校 医学系 医学检验技术专业 就读， 全日制学历；202009-202207 在黄河科技学院  医学系 医学检验技术专业 就读，全日制学历；
202207-202303在鄢陵待业；202304-202503在鄢陵疾控工作；202504-至今在鄢陵待业</v>
      </c>
    </row>
    <row r="6041" spans="1:9">
      <c r="A6041" s="1" t="str">
        <f>"41132320000625586X"</f>
        <v>41132320000625586X</v>
      </c>
      <c r="B6041" s="1" t="str">
        <f t="shared" si="3059"/>
        <v>共青团员</v>
      </c>
      <c r="C6041" s="1" t="str">
        <f t="shared" si="3060"/>
        <v>本科</v>
      </c>
      <c r="D6041" s="1" t="str">
        <f>"2021-07-01"</f>
        <v>2021-07-01</v>
      </c>
      <c r="E6041" s="1" t="str">
        <f>"郑州市黄河护理职业学院"</f>
        <v>郑州市黄河护理职业学院</v>
      </c>
      <c r="F6041" s="1" t="str">
        <f>"护理"</f>
        <v>护理</v>
      </c>
      <c r="G6041" s="1" t="str">
        <f>"河南省淅川县九重镇辣椒市场65号"</f>
        <v>河南省淅川县九重镇辣椒市场65号</v>
      </c>
      <c r="H6041" s="1" t="str">
        <f>"护士"</f>
        <v>护士</v>
      </c>
      <c r="I6041" s="1" t="str">
        <f>"2018-09-01-2021-07-01在郑州黄河护理职业技术学院就读
2021-07-01-2025-07-24在邓州市人民医院工作"</f>
        <v>2018-09-01-2021-07-01在郑州黄河护理职业技术学院就读
2021-07-01-2025-07-24在邓州市人民医院工作</v>
      </c>
    </row>
    <row r="6042" spans="1:9">
      <c r="A6042" s="1" t="str">
        <f>"411327199810130048"</f>
        <v>411327199810130048</v>
      </c>
      <c r="B6042" s="1" t="str">
        <f t="shared" ref="B6042:B6048" si="3061">"群众"</f>
        <v>群众</v>
      </c>
      <c r="C6042" s="1" t="str">
        <f t="shared" si="3060"/>
        <v>本科</v>
      </c>
      <c r="D6042" s="1" t="str">
        <f>"20210701"</f>
        <v>20210701</v>
      </c>
      <c r="E6042" s="1" t="str">
        <f>"新乡医学院三全学院"</f>
        <v>新乡医学院三全学院</v>
      </c>
      <c r="F6042" s="1" t="str">
        <f>"药物制剂"</f>
        <v>药物制剂</v>
      </c>
      <c r="G6042" s="1" t="str">
        <f>"河南省南阳市内乡县"</f>
        <v>河南省南阳市内乡县</v>
      </c>
      <c r="H6042" s="1" t="str">
        <f>"无"</f>
        <v>无</v>
      </c>
      <c r="I6042" s="1" t="str">
        <f>"201709-202106 新乡医学院三全学院  全日制本科 药物制剂专业就读
202107-202111  上海药明津石医药科技有限公司  在职员工crc
202112-至今       西安互联网医院销售助理"</f>
        <v>201709-202106 新乡医学院三全学院  全日制本科 药物制剂专业就读
202107-202111  上海药明津石医药科技有限公司  在职员工crc
202112-至今       西安互联网医院销售助理</v>
      </c>
    </row>
    <row r="6043" spans="1:9">
      <c r="A6043" s="1" t="str">
        <f>"411327200202264910"</f>
        <v>411327200202264910</v>
      </c>
      <c r="B6043" s="1" t="str">
        <f t="shared" si="3059"/>
        <v>共青团员</v>
      </c>
      <c r="C6043" s="1" t="str">
        <f>"专科"</f>
        <v>专科</v>
      </c>
      <c r="D6043" s="1" t="str">
        <f>"20210901"</f>
        <v>20210901</v>
      </c>
      <c r="E6043" s="1" t="str">
        <f>"信阳职业技术学院"</f>
        <v>信阳职业技术学院</v>
      </c>
      <c r="F6043" s="1" t="str">
        <f>"护理学"</f>
        <v>护理学</v>
      </c>
      <c r="G6043" s="1" t="str">
        <f>"内乡县灌涨镇程王东"</f>
        <v>内乡县灌涨镇程王东</v>
      </c>
      <c r="H6043" s="1" t="str">
        <f>"护士职业资格证"</f>
        <v>护士职业资格证</v>
      </c>
      <c r="I6043" s="1" t="str">
        <f>"2022年6月在内乡县中医院工作至今"</f>
        <v>2022年6月在内乡县中医院工作至今</v>
      </c>
    </row>
    <row r="6044" spans="1:9">
      <c r="A6044" s="1" t="str">
        <f>"411222200003237541"</f>
        <v>411222200003237541</v>
      </c>
      <c r="B6044" s="1" t="str">
        <f>"中共党员"</f>
        <v>中共党员</v>
      </c>
      <c r="C6044" s="1" t="str">
        <f t="shared" ref="C6044:C6047" si="3062">"本科"</f>
        <v>本科</v>
      </c>
      <c r="D6044" s="1" t="str">
        <f>"2023-07-01"</f>
        <v>2023-07-01</v>
      </c>
      <c r="E6044" s="1" t="str">
        <f>"许昌学院"</f>
        <v>许昌学院</v>
      </c>
      <c r="F6044" s="1" t="str">
        <f>"医学检验技术"</f>
        <v>医学检验技术</v>
      </c>
      <c r="G6044" s="1" t="str">
        <f>"河南省三门峡市陕州区政法花园"</f>
        <v>河南省三门峡市陕州区政法花园</v>
      </c>
      <c r="H6044" s="1" t="str">
        <f>"医学检验技术（士）"</f>
        <v>医学检验技术（士）</v>
      </c>
      <c r="I6044" s="1" t="str">
        <f>"201509-201906 陕州中学 就读
201909-202307 许昌学院 就读
202307-至今 待业"</f>
        <v>201509-201906 陕州中学 就读
201909-202307 许昌学院 就读
202307-至今 待业</v>
      </c>
    </row>
    <row r="6045" spans="1:9">
      <c r="A6045" s="1" t="str">
        <f>"411325200009124921"</f>
        <v>411325200009124921</v>
      </c>
      <c r="B6045" s="1" t="str">
        <f t="shared" si="3061"/>
        <v>群众</v>
      </c>
      <c r="C6045" s="1" t="str">
        <f t="shared" si="3062"/>
        <v>本科</v>
      </c>
      <c r="D6045" s="1" t="str">
        <f>"20240606"</f>
        <v>20240606</v>
      </c>
      <c r="E6045" s="1" t="str">
        <f>"河南开封科技传媒学院"</f>
        <v>河南开封科技传媒学院</v>
      </c>
      <c r="F6045" s="1" t="str">
        <f>"护理学"</f>
        <v>护理学</v>
      </c>
      <c r="G6045" s="1" t="str">
        <f>"河南省南阳市内乡县马山口镇"</f>
        <v>河南省南阳市内乡县马山口镇</v>
      </c>
      <c r="H6045" s="1" t="str">
        <f>"护士资格证"</f>
        <v>护士资格证</v>
      </c>
      <c r="I6045" s="1" t="str">
        <f>"202209-202406 河南开封科技传媒学院 全日制"</f>
        <v>202209-202406 河南开封科技传媒学院 全日制</v>
      </c>
    </row>
    <row r="6046" spans="1:9">
      <c r="A6046" s="1" t="str">
        <f>"411327200001052524"</f>
        <v>411327200001052524</v>
      </c>
      <c r="B6046" s="1" t="str">
        <f t="shared" si="3061"/>
        <v>群众</v>
      </c>
      <c r="C6046" s="1" t="str">
        <f t="shared" si="3062"/>
        <v>本科</v>
      </c>
      <c r="D6046" s="1" t="str">
        <f>"2023年7月1日"</f>
        <v>2023年7月1日</v>
      </c>
      <c r="E6046" s="1" t="str">
        <f>"新乡医学院三全学院"</f>
        <v>新乡医学院三全学院</v>
      </c>
      <c r="F6046" s="1" t="str">
        <f>"医学影像技术"</f>
        <v>医学影像技术</v>
      </c>
      <c r="G6046" s="1" t="str">
        <f>"河南省南阳市内乡县王店镇马堂村"</f>
        <v>河南省南阳市内乡县王店镇马堂村</v>
      </c>
      <c r="H6046" s="1" t="str">
        <f>"放射医学技术士"</f>
        <v>放射医学技术士</v>
      </c>
      <c r="I6046" s="1" t="str">
        <f>"2015.09-2018 .07内乡县实验高中
2018.09-2021.07 南阳医学高等专科学校 医学影像技术专业 全日制
2021.09-2023.07 新乡医学院三全学院   医学影像技术专业 全日制
2023.08-2025.07 内乡县待业"</f>
        <v>2015.09-2018 .07内乡县实验高中
2018.09-2021.07 南阳医学高等专科学校 医学影像技术专业 全日制
2021.09-2023.07 新乡医学院三全学院   医学影像技术专业 全日制
2023.08-2025.07 内乡县待业</v>
      </c>
    </row>
    <row r="6047" spans="1:9">
      <c r="A6047" s="1" t="str">
        <f>"410381200206060533"</f>
        <v>410381200206060533</v>
      </c>
      <c r="B6047" s="1" t="str">
        <f t="shared" si="3061"/>
        <v>群众</v>
      </c>
      <c r="C6047" s="1" t="str">
        <f t="shared" si="3062"/>
        <v>本科</v>
      </c>
      <c r="D6047" s="1" t="str">
        <f>"20250620"</f>
        <v>20250620</v>
      </c>
      <c r="E6047" s="1" t="str">
        <f>"河南科技职业大学"</f>
        <v>河南科技职业大学</v>
      </c>
      <c r="F6047" s="1" t="str">
        <f>"康复治疗"</f>
        <v>康复治疗</v>
      </c>
      <c r="G6047" s="1" t="str">
        <f>"河南省洛阳市偃师区"</f>
        <v>河南省洛阳市偃师区</v>
      </c>
      <c r="H6047" s="1" t="str">
        <f t="shared" ref="H6047:H6052" si="3063">"无"</f>
        <v>无</v>
      </c>
      <c r="I6047" s="1" t="str">
        <f>"202009-202306  郑州工业应用技术学院  康复治疗技术  是全日制
202309-202506  河南科技职业大学   康复治疗
是全日制"</f>
        <v>202009-202306  郑州工业应用技术学院  康复治疗技术  是全日制
202309-202506  河南科技职业大学   康复治疗
是全日制</v>
      </c>
    </row>
    <row r="6048" spans="1:9">
      <c r="A6048" s="1" t="str">
        <f>"411381200008224577"</f>
        <v>411381200008224577</v>
      </c>
      <c r="B6048" s="1" t="str">
        <f t="shared" si="3061"/>
        <v>群众</v>
      </c>
      <c r="C6048" s="1" t="str">
        <f t="shared" ref="C6048:C6053" si="3064">"专科"</f>
        <v>专科</v>
      </c>
      <c r="D6048" s="1" t="str">
        <f>"20230601"</f>
        <v>20230601</v>
      </c>
      <c r="E6048" s="1" t="str">
        <f>"洛阳职业技术学院"</f>
        <v>洛阳职业技术学院</v>
      </c>
      <c r="F6048" s="1" t="str">
        <f>"中医学"</f>
        <v>中医学</v>
      </c>
      <c r="G6048" s="1" t="str">
        <f>"河南省南阳市邓州市张村镇贾桥村"</f>
        <v>河南省南阳市邓州市张村镇贾桥村</v>
      </c>
      <c r="H6048" s="1" t="str">
        <f>"中医执业助理医师"</f>
        <v>中医执业助理医师</v>
      </c>
      <c r="I6048" s="1" t="str">
        <f>"202009-202306洛阳职业技术学院学校医学院中医学专业就读  是
202303-202503中国人民武装警察部队湖北总队荆州支队"</f>
        <v>202009-202306洛阳职业技术学院学校医学院中医学专业就读  是
202303-202503中国人民武装警察部队湖北总队荆州支队</v>
      </c>
    </row>
    <row r="6049" spans="1:9">
      <c r="A6049" s="1" t="str">
        <f>"411327200102143345"</f>
        <v>411327200102143345</v>
      </c>
      <c r="B6049" s="1" t="str">
        <f t="shared" ref="B6049:B6054" si="3065">"共青团员"</f>
        <v>共青团员</v>
      </c>
      <c r="C6049" s="1" t="str">
        <f t="shared" ref="C6049:C6054" si="3066">"本科"</f>
        <v>本科</v>
      </c>
      <c r="D6049" s="1" t="str">
        <f>"20230701"</f>
        <v>20230701</v>
      </c>
      <c r="E6049" s="1" t="str">
        <f>"新乡医学院三全学院"</f>
        <v>新乡医学院三全学院</v>
      </c>
      <c r="F6049" s="1" t="str">
        <f>"护理学"</f>
        <v>护理学</v>
      </c>
      <c r="G6049" s="1" t="str">
        <f>"河南省南阳市内乡县七里坪乡寺坪村郑沟组"</f>
        <v>河南省南阳市内乡县七里坪乡寺坪村郑沟组</v>
      </c>
      <c r="H6049" s="1" t="str">
        <f>"护士资格证，护士执业证"</f>
        <v>护士资格证，护士执业证</v>
      </c>
      <c r="I6049" s="1" t="str">
        <f>"201909-202307新乡医学院三全学院学校护理学专业就读全日制本科
202309-202312河南省职工医院体检
202401-202405村卫生所
202407-202506浙江大学附属第四医院急诊科"</f>
        <v>201909-202307新乡医学院三全学院学校护理学专业就读全日制本科
202309-202312河南省职工医院体检
202401-202405村卫生所
202407-202506浙江大学附属第四医院急诊科</v>
      </c>
    </row>
    <row r="6050" spans="1:9">
      <c r="A6050" s="1" t="str">
        <f>"411327200212030018"</f>
        <v>411327200212030018</v>
      </c>
      <c r="B6050" s="1" t="str">
        <f t="shared" ref="B6050:B6055" si="3067">"群众"</f>
        <v>群众</v>
      </c>
      <c r="C6050" s="1" t="str">
        <f t="shared" si="3064"/>
        <v>专科</v>
      </c>
      <c r="D6050" s="1" t="str">
        <f>"20240701"</f>
        <v>20240701</v>
      </c>
      <c r="E6050" s="1" t="str">
        <f>"南阳医学高等专科学校"</f>
        <v>南阳医学高等专科学校</v>
      </c>
      <c r="F6050" s="1" t="str">
        <f>"临床医学"</f>
        <v>临床医学</v>
      </c>
      <c r="G6050" s="1" t="str">
        <f>"河南省南阳市内乡县城关镇"</f>
        <v>河南省南阳市内乡县城关镇</v>
      </c>
      <c r="H6050" s="1" t="str">
        <f t="shared" si="3063"/>
        <v>无</v>
      </c>
      <c r="I6050" s="1" t="str">
        <f>"2021.9.至2024.7月在南阳医学高等专科学校临床医学系就读，后毕业，是全日制专科学历。大三于南阳市豫西健和医院实习，毕业后正式入职南阳豫西健和医院，后主动辞职。"</f>
        <v>2021.9.至2024.7月在南阳医学高等专科学校临床医学系就读，后毕业，是全日制专科学历。大三于南阳市豫西健和医院实习，毕业后正式入职南阳豫西健和医院，后主动辞职。</v>
      </c>
    </row>
    <row r="6051" spans="1:9">
      <c r="A6051" s="1" t="str">
        <f>"412723200207162160"</f>
        <v>412723200207162160</v>
      </c>
      <c r="B6051" s="1" t="str">
        <f t="shared" si="3065"/>
        <v>共青团员</v>
      </c>
      <c r="C6051" s="1" t="str">
        <f t="shared" si="3066"/>
        <v>本科</v>
      </c>
      <c r="D6051" s="1" t="str">
        <f>"20250701"</f>
        <v>20250701</v>
      </c>
      <c r="E6051" s="1" t="str">
        <f>"平顶山学院"</f>
        <v>平顶山学院</v>
      </c>
      <c r="F6051" s="1" t="str">
        <f>"医学检验技术"</f>
        <v>医学检验技术</v>
      </c>
      <c r="G6051" s="1" t="str">
        <f>"河南省周口市商水县张明乡龙胜村"</f>
        <v>河南省周口市商水县张明乡龙胜村</v>
      </c>
      <c r="H6051" s="1" t="str">
        <f t="shared" si="3063"/>
        <v>无</v>
      </c>
      <c r="I6051" s="1" t="str">
        <f>"202109-202506 在平顶山学院医学院医学检验技术专业就读，是全日制学历
202507-至今 在家待业"</f>
        <v>202109-202506 在平顶山学院医学院医学检验技术专业就读，是全日制学历
202507-至今 在家待业</v>
      </c>
    </row>
    <row r="6052" spans="1:9">
      <c r="A6052" s="1" t="str">
        <f>"410221200501123056"</f>
        <v>410221200501123056</v>
      </c>
      <c r="B6052" s="1" t="str">
        <f>"中共党员"</f>
        <v>中共党员</v>
      </c>
      <c r="C6052" s="1" t="str">
        <f t="shared" si="3064"/>
        <v>专科</v>
      </c>
      <c r="D6052" s="1" t="str">
        <f>"20250613"</f>
        <v>20250613</v>
      </c>
      <c r="E6052" s="1" t="str">
        <f>"周口职业技术学院"</f>
        <v>周口职业技术学院</v>
      </c>
      <c r="F6052" s="1" t="str">
        <f>"药学"</f>
        <v>药学</v>
      </c>
      <c r="G6052" s="1" t="str">
        <f>"河南省开封市杞县板木乡东村258号"</f>
        <v>河南省开封市杞县板木乡东村258号</v>
      </c>
      <c r="H6052" s="1" t="str">
        <f t="shared" si="3063"/>
        <v>无</v>
      </c>
      <c r="I6052" s="1" t="str">
        <f>"202209-202506  在周口职业技术学院医学院药学专业就读，全日制学历
202507-至今       待业"</f>
        <v>202209-202506  在周口职业技术学院医学院药学专业就读，全日制学历
202507-至今       待业</v>
      </c>
    </row>
    <row r="6053" spans="1:9">
      <c r="A6053" s="1" t="str">
        <f>"411327199706013722"</f>
        <v>411327199706013722</v>
      </c>
      <c r="B6053" s="1" t="str">
        <f t="shared" si="3067"/>
        <v>群众</v>
      </c>
      <c r="C6053" s="1" t="str">
        <f t="shared" si="3064"/>
        <v>专科</v>
      </c>
      <c r="D6053" s="1" t="str">
        <f>"20240701"</f>
        <v>20240701</v>
      </c>
      <c r="E6053" s="1" t="str">
        <f>"河南科技职业大学"</f>
        <v>河南科技职业大学</v>
      </c>
      <c r="F6053" s="1" t="str">
        <f>"护理"</f>
        <v>护理</v>
      </c>
      <c r="G6053" s="1" t="str">
        <f>"河南省南阳市内乡县大桥乡封营村"</f>
        <v>河南省南阳市内乡县大桥乡封营村</v>
      </c>
      <c r="H6053" s="1" t="str">
        <f>"初级护理"</f>
        <v>初级护理</v>
      </c>
      <c r="I6053" s="1" t="str">
        <f>"202112-202407 河南科技职业大学就读护理系护理专业
201706-202112  内乡马山镇卫生院
201409-201706  南阳张仲景国医大就读护理系护理专业"</f>
        <v>202112-202407 河南科技职业大学就读护理系护理专业
201706-202112  内乡马山镇卫生院
201409-201706  南阳张仲景国医大就读护理系护理专业</v>
      </c>
    </row>
    <row r="6054" spans="1:9">
      <c r="A6054" s="1" t="str">
        <f>"411327200111102529"</f>
        <v>411327200111102529</v>
      </c>
      <c r="B6054" s="1" t="str">
        <f t="shared" si="3065"/>
        <v>共青团员</v>
      </c>
      <c r="C6054" s="1" t="str">
        <f t="shared" si="3066"/>
        <v>本科</v>
      </c>
      <c r="D6054" s="1" t="str">
        <f>"20250612"</f>
        <v>20250612</v>
      </c>
      <c r="E6054" s="1" t="str">
        <f>"新疆医科大学"</f>
        <v>新疆医科大学</v>
      </c>
      <c r="F6054" s="1" t="str">
        <f>"医学检验技术"</f>
        <v>医学检验技术</v>
      </c>
      <c r="G6054" s="1" t="str">
        <f>"河南省内乡县王店镇王湾村中212号"</f>
        <v>河南省内乡县王店镇王湾村中212号</v>
      </c>
      <c r="H6054" s="1" t="str">
        <f>"无"</f>
        <v>无</v>
      </c>
      <c r="I6054" s="1" t="str">
        <f>"202308-202506在新疆医科大学第三临床医学院医学检验技术专业就读（专科起点本科学习），是全日制学历。"</f>
        <v>202308-202506在新疆医科大学第三临床医学院医学检验技术专业就读（专科起点本科学习），是全日制学历。</v>
      </c>
    </row>
    <row r="6055" spans="1:9">
      <c r="A6055" s="1" t="str">
        <f>"411327199409210025"</f>
        <v>411327199409210025</v>
      </c>
      <c r="B6055" s="1" t="str">
        <f t="shared" si="3067"/>
        <v>群众</v>
      </c>
      <c r="C6055" s="1" t="str">
        <f t="shared" ref="C6055:C6057" si="3068">"专科"</f>
        <v>专科</v>
      </c>
      <c r="D6055" s="1" t="str">
        <f>"20150701"</f>
        <v>20150701</v>
      </c>
      <c r="E6055" s="1" t="str">
        <f>"南阳医学高等专科学校"</f>
        <v>南阳医学高等专科学校</v>
      </c>
      <c r="F6055" s="1" t="str">
        <f>"护理"</f>
        <v>护理</v>
      </c>
      <c r="G6055" s="1" t="str">
        <f>"内乡县教育路"</f>
        <v>内乡县教育路</v>
      </c>
      <c r="H6055" s="1" t="str">
        <f>"护师"</f>
        <v>护师</v>
      </c>
      <c r="I6055" s="1" t="str">
        <f>"2010年09月-2015年07月在南阳医专就读全日制护理专业
2016年至今内乡妇幼保健工作"</f>
        <v>2010年09月-2015年07月在南阳医专就读全日制护理专业
2016年至今内乡妇幼保健工作</v>
      </c>
    </row>
    <row r="6056" spans="1:9">
      <c r="A6056" s="1" t="str">
        <f>"411321200203170723"</f>
        <v>411321200203170723</v>
      </c>
      <c r="B6056" s="1" t="str">
        <f>"共青团员"</f>
        <v>共青团员</v>
      </c>
      <c r="C6056" s="1" t="str">
        <f t="shared" si="3068"/>
        <v>专科</v>
      </c>
      <c r="D6056" s="1" t="str">
        <f>"20230701"</f>
        <v>20230701</v>
      </c>
      <c r="E6056" s="1" t="str">
        <f>"南阳医学高等专科学校"</f>
        <v>南阳医学高等专科学校</v>
      </c>
      <c r="F6056" s="1" t="str">
        <f>"临床医学"</f>
        <v>临床医学</v>
      </c>
      <c r="G6056" s="1" t="str">
        <f>"内乡县"</f>
        <v>内乡县</v>
      </c>
      <c r="H6056" s="1" t="str">
        <f>"助理职业医师"</f>
        <v>助理职业医师</v>
      </c>
      <c r="I6056" s="1" t="str">
        <f>"202009-202307 南阳医学高等专科学校 就读 全日制
202308-202508 内乡县人民医院 助理全科规范化培训"</f>
        <v>202009-202307 南阳医学高等专科学校 就读 全日制
202308-202508 内乡县人民医院 助理全科规范化培训</v>
      </c>
    </row>
    <row r="6057" spans="1:9">
      <c r="A6057" s="1" t="str">
        <f>"41132420021010052X"</f>
        <v>41132420021010052X</v>
      </c>
      <c r="B6057" s="1" t="str">
        <f t="shared" ref="B6057:B6063" si="3069">"群众"</f>
        <v>群众</v>
      </c>
      <c r="C6057" s="1" t="str">
        <f t="shared" si="3068"/>
        <v>专科</v>
      </c>
      <c r="D6057" s="1" t="str">
        <f>"20250701"</f>
        <v>20250701</v>
      </c>
      <c r="E6057" s="1" t="str">
        <f>"安阳职业技术学院"</f>
        <v>安阳职业技术学院</v>
      </c>
      <c r="F6057" s="1" t="str">
        <f>"医学影像技术"</f>
        <v>医学影像技术</v>
      </c>
      <c r="G6057" s="1" t="str">
        <f>"河南省南阳市镇平县"</f>
        <v>河南省南阳市镇平县</v>
      </c>
      <c r="H6057" s="1" t="str">
        <f>"无"</f>
        <v>无</v>
      </c>
      <c r="I6057" s="1" t="str">
        <f>"2022年9月至2025年7月在安阳职业技术学院就读于医学影像专业2024年5月至2025年2月在南阳中医院实习"</f>
        <v>2022年9月至2025年7月在安阳职业技术学院就读于医学影像专业2024年5月至2025年2月在南阳中医院实习</v>
      </c>
    </row>
    <row r="6058" spans="1:9">
      <c r="A6058" s="1" t="str">
        <f>"410221198611185290"</f>
        <v>410221198611185290</v>
      </c>
      <c r="B6058" s="1" t="str">
        <f>"中共党员"</f>
        <v>中共党员</v>
      </c>
      <c r="C6058" s="1" t="str">
        <f>"硕士研究生"</f>
        <v>硕士研究生</v>
      </c>
      <c r="D6058" s="1" t="str">
        <f>"20150701"</f>
        <v>20150701</v>
      </c>
      <c r="E6058" s="1" t="str">
        <f>"河南中医学院"</f>
        <v>河南中医学院</v>
      </c>
      <c r="F6058" s="1" t="str">
        <f>"中医骨伤科学"</f>
        <v>中医骨伤科学</v>
      </c>
      <c r="G6058" s="1" t="str">
        <f>"河南省南阳市白河西路恒大御景湾"</f>
        <v>河南省南阳市白河西路恒大御景湾</v>
      </c>
      <c r="H6058" s="1" t="str">
        <f>"河南省专业技术人员职称证书（中医骨伤副主任医师）"</f>
        <v>河南省专业技术人员职称证书（中医骨伤副主任医师）</v>
      </c>
      <c r="I6058" s="1" t="str">
        <f>"200709-201207 河南中医学院针灸推拿学院针灸推拿学专业就读(全日制）；201209-201507河南中医学院研究生院中医骨伤科学专业就读（全日制）；201507-202212南阳市骨科医院工作；202301-至今南阳市中医院工作；"</f>
        <v>200709-201207 河南中医学院针灸推拿学院针灸推拿学专业就读(全日制）；201209-201507河南中医学院研究生院中医骨伤科学专业就读（全日制）；201507-202212南阳市骨科医院工作；202301-至今南阳市中医院工作；</v>
      </c>
    </row>
    <row r="6059" spans="1:9">
      <c r="A6059" s="1" t="str">
        <f>"411330200303121546"</f>
        <v>411330200303121546</v>
      </c>
      <c r="B6059" s="1" t="str">
        <f>"共青团员"</f>
        <v>共青团员</v>
      </c>
      <c r="C6059" s="1" t="str">
        <f t="shared" ref="C6059:C6061" si="3070">"专科"</f>
        <v>专科</v>
      </c>
      <c r="D6059" s="1" t="str">
        <f>"20250620"</f>
        <v>20250620</v>
      </c>
      <c r="E6059" s="1" t="str">
        <f>"平顶山工业职业技术学院"</f>
        <v>平顶山工业职业技术学院</v>
      </c>
      <c r="F6059" s="1" t="str">
        <f>"护理专业"</f>
        <v>护理专业</v>
      </c>
      <c r="G6059" s="1" t="str">
        <f>"河南省西峡县城关镇南地13号"</f>
        <v>河南省西峡县城关镇南地13号</v>
      </c>
      <c r="H6059" s="1" t="str">
        <f>"已取得护士资格证、健康管理师三级"</f>
        <v>已取得护士资格证、健康管理师三级</v>
      </c>
      <c r="I6059" s="1" t="str">
        <f>"202209-202506 平顶山工业职业技术学院护理学院护理专业就读。是全日制学历。"</f>
        <v>202209-202506 平顶山工业职业技术学院护理学院护理专业就读。是全日制学历。</v>
      </c>
    </row>
    <row r="6060" spans="1:9">
      <c r="A6060" s="1" t="str">
        <f>"411327199911300325"</f>
        <v>411327199911300325</v>
      </c>
      <c r="B6060" s="1" t="str">
        <f>"中共党员"</f>
        <v>中共党员</v>
      </c>
      <c r="C6060" s="1" t="str">
        <f t="shared" si="3070"/>
        <v>专科</v>
      </c>
      <c r="D6060" s="1" t="str">
        <f>"20210701"</f>
        <v>20210701</v>
      </c>
      <c r="E6060" s="1" t="str">
        <f>"河南应用技术职业学院"</f>
        <v>河南应用技术职业学院</v>
      </c>
      <c r="F6060" s="1" t="str">
        <f>"药学"</f>
        <v>药学</v>
      </c>
      <c r="G6060" s="1" t="str">
        <f>"河南省南阳市内乡县大桥乡"</f>
        <v>河南省南阳市内乡县大桥乡</v>
      </c>
      <c r="H6060" s="1" t="str">
        <f>"卫生专业资格证  初级士 初级师"</f>
        <v>卫生专业资格证  初级士 初级师</v>
      </c>
      <c r="I6060" s="1" t="str">
        <f>"201809-202107 河南应用技术职业学院药学系药学专业就读全日制院校202107-202203 在内乡县棉纺医院工作202204-202303 待业202304至今在内乡中医院工作"</f>
        <v>201809-202107 河南应用技术职业学院药学系药学专业就读全日制院校202107-202203 在内乡县棉纺医院工作202204-202303 待业202304至今在内乡中医院工作</v>
      </c>
    </row>
    <row r="6061" spans="1:9">
      <c r="A6061" s="1" t="str">
        <f>"411325199704022526"</f>
        <v>411325199704022526</v>
      </c>
      <c r="B6061" s="1" t="str">
        <f t="shared" si="3069"/>
        <v>群众</v>
      </c>
      <c r="C6061" s="1" t="str">
        <f t="shared" si="3070"/>
        <v>专科</v>
      </c>
      <c r="D6061" s="1" t="str">
        <f>"20190607"</f>
        <v>20190607</v>
      </c>
      <c r="E6061" s="1" t="str">
        <f>"商丘医学高等专科学校"</f>
        <v>商丘医学高等专科学校</v>
      </c>
      <c r="F6061" s="1" t="str">
        <f>"临床医学系"</f>
        <v>临床医学系</v>
      </c>
      <c r="G6061" s="1" t="str">
        <f>"河南省内乡县王店镇堰张村"</f>
        <v>河南省内乡县王店镇堰张村</v>
      </c>
      <c r="H6061" s="1" t="str">
        <f>"临床执业证书"</f>
        <v>临床执业证书</v>
      </c>
      <c r="I6061" s="1" t="str">
        <f>"2016年9月至2019年6月于商丘医学高等专科学校就读，全日制专科学历，毕业后一直在内乡县第二人民医院工作至今"</f>
        <v>2016年9月至2019年6月于商丘医学高等专科学校就读，全日制专科学历，毕业后一直在内乡县第二人民医院工作至今</v>
      </c>
    </row>
    <row r="6062" spans="1:9">
      <c r="A6062" s="1" t="str">
        <f>"411324199212255255"</f>
        <v>411324199212255255</v>
      </c>
      <c r="B6062" s="1" t="str">
        <f t="shared" si="3069"/>
        <v>群众</v>
      </c>
      <c r="C6062" s="1" t="str">
        <f>"本科"</f>
        <v>本科</v>
      </c>
      <c r="D6062" s="1" t="str">
        <f>"20230101"</f>
        <v>20230101</v>
      </c>
      <c r="E6062" s="1" t="str">
        <f>"黄河科技学院"</f>
        <v>黄河科技学院</v>
      </c>
      <c r="F6062" s="1" t="str">
        <f>"临床医学"</f>
        <v>临床医学</v>
      </c>
      <c r="G6062" s="1" t="str">
        <f>"内乡县湍东镇东城水岸小区"</f>
        <v>内乡县湍东镇东城水岸小区</v>
      </c>
      <c r="H6062" s="1" t="str">
        <f>"助理医师"</f>
        <v>助理医师</v>
      </c>
      <c r="I6062" s="1" t="str">
        <f>"200909-202407在南阳医学高等专科学校-临床系-临床医学专业（全日制-五年制）；
202003-202301在黄河科技学院-临床系-临床医学专业（成人高等教育）；
201407-202002在内乡县菊潭医院临床专业工作；202003-202208在南阳市卧龙区潦河镇中心卫生院临床专业工作；202209-至今在内乡县城关镇卫生院临床专业工作；"</f>
        <v>200909-202407在南阳医学高等专科学校-临床系-临床医学专业（全日制-五年制）；
202003-202301在黄河科技学院-临床系-临床医学专业（成人高等教育）；
201407-202002在内乡县菊潭医院临床专业工作；202003-202208在南阳市卧龙区潦河镇中心卫生院临床专业工作；202209-至今在内乡县城关镇卫生院临床专业工作；</v>
      </c>
    </row>
    <row r="6063" spans="1:9">
      <c r="A6063" s="1" t="str">
        <f>"411327199602071127"</f>
        <v>411327199602071127</v>
      </c>
      <c r="B6063" s="1" t="str">
        <f t="shared" si="3069"/>
        <v>群众</v>
      </c>
      <c r="C6063" s="1" t="str">
        <f t="shared" ref="C6063:C6069" si="3071">"专科"</f>
        <v>专科</v>
      </c>
      <c r="D6063" s="1" t="str">
        <f>"20180701"</f>
        <v>20180701</v>
      </c>
      <c r="E6063" s="1" t="str">
        <f>"三门峡职业技术学院"</f>
        <v>三门峡职业技术学院</v>
      </c>
      <c r="F6063" s="1" t="str">
        <f>"护理学"</f>
        <v>护理学</v>
      </c>
      <c r="G6063" s="1" t="str">
        <f>"内乡县北斗星城"</f>
        <v>内乡县北斗星城</v>
      </c>
      <c r="H6063" s="1" t="str">
        <f>"护师"</f>
        <v>护师</v>
      </c>
      <c r="I6063" s="1" t="str">
        <f>"2015.9-2018.7 三门峡职业技术学院
2019.7-2021.3 淅川精神病医院
2023.2-至今 余关镇卫生院 "</f>
        <v>2015.9-2018.7 三门峡职业技术学院
2019.7-2021.3 淅川精神病医院
2023.2-至今 余关镇卫生院 </v>
      </c>
    </row>
    <row r="6064" spans="1:9">
      <c r="A6064" s="1" t="str">
        <f>"411302200012280824"</f>
        <v>411302200012280824</v>
      </c>
      <c r="B6064" s="1" t="str">
        <f>"共青团员"</f>
        <v>共青团员</v>
      </c>
      <c r="C6064" s="1" t="str">
        <f>"本科"</f>
        <v>本科</v>
      </c>
      <c r="D6064" s="1" t="str">
        <f>"2024.07"</f>
        <v>2024.07</v>
      </c>
      <c r="E6064" s="1" t="str">
        <f>"新乡医学院三全学院"</f>
        <v>新乡医学院三全学院</v>
      </c>
      <c r="F6064" s="1" t="str">
        <f>"医学检验技术"</f>
        <v>医学检验技术</v>
      </c>
      <c r="G6064" s="1" t="str">
        <f>"河南省南阳市宛城区工农路244号"</f>
        <v>河南省南阳市宛城区工农路244号</v>
      </c>
      <c r="H6064" s="1" t="str">
        <f>"检验士"</f>
        <v>检验士</v>
      </c>
      <c r="I6064" s="1" t="str">
        <f>"2019.09--2022.06信阳职业技术学院 检验技术学院检验技术专业全日制大专
2022.09--2024.06新乡医学院三全学院检验技术学院检验技术专业全日制本科"</f>
        <v>2019.09--2022.06信阳职业技术学院 检验技术学院检验技术专业全日制大专
2022.09--2024.06新乡医学院三全学院检验技术学院检验技术专业全日制本科</v>
      </c>
    </row>
    <row r="6065" spans="1:9">
      <c r="A6065" s="1" t="str">
        <f>"41132720000920254X"</f>
        <v>41132720000920254X</v>
      </c>
      <c r="B6065" s="1" t="str">
        <f t="shared" ref="B6065:B6069" si="3072">"群众"</f>
        <v>群众</v>
      </c>
      <c r="C6065" s="1" t="str">
        <f t="shared" si="3071"/>
        <v>专科</v>
      </c>
      <c r="D6065" s="1" t="str">
        <f>"20220701"</f>
        <v>20220701</v>
      </c>
      <c r="E6065" s="1" t="str">
        <f>"河南科技职业大学"</f>
        <v>河南科技职业大学</v>
      </c>
      <c r="F6065" s="1" t="str">
        <f>"护理"</f>
        <v>护理</v>
      </c>
      <c r="G6065" s="1" t="str">
        <f>"河南省内乡县王店镇四张村西李营东124号"</f>
        <v>河南省内乡县王店镇四张村西李营东124号</v>
      </c>
      <c r="H6065" s="1" t="str">
        <f>"护士资格证"</f>
        <v>护士资格证</v>
      </c>
      <c r="I6065" s="1" t="str">
        <f>"201909-202207在河南科技职业大学就读护理系，全日制学历。"</f>
        <v>201909-202207在河南科技职业大学就读护理系，全日制学历。</v>
      </c>
    </row>
    <row r="6066" spans="1:9">
      <c r="A6066" s="1" t="str">
        <f>"41132719910810152X"</f>
        <v>41132719910810152X</v>
      </c>
      <c r="B6066" s="1" t="str">
        <f t="shared" si="3072"/>
        <v>群众</v>
      </c>
      <c r="C6066" s="1" t="str">
        <f t="shared" si="3071"/>
        <v>专科</v>
      </c>
      <c r="D6066" s="1" t="str">
        <f>"20150701"</f>
        <v>20150701</v>
      </c>
      <c r="E6066" s="1" t="str">
        <f>"河南医学高等专科学校"</f>
        <v>河南医学高等专科学校</v>
      </c>
      <c r="F6066" s="1" t="str">
        <f>"护理（ICU护理）"</f>
        <v>护理（ICU护理）</v>
      </c>
      <c r="G6066" s="1" t="str">
        <f>"河南省南阳市内乡县湍东镇水岸豪庭小区"</f>
        <v>河南省南阳市内乡县湍东镇水岸豪庭小区</v>
      </c>
      <c r="H6066" s="1" t="str">
        <f>"护师（初级）"</f>
        <v>护师（初级）</v>
      </c>
      <c r="I6066" s="1" t="str">
        <f>"201209—201507河南医学高等专科学校护理（ICU护理）专业就读
201509至今内乡县人民医院康复医学科就业"</f>
        <v>201209—201507河南医学高等专科学校护理（ICU护理）专业就读
201509至今内乡县人民医院康复医学科就业</v>
      </c>
    </row>
    <row r="6067" spans="1:9">
      <c r="A6067" s="1" t="str">
        <f>"411381199608190029"</f>
        <v>411381199608190029</v>
      </c>
      <c r="B6067" s="1" t="str">
        <f t="shared" si="3072"/>
        <v>群众</v>
      </c>
      <c r="C6067" s="1" t="str">
        <f t="shared" si="3071"/>
        <v>专科</v>
      </c>
      <c r="D6067" s="1" t="str">
        <f>"20180701"</f>
        <v>20180701</v>
      </c>
      <c r="E6067" s="1" t="str">
        <f>"郑州黄河护理职业技术学院"</f>
        <v>郑州黄河护理职业技术学院</v>
      </c>
      <c r="F6067" s="1" t="str">
        <f>"护理"</f>
        <v>护理</v>
      </c>
      <c r="G6067" s="1" t="str">
        <f>"河南省邓州市古城街道"</f>
        <v>河南省邓州市古城街道</v>
      </c>
      <c r="H6067" s="1" t="str">
        <f>"卫生专业技术资格证，护士"</f>
        <v>卫生专业技术资格证，护士</v>
      </c>
      <c r="I6067" s="1" t="str">
        <f>"2015年9月1日至2018年7月1日，在郑州黄河护理职业学院，护理系护理专业就读，全日制"</f>
        <v>2015年9月1日至2018年7月1日，在郑州黄河护理职业学院，护理系护理专业就读，全日制</v>
      </c>
    </row>
    <row r="6068" spans="1:9">
      <c r="A6068" s="1" t="str">
        <f>"411327200001260032"</f>
        <v>411327200001260032</v>
      </c>
      <c r="B6068" s="1" t="str">
        <f t="shared" si="3072"/>
        <v>群众</v>
      </c>
      <c r="C6068" s="1" t="str">
        <f t="shared" si="3071"/>
        <v>专科</v>
      </c>
      <c r="D6068" s="1" t="str">
        <f>"2020-07-01"</f>
        <v>2020-07-01</v>
      </c>
      <c r="E6068" s="1" t="str">
        <f>"南阳医学高等专科学校"</f>
        <v>南阳医学高等专科学校</v>
      </c>
      <c r="F6068" s="1" t="str">
        <f>"药品经营与管理"</f>
        <v>药品经营与管理</v>
      </c>
      <c r="G6068" s="1" t="str">
        <f>"河南省南阳市内乡县湍东镇左岸皇朝小区"</f>
        <v>河南省南阳市内乡县湍东镇左岸皇朝小区</v>
      </c>
      <c r="H6068" s="1" t="str">
        <f>"无"</f>
        <v>无</v>
      </c>
      <c r="I6068" s="1" t="str">
        <f>"2015.09-2020.07 南阳医学高等专科学校就读  全日制学历
2020.07至今待业
"</f>
        <v>2015.09-2020.07 南阳医学高等专科学校就读  全日制学历
2020.07至今待业
</v>
      </c>
    </row>
    <row r="6069" spans="1:9">
      <c r="A6069" s="1" t="str">
        <f>"412724199010292560"</f>
        <v>412724199010292560</v>
      </c>
      <c r="B6069" s="1" t="str">
        <f t="shared" si="3072"/>
        <v>群众</v>
      </c>
      <c r="C6069" s="1" t="str">
        <f t="shared" si="3071"/>
        <v>专科</v>
      </c>
      <c r="D6069" s="1" t="str">
        <f>"20130701"</f>
        <v>20130701</v>
      </c>
      <c r="E6069" s="1" t="str">
        <f>"河南医学高等专科学校"</f>
        <v>河南医学高等专科学校</v>
      </c>
      <c r="F6069" s="1" t="str">
        <f>"护理学"</f>
        <v>护理学</v>
      </c>
      <c r="G6069" s="1" t="str">
        <f>"河南省南阳市内乡县菊韵花苑小区16号楼二单元四楼东户"</f>
        <v>河南省南阳市内乡县菊韵花苑小区16号楼二单元四楼东户</v>
      </c>
      <c r="H6069" s="1" t="str">
        <f>"护士执业证书"</f>
        <v>护士执业证书</v>
      </c>
      <c r="I6069" s="1" t="s">
        <v>295</v>
      </c>
    </row>
    <row r="6070" spans="1:9">
      <c r="A6070" s="1" t="str">
        <f>"410523200112200061"</f>
        <v>410523200112200061</v>
      </c>
      <c r="B6070" s="1" t="str">
        <f t="shared" ref="B6070:B6073" si="3073">"共青团员"</f>
        <v>共青团员</v>
      </c>
      <c r="C6070" s="1" t="str">
        <f t="shared" ref="C6070:C6074" si="3074">"本科"</f>
        <v>本科</v>
      </c>
      <c r="D6070" s="1" t="str">
        <f>"20250701"</f>
        <v>20250701</v>
      </c>
      <c r="E6070" s="1" t="str">
        <f>"黄河科技学院"</f>
        <v>黄河科技学院</v>
      </c>
      <c r="F6070" s="1" t="str">
        <f>"医学检验技术"</f>
        <v>医学检验技术</v>
      </c>
      <c r="G6070" s="1" t="str">
        <f>"河南省安阳市汤阴县都市名城"</f>
        <v>河南省安阳市汤阴县都市名城</v>
      </c>
      <c r="H6070" s="1" t="str">
        <f>"无"</f>
        <v>无</v>
      </c>
      <c r="I6070" s="1" t="str">
        <f>"2020-2023 河南理工大学医学院医学检验技术就读，全日制
2023-2025 黄河科技学院医学院医学检验技术就读，全日制"</f>
        <v>2020-2023 河南理工大学医学院医学检验技术就读，全日制
2023-2025 黄河科技学院医学院医学检验技术就读，全日制</v>
      </c>
    </row>
    <row r="6071" spans="1:9">
      <c r="A6071" s="1" t="str">
        <f>"41132720030120004X"</f>
        <v>41132720030120004X</v>
      </c>
      <c r="B6071" s="1" t="str">
        <f t="shared" si="3073"/>
        <v>共青团员</v>
      </c>
      <c r="C6071" s="1" t="str">
        <f>"专科"</f>
        <v>专科</v>
      </c>
      <c r="D6071" s="1" t="str">
        <f>"20240701"</f>
        <v>20240701</v>
      </c>
      <c r="E6071" s="1" t="str">
        <f>"郑州黄河护理职业学院"</f>
        <v>郑州黄河护理职业学院</v>
      </c>
      <c r="F6071" s="1" t="str">
        <f>"护理"</f>
        <v>护理</v>
      </c>
      <c r="G6071" s="1" t="str">
        <f>"河南省内乡县城关镇书院村书院东路3号"</f>
        <v>河南省内乡县城关镇书院村书院东路3号</v>
      </c>
      <c r="H6071" s="1" t="str">
        <f>"护士资格证"</f>
        <v>护士资格证</v>
      </c>
      <c r="I6071" s="1" t="str">
        <f>"202109-202407郑州黄河护理职业学院护理就读，是全日制。"</f>
        <v>202109-202407郑州黄河护理职业学院护理就读，是全日制。</v>
      </c>
    </row>
    <row r="6072" spans="1:9">
      <c r="A6072" s="1" t="str">
        <f>"412822200110140036"</f>
        <v>412822200110140036</v>
      </c>
      <c r="B6072" s="1" t="str">
        <f>"群众"</f>
        <v>群众</v>
      </c>
      <c r="C6072" s="1" t="str">
        <f t="shared" si="3074"/>
        <v>本科</v>
      </c>
      <c r="D6072" s="1" t="str">
        <f>"20230623"</f>
        <v>20230623</v>
      </c>
      <c r="E6072" s="1" t="str">
        <f>"新乡医学院三全学院"</f>
        <v>新乡医学院三全学院</v>
      </c>
      <c r="F6072" s="1" t="str">
        <f>"药物制剂"</f>
        <v>药物制剂</v>
      </c>
      <c r="G6072" s="1" t="str">
        <f>"河南省驻马店市泌阳县"</f>
        <v>河南省驻马店市泌阳县</v>
      </c>
      <c r="H6072" s="1" t="str">
        <f>"大学4级证书，GCP证书"</f>
        <v>大学4级证书，GCP证书</v>
      </c>
      <c r="I6072" s="1" t="str">
        <f>"201909-202306新乡医学院三全学院就读
202306-202405华兰基因工程有限公司实习
202404-202406杭州泰格思默有限公司临床协调员
202410-202503牧原集团诊断检测员"</f>
        <v>201909-202306新乡医学院三全学院就读
202306-202405华兰基因工程有限公司实习
202404-202406杭州泰格思默有限公司临床协调员
202410-202503牧原集团诊断检测员</v>
      </c>
    </row>
    <row r="6073" spans="1:9">
      <c r="A6073" s="1" t="str">
        <f>"411327199809012597"</f>
        <v>411327199809012597</v>
      </c>
      <c r="B6073" s="1" t="str">
        <f t="shared" si="3073"/>
        <v>共青团员</v>
      </c>
      <c r="C6073" s="1" t="str">
        <f t="shared" si="3074"/>
        <v>本科</v>
      </c>
      <c r="D6073" s="1" t="str">
        <f>"20230701"</f>
        <v>20230701</v>
      </c>
      <c r="E6073" s="1" t="str">
        <f>"贵州医科大学"</f>
        <v>贵州医科大学</v>
      </c>
      <c r="F6073" s="1" t="str">
        <f t="shared" ref="F6073:F6078" si="3075">"临床医学"</f>
        <v>临床医学</v>
      </c>
      <c r="G6073" s="1" t="str">
        <f>"河南省南阳市内乡县东城水岸"</f>
        <v>河南省南阳市内乡县东城水岸</v>
      </c>
      <c r="H6073" s="1" t="str">
        <f>"医师资格证、执业医师证"</f>
        <v>医师资格证、执业医师证</v>
      </c>
      <c r="I6073" s="1" t="str">
        <f>"202009-202307贵州医科大学 临床医学院 临床医学（全日制）
"</f>
        <v>202009-202307贵州医科大学 临床医学院 临床医学（全日制）
</v>
      </c>
    </row>
    <row r="6074" spans="1:9">
      <c r="A6074" s="1" t="str">
        <f>"411502200008099011"</f>
        <v>411502200008099011</v>
      </c>
      <c r="B6074" s="1" t="str">
        <f>"中共党员"</f>
        <v>中共党员</v>
      </c>
      <c r="C6074" s="1" t="str">
        <f t="shared" si="3074"/>
        <v>本科</v>
      </c>
      <c r="D6074" s="1" t="str">
        <f>"20250612"</f>
        <v>20250612</v>
      </c>
      <c r="E6074" s="1" t="str">
        <f>"黄河科技学院"</f>
        <v>黄河科技学院</v>
      </c>
      <c r="F6074" s="1" t="str">
        <f>"医学检验技术"</f>
        <v>医学检验技术</v>
      </c>
      <c r="G6074" s="1" t="str">
        <f>"河南省信阳市浉河区工区路豫南驾校胡同上海花园"</f>
        <v>河南省信阳市浉河区工区路豫南驾校胡同上海花园</v>
      </c>
      <c r="H6074" s="1" t="str">
        <f t="shared" ref="H6074:H6078" si="3076">"无"</f>
        <v>无</v>
      </c>
      <c r="I6074" s="1" t="str">
        <f>"202009-202306 医学高等专科学校 医学检验技术 全日制
202309-202506 黄河科技学院 医学检验技术 全日制"</f>
        <v>202009-202306 医学高等专科学校 医学检验技术 全日制
202309-202506 黄河科技学院 医学检验技术 全日制</v>
      </c>
    </row>
    <row r="6075" spans="1:9">
      <c r="A6075" s="1" t="str">
        <f>"411323200009150529"</f>
        <v>411323200009150529</v>
      </c>
      <c r="B6075" s="1" t="str">
        <f t="shared" ref="B6075:B6078" si="3077">"共青团员"</f>
        <v>共青团员</v>
      </c>
      <c r="C6075" s="1" t="str">
        <f t="shared" ref="C6075:C6080" si="3078">"专科"</f>
        <v>专科</v>
      </c>
      <c r="D6075" s="1" t="str">
        <f>"20220701"</f>
        <v>20220701</v>
      </c>
      <c r="E6075" s="1" t="str">
        <f>"平顶山工业职业技术学院"</f>
        <v>平顶山工业职业技术学院</v>
      </c>
      <c r="F6075" s="1" t="str">
        <f>"护理"</f>
        <v>护理</v>
      </c>
      <c r="G6075" s="1" t="str">
        <f>"河南省南阳市西峡县"</f>
        <v>河南省南阳市西峡县</v>
      </c>
      <c r="H6075" s="1" t="str">
        <f>"初级（士）护士资格证"</f>
        <v>初级（士）护士资格证</v>
      </c>
      <c r="I6075" s="1" t="str">
        <f>"20190901-20210630平顶山工业职业技术学院学习
20210701-20220331平顶山第二人民医院实习
"</f>
        <v>20190901-20210630平顶山工业职业技术学院学习
20210701-20220331平顶山第二人民医院实习
</v>
      </c>
    </row>
    <row r="6076" spans="1:9">
      <c r="A6076" s="1" t="str">
        <f>"411327200008264538"</f>
        <v>411327200008264538</v>
      </c>
      <c r="B6076" s="1" t="str">
        <f t="shared" si="3077"/>
        <v>共青团员</v>
      </c>
      <c r="C6076" s="1" t="str">
        <f t="shared" ref="C6076:C6078" si="3079">"本科"</f>
        <v>本科</v>
      </c>
      <c r="D6076" s="1" t="str">
        <f>"20250718"</f>
        <v>20250718</v>
      </c>
      <c r="E6076" s="1" t="str">
        <f>"河南大学"</f>
        <v>河南大学</v>
      </c>
      <c r="F6076" s="1" t="str">
        <f t="shared" si="3075"/>
        <v>临床医学</v>
      </c>
      <c r="G6076" s="1" t="str">
        <f>"河南省南阳市西峡县城区一中斜对面"</f>
        <v>河南省南阳市西峡县城区一中斜对面</v>
      </c>
      <c r="H6076" s="1" t="str">
        <f t="shared" si="3076"/>
        <v>无</v>
      </c>
      <c r="I6076" s="1" t="str">
        <f>"2019年09月河南大学临床医学专业就读"</f>
        <v>2019年09月河南大学临床医学专业就读</v>
      </c>
    </row>
    <row r="6077" spans="1:9">
      <c r="A6077" s="1" t="str">
        <f>"411325200406122049"</f>
        <v>411325200406122049</v>
      </c>
      <c r="B6077" s="1" t="str">
        <f t="shared" ref="B6077:B6082" si="3080">"群众"</f>
        <v>群众</v>
      </c>
      <c r="C6077" s="1" t="str">
        <f t="shared" si="3079"/>
        <v>本科</v>
      </c>
      <c r="D6077" s="1" t="str">
        <f>"20240701"</f>
        <v>20240701</v>
      </c>
      <c r="E6077" s="1" t="str">
        <f>"郑州西亚斯学院"</f>
        <v>郑州西亚斯学院</v>
      </c>
      <c r="F6077" s="1" t="str">
        <f>"护理学"</f>
        <v>护理学</v>
      </c>
      <c r="G6077" s="1" t="str">
        <f>"河南省南阳市内乡县城关镇红学街"</f>
        <v>河南省南阳市内乡县城关镇红学街</v>
      </c>
      <c r="H6077" s="1" t="str">
        <f>"护士资格证"</f>
        <v>护士资格证</v>
      </c>
      <c r="I6077" s="1" t="str">
        <f>"20200901-20240701郑州西亚斯学院护理学专业就读全日制本科"</f>
        <v>20200901-20240701郑州西亚斯学院护理学专业就读全日制本科</v>
      </c>
    </row>
    <row r="6078" spans="1:9">
      <c r="A6078" s="1" t="str">
        <f>"411327200111262979"</f>
        <v>411327200111262979</v>
      </c>
      <c r="B6078" s="1" t="str">
        <f t="shared" si="3077"/>
        <v>共青团员</v>
      </c>
      <c r="C6078" s="1" t="str">
        <f t="shared" si="3079"/>
        <v>本科</v>
      </c>
      <c r="D6078" s="1" t="str">
        <f>"20250607"</f>
        <v>20250607</v>
      </c>
      <c r="E6078" s="1" t="str">
        <f>"华北理工大学冀唐学院"</f>
        <v>华北理工大学冀唐学院</v>
      </c>
      <c r="F6078" s="1" t="str">
        <f t="shared" si="3075"/>
        <v>临床医学</v>
      </c>
      <c r="G6078" s="1" t="str">
        <f>"内乡县实验初中家属院对面"</f>
        <v>内乡县实验初中家属院对面</v>
      </c>
      <c r="H6078" s="1" t="str">
        <f t="shared" si="3076"/>
        <v>无</v>
      </c>
      <c r="I6078" s="1" t="str">
        <f>"202009-202506 华北理工大学冀唐学院 临床医学专业就读，是全日制。"</f>
        <v>202009-202506 华北理工大学冀唐学院 临床医学专业就读，是全日制。</v>
      </c>
    </row>
    <row r="6079" spans="1:9">
      <c r="A6079" s="1" t="str">
        <f>"411327199608030027"</f>
        <v>411327199608030027</v>
      </c>
      <c r="B6079" s="1" t="str">
        <f t="shared" si="3080"/>
        <v>群众</v>
      </c>
      <c r="C6079" s="1" t="str">
        <f t="shared" si="3078"/>
        <v>专科</v>
      </c>
      <c r="D6079" s="1" t="str">
        <f>"2017年7月1日"</f>
        <v>2017年7月1日</v>
      </c>
      <c r="E6079" s="1" t="str">
        <f>"南阳医学高等专科学校"</f>
        <v>南阳医学高等专科学校</v>
      </c>
      <c r="F6079" s="1" t="str">
        <f>"助产"</f>
        <v>助产</v>
      </c>
      <c r="G6079" s="1" t="str">
        <f>"县医院对面锦绣苑小区"</f>
        <v>县医院对面锦绣苑小区</v>
      </c>
      <c r="H6079" s="1" t="str">
        <f>"201841014244"</f>
        <v>201841014244</v>
      </c>
      <c r="I6079" s="1" t="str">
        <f>"2014.9-2017.7在南阳医学高等专科学校学习，2017.8到至今内乡县人民医院产科上班"</f>
        <v>2014.9-2017.7在南阳医学高等专科学校学习，2017.8到至今内乡县人民医院产科上班</v>
      </c>
    </row>
    <row r="6080" spans="1:9">
      <c r="A6080" s="1" t="str">
        <f>"411327199007161523"</f>
        <v>411327199007161523</v>
      </c>
      <c r="B6080" s="1" t="str">
        <f t="shared" si="3080"/>
        <v>群众</v>
      </c>
      <c r="C6080" s="1" t="str">
        <f t="shared" si="3078"/>
        <v>专科</v>
      </c>
      <c r="D6080" s="1" t="str">
        <f>"20150701"</f>
        <v>20150701</v>
      </c>
      <c r="E6080" s="1" t="str">
        <f>"上海健康医学院"</f>
        <v>上海健康医学院</v>
      </c>
      <c r="F6080" s="1" t="str">
        <f>"护理"</f>
        <v>护理</v>
      </c>
      <c r="G6080" s="1" t="str">
        <f>"河南省内乡县城关镇实验高中对面"</f>
        <v>河南省内乡县城关镇实验高中对面</v>
      </c>
      <c r="H6080" s="1" t="str">
        <f>"护师"</f>
        <v>护师</v>
      </c>
      <c r="I6080" s="1" t="str">
        <f>"201209-201506 上海健康医学院就读
201508至今在湍东镇卫生院上班"</f>
        <v>201209-201506 上海健康医学院就读
201508至今在湍东镇卫生院上班</v>
      </c>
    </row>
    <row r="6081" spans="1:9">
      <c r="A6081" s="1" t="str">
        <f>"41132719990223424X"</f>
        <v>41132719990223424X</v>
      </c>
      <c r="B6081" s="1" t="str">
        <f t="shared" si="3080"/>
        <v>群众</v>
      </c>
      <c r="C6081" s="1" t="str">
        <f t="shared" ref="C6081:C6086" si="3081">"本科"</f>
        <v>本科</v>
      </c>
      <c r="D6081" s="1" t="str">
        <f>"20230607"</f>
        <v>20230607</v>
      </c>
      <c r="E6081" s="1" t="str">
        <f>"新乡医学院三全学院"</f>
        <v>新乡医学院三全学院</v>
      </c>
      <c r="F6081" s="1" t="str">
        <f>"医学检验技术"</f>
        <v>医学检验技术</v>
      </c>
      <c r="G6081" s="1" t="str">
        <f>"河南省南阳市内乡县"</f>
        <v>河南省南阳市内乡县</v>
      </c>
      <c r="H6081" s="1" t="str">
        <f>"检验士"</f>
        <v>检验士</v>
      </c>
      <c r="I6081" s="1" t="str">
        <f>"202109-202306在新乡医学院三全学院就读医学检验技术专业"</f>
        <v>202109-202306在新乡医学院三全学院就读医学检验技术专业</v>
      </c>
    </row>
    <row r="6082" spans="1:9">
      <c r="A6082" s="1" t="str">
        <f>"411123199203102057"</f>
        <v>411123199203102057</v>
      </c>
      <c r="B6082" s="1" t="str">
        <f t="shared" si="3080"/>
        <v>群众</v>
      </c>
      <c r="C6082" s="1" t="str">
        <f t="shared" ref="C6082:C6085" si="3082">"专科"</f>
        <v>专科</v>
      </c>
      <c r="D6082" s="1" t="str">
        <f>"20120630"</f>
        <v>20120630</v>
      </c>
      <c r="E6082" s="1" t="str">
        <f>"郑州华信学院"</f>
        <v>郑州华信学院</v>
      </c>
      <c r="F6082" s="1" t="str">
        <f>"药物制剂技术"</f>
        <v>药物制剂技术</v>
      </c>
      <c r="G6082" s="1" t="str">
        <f>"河南省郑州市登封市少室路390号"</f>
        <v>河南省郑州市登封市少室路390号</v>
      </c>
      <c r="H6082" s="1" t="str">
        <f t="shared" ref="H6082:H6087" si="3083">"无"</f>
        <v>无</v>
      </c>
      <c r="I6082" s="1" t="str">
        <f>"200909-201206郑州华信学院药物制剂技术就读，全日制大专"</f>
        <v>200909-201206郑州华信学院药物制剂技术就读，全日制大专</v>
      </c>
    </row>
    <row r="6083" spans="1:9">
      <c r="A6083" s="1" t="str">
        <f>"411381200208084548"</f>
        <v>411381200208084548</v>
      </c>
      <c r="B6083" s="1" t="str">
        <f>"共青团员"</f>
        <v>共青团员</v>
      </c>
      <c r="C6083" s="1" t="str">
        <f t="shared" si="3082"/>
        <v>专科</v>
      </c>
      <c r="D6083" s="1" t="str">
        <f>"20230701"</f>
        <v>20230701</v>
      </c>
      <c r="E6083" s="1" t="str">
        <f>"鹤壁职业技术学院"</f>
        <v>鹤壁职业技术学院</v>
      </c>
      <c r="F6083" s="1" t="str">
        <f t="shared" ref="F6083:F6085" si="3084">"护理学"</f>
        <v>护理学</v>
      </c>
      <c r="G6083" s="1" t="str">
        <f>"河南省邓州市张村镇五湖村范庄"</f>
        <v>河南省邓州市张村镇五湖村范庄</v>
      </c>
      <c r="H6083" s="1" t="str">
        <f>"护士执业资格证"</f>
        <v>护士执业资格证</v>
      </c>
      <c r="I6083" s="1" t="str">
        <f>"2020.10--2022.06 鹤壁职业技术学院护理学专业学生
2022.07 - 2024.01 邓州市中心医院实习生
2024.01至今 待业"</f>
        <v>2020.10--2022.06 鹤壁职业技术学院护理学专业学生
2022.07 - 2024.01 邓州市中心医院实习生
2024.01至今 待业</v>
      </c>
    </row>
    <row r="6084" spans="1:9">
      <c r="A6084" s="1" t="str">
        <f>"411327199401301520"</f>
        <v>411327199401301520</v>
      </c>
      <c r="B6084" s="1" t="str">
        <f t="shared" ref="B6084:B6087" si="3085">"群众"</f>
        <v>群众</v>
      </c>
      <c r="C6084" s="1" t="str">
        <f t="shared" si="3081"/>
        <v>本科</v>
      </c>
      <c r="D6084" s="1" t="str">
        <f>"20150701"</f>
        <v>20150701</v>
      </c>
      <c r="E6084" s="1" t="str">
        <f>"南阳理工学院"</f>
        <v>南阳理工学院</v>
      </c>
      <c r="F6084" s="1" t="str">
        <f t="shared" si="3084"/>
        <v>护理学</v>
      </c>
      <c r="G6084" s="1" t="str">
        <f>"河南省内乡县湍东镇罗岗村黄家25号"</f>
        <v>河南省内乡县湍东镇罗岗村黄家25号</v>
      </c>
      <c r="H6084" s="1" t="str">
        <f>"护士资格证、护师资格证、主管护师资格证"</f>
        <v>护士资格证、护师资格证、主管护师资格证</v>
      </c>
      <c r="I6084" s="1" t="str">
        <f>"201109-201507南阳理工学院张仲景国医学院护理学专业就读，全日制本科
201508-201604河南省内乡县待业
201605-202205南阳南石医院 护士
202206-202507河南省南阳市待业"</f>
        <v>201109-201507南阳理工学院张仲景国医学院护理学专业就读，全日制本科
201508-201604河南省内乡县待业
201605-202205南阳南石医院 护士
202206-202507河南省南阳市待业</v>
      </c>
    </row>
    <row r="6085" spans="1:9">
      <c r="A6085" s="1" t="str">
        <f>"411327199703074941"</f>
        <v>411327199703074941</v>
      </c>
      <c r="B6085" s="1" t="str">
        <f t="shared" si="3085"/>
        <v>群众</v>
      </c>
      <c r="C6085" s="1" t="str">
        <f t="shared" si="3082"/>
        <v>专科</v>
      </c>
      <c r="D6085" s="1" t="str">
        <f>"20180530"</f>
        <v>20180530</v>
      </c>
      <c r="E6085" s="1" t="str">
        <f>"苏州卫生职业技术学院"</f>
        <v>苏州卫生职业技术学院</v>
      </c>
      <c r="F6085" s="1" t="str">
        <f t="shared" si="3084"/>
        <v>护理学</v>
      </c>
      <c r="G6085" s="1" t="str">
        <f>"河南省南阳市内乡县城关镇滨河家园"</f>
        <v>河南省南阳市内乡县城关镇滨河家园</v>
      </c>
      <c r="H6085" s="1" t="str">
        <f>"护士职业资格证"</f>
        <v>护士职业资格证</v>
      </c>
      <c r="I6085" s="1" t="str">
        <f>"2015.09-2018.05 苏州卫生职业技术学院 护理专业，全日制学历；
2020.03-2022.07 河南理工大学
2019.03-2021.09 内乡县第二人民医院
2022.03-至今 内乡县中医院"</f>
        <v>2015.09-2018.05 苏州卫生职业技术学院 护理专业，全日制学历；
2020.03-2022.07 河南理工大学
2019.03-2021.09 内乡县第二人民医院
2022.03-至今 内乡县中医院</v>
      </c>
    </row>
    <row r="6086" spans="1:9">
      <c r="A6086" s="1" t="str">
        <f>"411324200107272227"</f>
        <v>411324200107272227</v>
      </c>
      <c r="B6086" s="1" t="str">
        <f>"中共党员"</f>
        <v>中共党员</v>
      </c>
      <c r="C6086" s="1" t="str">
        <f t="shared" si="3081"/>
        <v>本科</v>
      </c>
      <c r="D6086" s="1" t="str">
        <f>"20240625"</f>
        <v>20240625</v>
      </c>
      <c r="E6086" s="1" t="str">
        <f>"河南理工大学"</f>
        <v>河南理工大学</v>
      </c>
      <c r="F6086" s="1" t="str">
        <f>"药学"</f>
        <v>药学</v>
      </c>
      <c r="G6086" s="1" t="str">
        <f>"河南省镇平县玉神路东青颐和府"</f>
        <v>河南省镇平县玉神路东青颐和府</v>
      </c>
      <c r="H6086" s="1" t="str">
        <f t="shared" si="3083"/>
        <v>无</v>
      </c>
      <c r="I6086" s="1" t="str">
        <f>"201909-202206信阳职业技术学院就读  全日制
202209-202406河南理工大学就读  全日制"</f>
        <v>201909-202206信阳职业技术学院就读  全日制
202209-202406河南理工大学就读  全日制</v>
      </c>
    </row>
    <row r="6087" spans="1:9">
      <c r="A6087" s="1" t="str">
        <f>"411325200108210665"</f>
        <v>411325200108210665</v>
      </c>
      <c r="B6087" s="1" t="str">
        <f t="shared" si="3085"/>
        <v>群众</v>
      </c>
      <c r="C6087" s="1" t="str">
        <f t="shared" ref="C6087:C6092" si="3086">"专科"</f>
        <v>专科</v>
      </c>
      <c r="D6087" s="1" t="str">
        <f>"20220630"</f>
        <v>20220630</v>
      </c>
      <c r="E6087" s="1" t="str">
        <f>"硅湖职业技术学院"</f>
        <v>硅湖职业技术学院</v>
      </c>
      <c r="F6087" s="1" t="str">
        <f>"大数据技术与应用"</f>
        <v>大数据技术与应用</v>
      </c>
      <c r="G6087" s="1" t="str">
        <f>"河南省内乡县马山口镇"</f>
        <v>河南省内乡县马山口镇</v>
      </c>
      <c r="H6087" s="1" t="str">
        <f t="shared" si="3083"/>
        <v>无</v>
      </c>
      <c r="I6087" s="1" t="str">
        <f>"2019年9月1日起在硅湖技术职业学院，学习大数据分析，与2022年六月毕业。是全日制学历"</f>
        <v>2019年9月1日起在硅湖技术职业学院，学习大数据分析，与2022年六月毕业。是全日制学历</v>
      </c>
    </row>
    <row r="6088" spans="1:9">
      <c r="A6088" s="1" t="str">
        <f>"411330200407151520"</f>
        <v>411330200407151520</v>
      </c>
      <c r="B6088" s="1" t="str">
        <f t="shared" ref="B6088:B6090" si="3087">"共青团员"</f>
        <v>共青团员</v>
      </c>
      <c r="C6088" s="1" t="str">
        <f t="shared" si="3086"/>
        <v>专科</v>
      </c>
      <c r="D6088" s="1" t="str">
        <f>"20250601"</f>
        <v>20250601</v>
      </c>
      <c r="E6088" s="1" t="str">
        <f>"平顶山工业职业技术学院"</f>
        <v>平顶山工业职业技术学院</v>
      </c>
      <c r="F6088" s="1" t="str">
        <f>"护理"</f>
        <v>护理</v>
      </c>
      <c r="G6088" s="1" t="str">
        <f>"河南省南阳市西峡县建设东路"</f>
        <v>河南省南阳市西峡县建设东路</v>
      </c>
      <c r="H6088" s="1" t="str">
        <f>"护士资格证，护士执业证"</f>
        <v>护士资格证，护士执业证</v>
      </c>
      <c r="I6088" s="1" t="str">
        <f>"202209-202506在平顶山工业职业技术学院护理专业就读全日制学历"</f>
        <v>202209-202506在平顶山工业职业技术学院护理专业就读全日制学历</v>
      </c>
    </row>
    <row r="6089" spans="1:9">
      <c r="A6089" s="1" t="str">
        <f>"411302200003220862"</f>
        <v>411302200003220862</v>
      </c>
      <c r="B6089" s="1" t="str">
        <f t="shared" si="3087"/>
        <v>共青团员</v>
      </c>
      <c r="C6089" s="1" t="str">
        <f t="shared" ref="C6089:C6091" si="3088">"本科"</f>
        <v>本科</v>
      </c>
      <c r="D6089" s="1" t="str">
        <f>"20210701"</f>
        <v>20210701</v>
      </c>
      <c r="E6089" s="1" t="str">
        <f>"郑州大学"</f>
        <v>郑州大学</v>
      </c>
      <c r="F6089" s="1" t="str">
        <f t="shared" ref="F6089:F6094" si="3089">"护理学"</f>
        <v>护理学</v>
      </c>
      <c r="G6089" s="1" t="str">
        <f>"河南省南阳市宛城区天润苑"</f>
        <v>河南省南阳市宛城区天润苑</v>
      </c>
      <c r="H6089" s="1" t="str">
        <f>"护师资格证"</f>
        <v>护师资格证</v>
      </c>
      <c r="I6089" s="1" t="str">
        <f>"201709-202107  郑州大学就读"</f>
        <v>201709-202107  郑州大学就读</v>
      </c>
    </row>
    <row r="6090" spans="1:9">
      <c r="A6090" s="1" t="str">
        <f>"411324200206100076"</f>
        <v>411324200206100076</v>
      </c>
      <c r="B6090" s="1" t="str">
        <f t="shared" si="3087"/>
        <v>共青团员</v>
      </c>
      <c r="C6090" s="1" t="str">
        <f t="shared" si="3088"/>
        <v>本科</v>
      </c>
      <c r="D6090" s="1" t="str">
        <f>"20250613"</f>
        <v>20250613</v>
      </c>
      <c r="E6090" s="1" t="str">
        <f>"新乡医学院三全学院"</f>
        <v>新乡医学院三全学院</v>
      </c>
      <c r="F6090" s="1" t="str">
        <f>"医学检验技术"</f>
        <v>医学检验技术</v>
      </c>
      <c r="G6090" s="1" t="str">
        <f>"河南省南阳市镇平县"</f>
        <v>河南省南阳市镇平县</v>
      </c>
      <c r="H6090" s="1" t="str">
        <f>"无"</f>
        <v>无</v>
      </c>
      <c r="I6090" s="1" t="str">
        <f>"2020年9月至2023年6月 郑州工业应用技术学院 医学检验技术 全日制
2023年9月至2025年6月 新乡医学院三全学院 医学检验技术 全日制"</f>
        <v>2020年9月至2023年6月 郑州工业应用技术学院 医学检验技术 全日制
2023年9月至2025年6月 新乡医学院三全学院 医学检验技术 全日制</v>
      </c>
    </row>
    <row r="6091" spans="1:9">
      <c r="A6091" s="1" t="str">
        <f>"411327199607101524"</f>
        <v>411327199607101524</v>
      </c>
      <c r="B6091" s="1" t="str">
        <f t="shared" ref="B6091:B6095" si="3090">"群众"</f>
        <v>群众</v>
      </c>
      <c r="C6091" s="1" t="str">
        <f t="shared" si="3088"/>
        <v>本科</v>
      </c>
      <c r="D6091" s="1" t="str">
        <f>"20190701"</f>
        <v>20190701</v>
      </c>
      <c r="E6091" s="1" t="str">
        <f>"新乡医学院三全学院"</f>
        <v>新乡医学院三全学院</v>
      </c>
      <c r="F6091" s="1" t="str">
        <f>"医学检验技术"</f>
        <v>医学检验技术</v>
      </c>
      <c r="G6091" s="1" t="str">
        <f>"内乡县湍东镇"</f>
        <v>内乡县湍东镇</v>
      </c>
      <c r="H6091" s="1" t="str">
        <f>"检验师"</f>
        <v>检验师</v>
      </c>
      <c r="I6091" s="1" t="str">
        <f>"201509-201906新乡医学院三全学院德馨书院医学检验技术专业就读 全日制
201907至今内乡县人民医院就职"</f>
        <v>201509-201906新乡医学院三全学院德馨书院医学检验技术专业就读 全日制
201907至今内乡县人民医院就职</v>
      </c>
    </row>
    <row r="6092" spans="1:9">
      <c r="A6092" s="1" t="str">
        <f>"411330200312270041"</f>
        <v>411330200312270041</v>
      </c>
      <c r="B6092" s="1" t="str">
        <f t="shared" ref="B6092:B6099" si="3091">"共青团员"</f>
        <v>共青团员</v>
      </c>
      <c r="C6092" s="1" t="str">
        <f t="shared" si="3086"/>
        <v>专科</v>
      </c>
      <c r="D6092" s="1" t="str">
        <f>"20250620"</f>
        <v>20250620</v>
      </c>
      <c r="E6092" s="1" t="str">
        <f>"商丘医学高等专科学校"</f>
        <v>商丘医学高等专科学校</v>
      </c>
      <c r="F6092" s="1" t="str">
        <f>"护理"</f>
        <v>护理</v>
      </c>
      <c r="G6092" s="1" t="str">
        <f>"河南省南阳市内乡县湍东镇东王营村"</f>
        <v>河南省南阳市内乡县湍东镇东王营村</v>
      </c>
      <c r="H6092" s="1" t="str">
        <f>"护士执业证书"</f>
        <v>护士执业证书</v>
      </c>
      <c r="I6092" s="1" t="str">
        <f>"201909-202206 内乡县实验高中就读
202209-202506 商丘医学高等专科学校 护理学院 护理专业 全日制就读"</f>
        <v>201909-202206 内乡县实验高中就读
202209-202506 商丘医学高等专科学校 护理学院 护理专业 全日制就读</v>
      </c>
    </row>
    <row r="6093" spans="1:9">
      <c r="A6093" s="1" t="str">
        <f>"411327199711140021"</f>
        <v>411327199711140021</v>
      </c>
      <c r="B6093" s="1" t="str">
        <f t="shared" si="3090"/>
        <v>群众</v>
      </c>
      <c r="C6093" s="1" t="str">
        <f t="shared" ref="C6093:C6100" si="3092">"本科"</f>
        <v>本科</v>
      </c>
      <c r="D6093" s="1" t="str">
        <f>"20200701"</f>
        <v>20200701</v>
      </c>
      <c r="E6093" s="1" t="str">
        <f>"南阳理工学院"</f>
        <v>南阳理工学院</v>
      </c>
      <c r="F6093" s="1" t="str">
        <f t="shared" si="3089"/>
        <v>护理学</v>
      </c>
      <c r="G6093" s="1" t="str">
        <f>"河南省内乡县郦都花园"</f>
        <v>河南省内乡县郦都花园</v>
      </c>
      <c r="H6093" s="1" t="str">
        <f>"护师资格证"</f>
        <v>护师资格证</v>
      </c>
      <c r="I6093" s="1" t="str">
        <f>"201509-201807 南阳医学高等专科学校就读
201809-202007 南阳理工学院就读
202008-至今       邓州市城区四小就业"</f>
        <v>201509-201807 南阳医学高等专科学校就读
201809-202007 南阳理工学院就读
202008-至今       邓州市城区四小就业</v>
      </c>
    </row>
    <row r="6094" spans="1:9">
      <c r="A6094" s="1" t="str">
        <f>"41138119950130222X"</f>
        <v>41138119950130222X</v>
      </c>
      <c r="B6094" s="1" t="str">
        <f t="shared" si="3090"/>
        <v>群众</v>
      </c>
      <c r="C6094" s="1" t="str">
        <f t="shared" si="3092"/>
        <v>本科</v>
      </c>
      <c r="D6094" s="1" t="str">
        <f>"20180701"</f>
        <v>20180701</v>
      </c>
      <c r="E6094" s="1" t="str">
        <f>"新乡医学院"</f>
        <v>新乡医学院</v>
      </c>
      <c r="F6094" s="1" t="str">
        <f t="shared" si="3089"/>
        <v>护理学</v>
      </c>
      <c r="G6094" s="1" t="str">
        <f>"河南省南阳市宛城区滨河路景苑小区"</f>
        <v>河南省南阳市宛城区滨河路景苑小区</v>
      </c>
      <c r="H6094" s="1" t="str">
        <f>"护理学中级"</f>
        <v>护理学中级</v>
      </c>
      <c r="I6094" s="1" t="str">
        <f>"201609-201807 新乡医学院护理系护理学专业就读，是全日制学历
201807-至今 南阳市第二人民医院就职"</f>
        <v>201609-201807 新乡医学院护理系护理学专业就读，是全日制学历
201807-至今 南阳市第二人民医院就职</v>
      </c>
    </row>
    <row r="6095" spans="1:9">
      <c r="A6095" s="1" t="str">
        <f>"410205199306100013"</f>
        <v>410205199306100013</v>
      </c>
      <c r="B6095" s="1" t="str">
        <f t="shared" si="3090"/>
        <v>群众</v>
      </c>
      <c r="C6095" s="1" t="str">
        <f t="shared" si="3092"/>
        <v>本科</v>
      </c>
      <c r="D6095" s="1" t="str">
        <f>"2018.08.24"</f>
        <v>2018.08.24</v>
      </c>
      <c r="E6095" s="1" t="str">
        <f>"韩国大邱加图立大学"</f>
        <v>韩国大邱加图立大学</v>
      </c>
      <c r="F6095" s="1" t="str">
        <f>"医学影像学"</f>
        <v>医学影像学</v>
      </c>
      <c r="G6095" s="1" t="str">
        <f>"河南省开封市禹王台区西后街A区"</f>
        <v>河南省开封市禹王台区西后街A区</v>
      </c>
      <c r="H6095" s="1" t="str">
        <f>"执业医师资格证"</f>
        <v>执业医师资格证</v>
      </c>
      <c r="I6095" s="1" t="str">
        <f>"201401-201808 韩国大邱加图立大学 医学影像学 就读 全日制；
201901-201906 开封市肿瘤医院就业；
201907-至今 开封市人民医院就业。"</f>
        <v>201401-201808 韩国大邱加图立大学 医学影像学 就读 全日制；
201901-201906 开封市肿瘤医院就业；
201907-至今 开封市人民医院就业。</v>
      </c>
    </row>
    <row r="6096" spans="1:9">
      <c r="A6096" s="1" t="str">
        <f>"411325200102230040"</f>
        <v>411325200102230040</v>
      </c>
      <c r="B6096" s="1" t="str">
        <f t="shared" si="3091"/>
        <v>共青团员</v>
      </c>
      <c r="C6096" s="1" t="str">
        <f t="shared" si="3092"/>
        <v>本科</v>
      </c>
      <c r="D6096" s="1" t="str">
        <f>"20230701"</f>
        <v>20230701</v>
      </c>
      <c r="E6096" s="1" t="str">
        <f>"新乡医学院三全学院"</f>
        <v>新乡医学院三全学院</v>
      </c>
      <c r="F6096" s="1" t="str">
        <f t="shared" ref="F6096:F6100" si="3093">"医学检验技术"</f>
        <v>医学检验技术</v>
      </c>
      <c r="G6096" s="1" t="str">
        <f>"河南省南阳市唐河县建设西路"</f>
        <v>河南省南阳市唐河县建设西路</v>
      </c>
      <c r="H6096" s="1" t="str">
        <f>"临床医学检验技术初级（师）"</f>
        <v>临床医学检验技术初级（师）</v>
      </c>
      <c r="I6096" s="1" t="str">
        <f>"201909-202307 新乡医学院三全学院  医学检验技术专业就读 全日制
202310-202410 唐河和谐医院
202410-至今 在唐河县待业
"</f>
        <v>201909-202307 新乡医学院三全学院  医学检验技术专业就读 全日制
202310-202410 唐河和谐医院
202410-至今 在唐河县待业
</v>
      </c>
    </row>
    <row r="6097" spans="1:9">
      <c r="A6097" s="1" t="str">
        <f>"412723200206046440"</f>
        <v>412723200206046440</v>
      </c>
      <c r="B6097" s="1" t="str">
        <f t="shared" si="3091"/>
        <v>共青团员</v>
      </c>
      <c r="C6097" s="1" t="str">
        <f t="shared" si="3092"/>
        <v>本科</v>
      </c>
      <c r="D6097" s="1" t="str">
        <f>"20250612"</f>
        <v>20250612</v>
      </c>
      <c r="E6097" s="1" t="str">
        <f t="shared" ref="E6097:E6100" si="3094">"黄河科技学院"</f>
        <v>黄河科技学院</v>
      </c>
      <c r="F6097" s="1" t="str">
        <f>"药学"</f>
        <v>药学</v>
      </c>
      <c r="G6097" s="1" t="str">
        <f>"河南省商水县胡吉镇李寨村三组"</f>
        <v>河南省商水县胡吉镇李寨村三组</v>
      </c>
      <c r="H6097" s="1" t="str">
        <f t="shared" ref="H6097:H6101" si="3095">"无"</f>
        <v>无</v>
      </c>
      <c r="I6097" s="1" t="str">
        <f>"202009-202307南阳医学高等专科学校药学专业全日制学历就读
202309-202506黄河科技学院药学专业全日制学历就读
202506-至今待业"</f>
        <v>202009-202307南阳医学高等专科学校药学专业全日制学历就读
202309-202506黄河科技学院药学专业全日制学历就读
202506-至今待业</v>
      </c>
    </row>
    <row r="6098" spans="1:9">
      <c r="A6098" s="1" t="str">
        <f>"411327200005110023"</f>
        <v>411327200005110023</v>
      </c>
      <c r="B6098" s="1" t="str">
        <f t="shared" si="3091"/>
        <v>共青团员</v>
      </c>
      <c r="C6098" s="1" t="str">
        <f t="shared" si="3092"/>
        <v>本科</v>
      </c>
      <c r="D6098" s="1" t="str">
        <f>"20220622"</f>
        <v>20220622</v>
      </c>
      <c r="E6098" s="1" t="str">
        <f>"徐州医科大学"</f>
        <v>徐州医科大学</v>
      </c>
      <c r="F6098" s="1" t="str">
        <f t="shared" ref="F6098:F6104" si="3096">"护理学"</f>
        <v>护理学</v>
      </c>
      <c r="G6098" s="1" t="str">
        <f>"河南省内乡县城关镇清真寺村清真寺南路75"</f>
        <v>河南省内乡县城关镇清真寺村清真寺南路75</v>
      </c>
      <c r="H6098" s="1" t="str">
        <f>"卫生专业技术资格 护师"</f>
        <v>卫生专业技术资格 护师</v>
      </c>
      <c r="I6098" s="1" t="str">
        <f>"201808-202206徐州在医科大学就读护理学院护理学专业就读，是全日制学历"</f>
        <v>201808-202206徐州在医科大学就读护理学院护理学专业就读，是全日制学历</v>
      </c>
    </row>
    <row r="6099" spans="1:9">
      <c r="A6099" s="1" t="str">
        <f>"410726200411076232"</f>
        <v>410726200411076232</v>
      </c>
      <c r="B6099" s="1" t="str">
        <f t="shared" si="3091"/>
        <v>共青团员</v>
      </c>
      <c r="C6099" s="1" t="str">
        <f t="shared" si="3092"/>
        <v>本科</v>
      </c>
      <c r="D6099" s="1" t="str">
        <f>"20240620"</f>
        <v>20240620</v>
      </c>
      <c r="E6099" s="1" t="str">
        <f t="shared" si="3094"/>
        <v>黄河科技学院</v>
      </c>
      <c r="F6099" s="1" t="str">
        <f t="shared" si="3093"/>
        <v>医学检验技术</v>
      </c>
      <c r="G6099" s="1" t="str">
        <f>"河南省新乡市延津县马庄乡罗滩村"</f>
        <v>河南省新乡市延津县马庄乡罗滩村</v>
      </c>
      <c r="H6099" s="1" t="str">
        <f t="shared" si="3095"/>
        <v>无</v>
      </c>
      <c r="I6099" s="1" t="str">
        <f>"202009-202406 黄河科技学院医学院医学检验技术专业就读，全日制本科，无间断"</f>
        <v>202009-202406 黄河科技学院医学院医学检验技术专业就读，全日制本科，无间断</v>
      </c>
    </row>
    <row r="6100" spans="1:9">
      <c r="A6100" s="1" t="str">
        <f>"411381200112033041"</f>
        <v>411381200112033041</v>
      </c>
      <c r="B6100" s="1" t="str">
        <f t="shared" ref="B6100:B6102" si="3097">"群众"</f>
        <v>群众</v>
      </c>
      <c r="C6100" s="1" t="str">
        <f t="shared" si="3092"/>
        <v>本科</v>
      </c>
      <c r="D6100" s="1" t="str">
        <f>"20240607"</f>
        <v>20240607</v>
      </c>
      <c r="E6100" s="1" t="str">
        <f t="shared" si="3094"/>
        <v>黄河科技学院</v>
      </c>
      <c r="F6100" s="1" t="str">
        <f t="shared" si="3093"/>
        <v>医学检验技术</v>
      </c>
      <c r="G6100" s="1" t="str">
        <f>"河南省南阳市邓州市古城街道振坤路与邓罗路交叉口"</f>
        <v>河南省南阳市邓州市古城街道振坤路与邓罗路交叉口</v>
      </c>
      <c r="H6100" s="1" t="str">
        <f>"检验士"</f>
        <v>检验士</v>
      </c>
      <c r="I6100" s="1" t="str">
        <f>"2019-2022 河南科技职业大学 医学检验技术
2022-2024 黄河科技学院 医学检验技术"</f>
        <v>2019-2022 河南科技职业大学 医学检验技术
2022-2024 黄河科技学院 医学检验技术</v>
      </c>
    </row>
    <row r="6101" spans="1:9">
      <c r="A6101" s="1" t="str">
        <f>"411325200405022011"</f>
        <v>411325200405022011</v>
      </c>
      <c r="B6101" s="1" t="str">
        <f t="shared" si="3097"/>
        <v>群众</v>
      </c>
      <c r="C6101" s="1" t="str">
        <f t="shared" ref="C6101:C6107" si="3098">"专科"</f>
        <v>专科</v>
      </c>
      <c r="D6101" s="1" t="str">
        <f>"20250620"</f>
        <v>20250620</v>
      </c>
      <c r="E6101" s="1" t="str">
        <f>"商丘医学高等专科学校"</f>
        <v>商丘医学高等专科学校</v>
      </c>
      <c r="F6101" s="1" t="str">
        <f t="shared" ref="F6101:F6106" si="3099">"临床医学"</f>
        <v>临床医学</v>
      </c>
      <c r="G6101" s="1" t="str">
        <f>"河南省南阳市内乡县师岗镇西坡村"</f>
        <v>河南省南阳市内乡县师岗镇西坡村</v>
      </c>
      <c r="H6101" s="1" t="str">
        <f t="shared" si="3095"/>
        <v>无</v>
      </c>
      <c r="I6101" s="1" t="str">
        <f>"202209-202506商丘医学高等专科学校临床医学院临床医学专业就读全日制学历"</f>
        <v>202209-202506商丘医学高等专科学校临床医学院临床医学专业就读全日制学历</v>
      </c>
    </row>
    <row r="6102" spans="1:9">
      <c r="A6102" s="1" t="str">
        <f>"411325200407293915"</f>
        <v>411325200407293915</v>
      </c>
      <c r="B6102" s="1" t="str">
        <f t="shared" si="3097"/>
        <v>群众</v>
      </c>
      <c r="C6102" s="1" t="str">
        <f t="shared" si="3098"/>
        <v>专科</v>
      </c>
      <c r="D6102" s="1" t="str">
        <f>"2025-07-01"</f>
        <v>2025-07-01</v>
      </c>
      <c r="E6102" s="1" t="str">
        <f>"郑州澍青医学高等专科学校"</f>
        <v>郑州澍青医学高等专科学校</v>
      </c>
      <c r="F6102" s="1" t="str">
        <f t="shared" si="3096"/>
        <v>护理学</v>
      </c>
      <c r="G6102" s="1" t="str">
        <f>"河南省南阳市内乡县"</f>
        <v>河南省南阳市内乡县</v>
      </c>
      <c r="H6102" s="1" t="str">
        <f>"护士资格证 初级"</f>
        <v>护士资格证 初级</v>
      </c>
      <c r="I6102" s="1" t="str">
        <f>"2022.09——2025.06就读于郑州澍青医学高等专科学校护理专业全日制"</f>
        <v>2022.09——2025.06就读于郑州澍青医学高等专科学校护理专业全日制</v>
      </c>
    </row>
    <row r="6103" spans="1:9">
      <c r="A6103" s="1" t="str">
        <f>"410728200106109766"</f>
        <v>410728200106109766</v>
      </c>
      <c r="B6103" s="1" t="str">
        <f>"共青团员"</f>
        <v>共青团员</v>
      </c>
      <c r="C6103" s="1" t="str">
        <f t="shared" ref="C6103:C6109" si="3100">"本科"</f>
        <v>本科</v>
      </c>
      <c r="D6103" s="1" t="str">
        <f>"20250720"</f>
        <v>20250720</v>
      </c>
      <c r="E6103" s="1" t="str">
        <f>"辽宁何氏医学院"</f>
        <v>辽宁何氏医学院</v>
      </c>
      <c r="F6103" s="1" t="str">
        <f t="shared" si="3096"/>
        <v>护理学</v>
      </c>
      <c r="G6103" s="1" t="str">
        <f>"河南省长垣市常村镇大堤西村370号"</f>
        <v>河南省长垣市常村镇大堤西村370号</v>
      </c>
      <c r="H6103" s="1" t="str">
        <f>"护士资格证、护士执业资格证"</f>
        <v>护士资格证、护士执业资格证</v>
      </c>
      <c r="I6103" s="1" t="str">
        <f>"201909-202207 沈阳医学院 护理学院 护理专业 全日制 就读
202209-202507 辽宁何氏医学院 护理学院 护理学专业 全日制 就读"</f>
        <v>201909-202207 沈阳医学院 护理学院 护理专业 全日制 就读
202209-202507 辽宁何氏医学院 护理学院 护理学专业 全日制 就读</v>
      </c>
    </row>
    <row r="6104" spans="1:9">
      <c r="A6104" s="1" t="str">
        <f>"411327199610132022"</f>
        <v>411327199610132022</v>
      </c>
      <c r="B6104" s="1" t="str">
        <f t="shared" ref="B6104:B6108" si="3101">"群众"</f>
        <v>群众</v>
      </c>
      <c r="C6104" s="1" t="str">
        <f t="shared" si="3100"/>
        <v>本科</v>
      </c>
      <c r="D6104" s="1" t="str">
        <f>"20200701"</f>
        <v>20200701</v>
      </c>
      <c r="E6104" s="1" t="str">
        <f>"商丘工学院"</f>
        <v>商丘工学院</v>
      </c>
      <c r="F6104" s="1" t="str">
        <f t="shared" si="3096"/>
        <v>护理学</v>
      </c>
      <c r="G6104" s="1" t="str">
        <f>"河南省南阳市内乡县师岗镇师岗街"</f>
        <v>河南省南阳市内乡县师岗镇师岗街</v>
      </c>
      <c r="H6104" s="1" t="str">
        <f>"护师"</f>
        <v>护师</v>
      </c>
      <c r="I6104" s="1" t="str">
        <f>"201509-201806许昌职业技术学院就读 全日制
201809-202007商丘工学院就读 全日制"</f>
        <v>201509-201806许昌职业技术学院就读 全日制
201809-202007商丘工学院就读 全日制</v>
      </c>
    </row>
    <row r="6105" spans="1:9">
      <c r="A6105" s="1" t="str">
        <f>"411326200303074431"</f>
        <v>411326200303074431</v>
      </c>
      <c r="B6105" s="1" t="str">
        <f t="shared" si="3101"/>
        <v>群众</v>
      </c>
      <c r="C6105" s="1" t="str">
        <f t="shared" si="3098"/>
        <v>专科</v>
      </c>
      <c r="D6105" s="1" t="str">
        <f>"20240620"</f>
        <v>20240620</v>
      </c>
      <c r="E6105" s="1" t="str">
        <f>"商丘医学高等专科"</f>
        <v>商丘医学高等专科</v>
      </c>
      <c r="F6105" s="1" t="str">
        <f t="shared" si="3099"/>
        <v>临床医学</v>
      </c>
      <c r="G6105" s="1" t="str">
        <f>"南阳市淅川县上集镇帝尊国际酒店对面"</f>
        <v>南阳市淅川县上集镇帝尊国际酒店对面</v>
      </c>
      <c r="H6105" s="1" t="str">
        <f>"无"</f>
        <v>无</v>
      </c>
      <c r="I6105" s="1" t="str">
        <f>"202109-202406商丘医学高等专科
201809-202106淅川县第二高级中学
201509-201806淅川第一初级中学
200909-201506淅川县第五小学"</f>
        <v>202109-202406商丘医学高等专科
201809-202106淅川县第二高级中学
201509-201806淅川第一初级中学
200909-201506淅川县第五小学</v>
      </c>
    </row>
    <row r="6106" spans="1:9">
      <c r="A6106" s="1" t="str">
        <f>"410184200102120034"</f>
        <v>410184200102120034</v>
      </c>
      <c r="B6106" s="1" t="str">
        <f>"中共党员"</f>
        <v>中共党员</v>
      </c>
      <c r="C6106" s="1" t="str">
        <f t="shared" si="3098"/>
        <v>专科</v>
      </c>
      <c r="D6106" s="1" t="str">
        <f>"20220701"</f>
        <v>20220701</v>
      </c>
      <c r="E6106" s="1" t="str">
        <f>"漯河医学高等专科学校"</f>
        <v>漯河医学高等专科学校</v>
      </c>
      <c r="F6106" s="1" t="str">
        <f t="shared" si="3099"/>
        <v>临床医学</v>
      </c>
      <c r="G6106" s="1" t="str">
        <f>"河南省新郑市人民路"</f>
        <v>河南省新郑市人民路</v>
      </c>
      <c r="H6106" s="1" t="str">
        <f>"助理医师资格证"</f>
        <v>助理医师资格证</v>
      </c>
      <c r="I6106" s="1" t="str">
        <f>"201909-202207漯河医学高等专科学校就读医疗系临床医学专业就读，是全日制学历
"</f>
        <v>201909-202207漯河医学高等专科学校就读医疗系临床医学专业就读，是全日制学历
</v>
      </c>
    </row>
    <row r="6107" spans="1:9">
      <c r="A6107" s="1" t="str">
        <f>"411327199712071144"</f>
        <v>411327199712071144</v>
      </c>
      <c r="B6107" s="1" t="str">
        <f t="shared" si="3101"/>
        <v>群众</v>
      </c>
      <c r="C6107" s="1" t="str">
        <f t="shared" si="3098"/>
        <v>专科</v>
      </c>
      <c r="D6107" s="1" t="str">
        <f>"20190701"</f>
        <v>20190701</v>
      </c>
      <c r="E6107" s="1" t="str">
        <f>"南阳医学高等专科学校"</f>
        <v>南阳医学高等专科学校</v>
      </c>
      <c r="F6107" s="1" t="str">
        <f>"护理"</f>
        <v>护理</v>
      </c>
      <c r="G6107" s="1" t="str">
        <f>"河南省南阳市内乡县实验初中附近"</f>
        <v>河南省南阳市内乡县实验初中附近</v>
      </c>
      <c r="H6107" s="1" t="str">
        <f>"30220210441130070070"</f>
        <v>30220210441130070070</v>
      </c>
      <c r="I6107" s="1" t="str">
        <f>"201709-201907于南阳医专护理系就读，全日制学历
201806-201903于南阳市第二人民医院实习
201911-至今于内乡县人民医院工作"</f>
        <v>201709-201907于南阳医专护理系就读，全日制学历
201806-201903于南阳市第二人民医院实习
201911-至今于内乡县人民医院工作</v>
      </c>
    </row>
    <row r="6108" spans="1:9">
      <c r="A6108" s="1" t="str">
        <f>"411330200204294521"</f>
        <v>411330200204294521</v>
      </c>
      <c r="B6108" s="1" t="str">
        <f t="shared" si="3101"/>
        <v>群众</v>
      </c>
      <c r="C6108" s="1" t="str">
        <f t="shared" si="3100"/>
        <v>本科</v>
      </c>
      <c r="D6108" s="1" t="str">
        <f>"20250701"</f>
        <v>20250701</v>
      </c>
      <c r="E6108" s="1" t="str">
        <f>"西安思源学院"</f>
        <v>西安思源学院</v>
      </c>
      <c r="F6108" s="1" t="str">
        <f>"护理学"</f>
        <v>护理学</v>
      </c>
      <c r="G6108" s="1" t="str">
        <f>"河南省南阳市西峡县米坪镇河西村"</f>
        <v>河南省南阳市西峡县米坪镇河西村</v>
      </c>
      <c r="H6108" s="1" t="str">
        <f>"护士执业资格证"</f>
        <v>护士执业资格证</v>
      </c>
      <c r="I6108" s="1" t="str">
        <f>"202009-202307就读于西安思源学院专科护理                                             202309-202507就读于西安思源学院本科护理学"</f>
        <v>202009-202307就读于西安思源学院专科护理                                             202309-202507就读于西安思源学院本科护理学</v>
      </c>
    </row>
    <row r="6109" spans="1:9">
      <c r="A6109" s="1" t="str">
        <f>"411330200005255124"</f>
        <v>411330200005255124</v>
      </c>
      <c r="B6109" s="1" t="str">
        <f>"共青团员"</f>
        <v>共青团员</v>
      </c>
      <c r="C6109" s="1" t="str">
        <f t="shared" si="3100"/>
        <v>本科</v>
      </c>
      <c r="D6109" s="1" t="str">
        <f>"20240606"</f>
        <v>20240606</v>
      </c>
      <c r="E6109" s="1" t="str">
        <f>"河南开封科技传媒学院"</f>
        <v>河南开封科技传媒学院</v>
      </c>
      <c r="F6109" s="1" t="str">
        <f>"护理学"</f>
        <v>护理学</v>
      </c>
      <c r="G6109" s="1" t="str">
        <f>"河南省南阳市西峡县"</f>
        <v>河南省南阳市西峡县</v>
      </c>
      <c r="H6109" s="1" t="str">
        <f>"护士资格证"</f>
        <v>护士资格证</v>
      </c>
      <c r="I6109" s="1" t="str">
        <f>"201909-202206信阳职业技术学院就读助产专业全日制学历
202209-202406河南开封科技传媒学院就读护理学专业全日制学历"</f>
        <v>201909-202206信阳职业技术学院就读助产专业全日制学历
202209-202406河南开封科技传媒学院就读护理学专业全日制学历</v>
      </c>
    </row>
    <row r="6110" spans="1:9">
      <c r="A6110" s="1" t="str">
        <f>"411328200205067687"</f>
        <v>411328200205067687</v>
      </c>
      <c r="B6110" s="1" t="str">
        <f>"中共党员"</f>
        <v>中共党员</v>
      </c>
      <c r="C6110" s="1" t="str">
        <f>"专科"</f>
        <v>专科</v>
      </c>
      <c r="D6110" s="1" t="str">
        <f>"20220701"</f>
        <v>20220701</v>
      </c>
      <c r="E6110" s="1" t="str">
        <f>"南阳医学高等专科学校"</f>
        <v>南阳医学高等专科学校</v>
      </c>
      <c r="F6110" s="1" t="str">
        <f>"中医学"</f>
        <v>中医学</v>
      </c>
      <c r="G6110" s="1" t="str">
        <f>"河南省南阳市宛城区"</f>
        <v>河南省南阳市宛城区</v>
      </c>
      <c r="H6110" s="1" t="str">
        <f>"无"</f>
        <v>无</v>
      </c>
      <c r="I6110" s="1" t="str">
        <f>"2019年09月-2022年07月中医学就读于南阳医学高等专科学校
2022年07月-2023年02月于南阳万和创伤显微外科医院
2023年08月-至今于南阳市第二附属中医院规培"</f>
        <v>2019年09月-2022年07月中医学就读于南阳医学高等专科学校
2022年07月-2023年02月于南阳万和创伤显微外科医院
2023年08月-至今于南阳市第二附属中医院规培</v>
      </c>
    </row>
    <row r="6111" spans="1:9">
      <c r="A6111" s="1" t="str">
        <f>"411327200003064289"</f>
        <v>411327200003064289</v>
      </c>
      <c r="B6111" s="1" t="str">
        <f>"群众"</f>
        <v>群众</v>
      </c>
      <c r="C6111" s="1" t="str">
        <f>"专科"</f>
        <v>专科</v>
      </c>
      <c r="D6111" s="1" t="str">
        <f>"20220707"</f>
        <v>20220707</v>
      </c>
      <c r="E6111" s="1" t="str">
        <f>"三门峡职业技术学院"</f>
        <v>三门峡职业技术学院</v>
      </c>
      <c r="F6111" s="1" t="str">
        <f>"护理"</f>
        <v>护理</v>
      </c>
      <c r="G6111" s="1" t="str">
        <f>"河南省内乡县"</f>
        <v>河南省内乡县</v>
      </c>
      <c r="H6111" s="1" t="str">
        <f>"护士专业技术资格证书"</f>
        <v>护士专业技术资格证书</v>
      </c>
      <c r="I6111" s="1" t="str">
        <f>"2015.09-2018.06南阳医学高等专科学校；
2019.09-2022.07 三门峡职业技术学院，学历：大学专科，全日制，护理学。
2022.08至今，河南省南阳市灌涨镇卫生院工作。"</f>
        <v>2015.09-2018.06南阳医学高等专科学校；
2019.09-2022.07 三门峡职业技术学院，学历：大学专科，全日制，护理学。
2022.08至今，河南省南阳市灌涨镇卫生院工作。</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2</vt:i4>
      </vt:variant>
    </vt:vector>
  </HeadingPairs>
  <TitlesOfParts>
    <vt:vector size="2" baseType="lpstr">
      <vt:lpstr>体检版</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 l</dc:creator>
  <cp:lastModifiedBy>玉</cp:lastModifiedBy>
  <dcterms:created xsi:type="dcterms:W3CDTF">2023-05-12T11:15:00Z</dcterms:created>
  <dcterms:modified xsi:type="dcterms:W3CDTF">2025-10-15T07:51:23Z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ADF41276413544388752464A96BDDF52_13</vt:lpwstr>
  </property>
</Properties>
</file>